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 Y ESTADISTICAS\4TO. TRIMESTRE\"/>
    </mc:Choice>
  </mc:AlternateContent>
  <bookViews>
    <workbookView xWindow="0" yWindow="0" windowWidth="21600" windowHeight="9720"/>
  </bookViews>
  <sheets>
    <sheet name="MIR_TRANSPARENCIA" sheetId="3" r:id="rId1"/>
    <sheet name="FIN PROPÓSITO" sheetId="4" state="hidden" r:id="rId2"/>
    <sheet name="SID" sheetId="5" state="hidden" r:id="rId3"/>
    <sheet name="Estático" sheetId="6" state="hidden" r:id="rId4"/>
    <sheet name="Copia de MIR 1" sheetId="7" state="hidden" r:id="rId5"/>
    <sheet name="Copia de MIR" sheetId="8" state="hidden" r:id="rId6"/>
    <sheet name="Subida" sheetId="9" state="hidden" r:id="rId7"/>
    <sheet name="finproposito" sheetId="10" state="hidden" r:id="rId8"/>
    <sheet name="Hoja3" sheetId="11" state="hidden" r:id="rId9"/>
    <sheet name="Glosario KEY" sheetId="14" state="hidden" r:id="rId10"/>
  </sheets>
  <calcPr calcId="152511"/>
</workbook>
</file>

<file path=xl/calcChain.xml><?xml version="1.0" encoding="utf-8"?>
<calcChain xmlns="http://schemas.openxmlformats.org/spreadsheetml/2006/main">
  <c r="G29" i="9" l="1"/>
  <c r="G28" i="9"/>
  <c r="G19" i="9"/>
  <c r="G18" i="9"/>
  <c r="G16" i="9"/>
  <c r="G13" i="9"/>
  <c r="O34" i="8"/>
  <c r="O33" i="8"/>
  <c r="I4" i="5"/>
  <c r="I3" i="5"/>
  <c r="I2" i="5"/>
  <c r="B114" i="14"/>
  <c r="A113" i="14"/>
  <c r="C107" i="14"/>
  <c r="B102" i="14"/>
  <c r="A97" i="14"/>
  <c r="C91" i="14"/>
  <c r="B86" i="14"/>
  <c r="A81" i="14"/>
  <c r="C75" i="14"/>
  <c r="B70" i="14"/>
  <c r="A65" i="14"/>
  <c r="C59" i="14"/>
  <c r="B54" i="14"/>
  <c r="A49" i="14"/>
  <c r="C43" i="14"/>
  <c r="B38" i="14"/>
  <c r="A33" i="14"/>
  <c r="C27" i="14"/>
  <c r="B22" i="14"/>
  <c r="A17" i="14"/>
  <c r="C11" i="14"/>
  <c r="B6" i="14"/>
  <c r="A1" i="14"/>
  <c r="B111" i="14"/>
  <c r="A106" i="14"/>
  <c r="C100" i="14"/>
  <c r="B95" i="14"/>
  <c r="A90" i="14"/>
  <c r="C84" i="14"/>
  <c r="B79" i="14"/>
  <c r="A74" i="14"/>
  <c r="C68" i="14"/>
  <c r="B63" i="14"/>
  <c r="A58" i="14"/>
  <c r="C52" i="14"/>
  <c r="B47" i="14"/>
  <c r="A42" i="14"/>
  <c r="C36" i="14"/>
  <c r="B31" i="14"/>
  <c r="A26" i="14"/>
  <c r="C20" i="14"/>
  <c r="B15" i="14"/>
  <c r="A10" i="14"/>
  <c r="C4" i="14"/>
  <c r="C114" i="14"/>
  <c r="B109" i="14"/>
  <c r="A104" i="14"/>
  <c r="C98" i="14"/>
  <c r="B93" i="14"/>
  <c r="A88" i="14"/>
  <c r="C82" i="14"/>
  <c r="B77" i="14"/>
  <c r="A72" i="14"/>
  <c r="C66" i="14"/>
  <c r="B61" i="14"/>
  <c r="A56" i="14"/>
  <c r="C50" i="14"/>
  <c r="B45" i="14"/>
  <c r="A40" i="14"/>
  <c r="C34" i="14"/>
  <c r="B29" i="14"/>
  <c r="A24" i="14"/>
  <c r="C18" i="14"/>
  <c r="B13" i="14"/>
  <c r="A8" i="14"/>
  <c r="C2" i="14"/>
  <c r="A103" i="14"/>
  <c r="C81" i="14"/>
  <c r="B60" i="14"/>
  <c r="A39" i="14"/>
  <c r="C17" i="14"/>
  <c r="B112" i="14"/>
  <c r="A91" i="14"/>
  <c r="C69" i="14"/>
  <c r="B48" i="14"/>
  <c r="A27" i="14"/>
  <c r="C5" i="14"/>
  <c r="A95" i="14"/>
  <c r="C73" i="14"/>
  <c r="B52" i="14"/>
  <c r="A31" i="14"/>
  <c r="C9" i="14"/>
  <c r="A67" i="14"/>
  <c r="B104" i="14"/>
  <c r="A19" i="14"/>
  <c r="A35" i="14"/>
  <c r="B72" i="14"/>
  <c r="B12" i="10"/>
  <c r="B10" i="10"/>
  <c r="B8" i="10"/>
  <c r="B6" i="10"/>
  <c r="B4" i="10"/>
  <c r="B2" i="10"/>
  <c r="L1" i="10"/>
  <c r="Z60" i="8"/>
  <c r="T59" i="8"/>
  <c r="AB57" i="8"/>
  <c r="Z56" i="8"/>
  <c r="S55" i="8"/>
  <c r="AC53" i="8"/>
  <c r="Z52" i="8"/>
  <c r="T51" i="8"/>
  <c r="AA49" i="8"/>
  <c r="X48" i="8"/>
  <c r="V47" i="8"/>
  <c r="AC45" i="8"/>
  <c r="W44" i="8"/>
  <c r="U43" i="8"/>
  <c r="AA41" i="8"/>
  <c r="X40" i="8"/>
  <c r="V39" i="8"/>
  <c r="AC37" i="8"/>
  <c r="W36" i="8"/>
  <c r="H28" i="5"/>
  <c r="H26" i="5"/>
  <c r="H24" i="5"/>
  <c r="H22" i="5"/>
  <c r="G20" i="5"/>
  <c r="E18" i="5"/>
  <c r="F16" i="5"/>
  <c r="F14" i="5"/>
  <c r="H12" i="5"/>
  <c r="H10" i="5"/>
  <c r="H8" i="5"/>
  <c r="H6" i="5"/>
  <c r="H4" i="5"/>
  <c r="G1" i="5"/>
  <c r="D31" i="4"/>
  <c r="C111" i="14"/>
  <c r="C115" i="14"/>
  <c r="B110" i="14"/>
  <c r="A105" i="14"/>
  <c r="C99" i="14"/>
  <c r="B94" i="14"/>
  <c r="A89" i="14"/>
  <c r="C83" i="14"/>
  <c r="B78" i="14"/>
  <c r="A73" i="14"/>
  <c r="C67" i="14"/>
  <c r="B62" i="14"/>
  <c r="A57" i="14"/>
  <c r="C51" i="14"/>
  <c r="B46" i="14"/>
  <c r="A41" i="14"/>
  <c r="C35" i="14"/>
  <c r="B30" i="14"/>
  <c r="A25" i="14"/>
  <c r="C19" i="14"/>
  <c r="B14" i="14"/>
  <c r="A9" i="14"/>
  <c r="C3" i="14"/>
  <c r="A114" i="14"/>
  <c r="C108" i="14"/>
  <c r="B103" i="14"/>
  <c r="A98" i="14"/>
  <c r="C92" i="14"/>
  <c r="B87" i="14"/>
  <c r="A82" i="14"/>
  <c r="C76" i="14"/>
  <c r="B71" i="14"/>
  <c r="A66" i="14"/>
  <c r="C60" i="14"/>
  <c r="B55" i="14"/>
  <c r="A50" i="14"/>
  <c r="C44" i="14"/>
  <c r="B39" i="14"/>
  <c r="A34" i="14"/>
  <c r="C28" i="14"/>
  <c r="B23" i="14"/>
  <c r="A18" i="14"/>
  <c r="C12" i="14"/>
  <c r="B7" i="14"/>
  <c r="A2" i="14"/>
  <c r="A112" i="14"/>
  <c r="C106" i="14"/>
  <c r="B101" i="14"/>
  <c r="A96" i="14"/>
  <c r="C90" i="14"/>
  <c r="B85" i="14"/>
  <c r="A80" i="14"/>
  <c r="C74" i="14"/>
  <c r="B69" i="14"/>
  <c r="A64" i="14"/>
  <c r="C58" i="14"/>
  <c r="B53" i="14"/>
  <c r="A48" i="14"/>
  <c r="C42" i="14"/>
  <c r="B37" i="14"/>
  <c r="A32" i="14"/>
  <c r="C26" i="14"/>
  <c r="B21" i="14"/>
  <c r="A16" i="14"/>
  <c r="C10" i="14"/>
  <c r="B5" i="14"/>
  <c r="C113" i="14"/>
  <c r="B92" i="14"/>
  <c r="A71" i="14"/>
  <c r="C49" i="14"/>
  <c r="B28" i="14"/>
  <c r="A7" i="14"/>
  <c r="C101" i="14"/>
  <c r="B80" i="14"/>
  <c r="A59" i="14"/>
  <c r="C37" i="14"/>
  <c r="B16" i="14"/>
  <c r="C105" i="14"/>
  <c r="B84" i="14"/>
  <c r="A63" i="14"/>
  <c r="C41" i="14"/>
  <c r="B20" i="14"/>
  <c r="C109" i="14"/>
  <c r="B24" i="14"/>
  <c r="C61" i="14"/>
  <c r="C77" i="14"/>
  <c r="C93" i="14"/>
  <c r="C29" i="14"/>
  <c r="B11" i="10"/>
  <c r="B9" i="10"/>
  <c r="B7" i="10"/>
  <c r="B5" i="10"/>
  <c r="B3" i="10"/>
  <c r="T1" i="10"/>
  <c r="D1" i="10"/>
  <c r="AB59" i="8"/>
  <c r="Z58" i="8"/>
  <c r="T57" i="8"/>
  <c r="AA55" i="8"/>
  <c r="X54" i="8"/>
  <c r="U53" i="8"/>
  <c r="AB51" i="8"/>
  <c r="Z50" i="8"/>
  <c r="S49" i="8"/>
  <c r="AD47" i="8"/>
  <c r="X46" i="8"/>
  <c r="U45" i="8"/>
  <c r="AC43" i="8"/>
  <c r="Z42" i="8"/>
  <c r="S41" i="8"/>
  <c r="AD39" i="8"/>
  <c r="X38" i="8"/>
  <c r="U37" i="8"/>
  <c r="E29" i="5"/>
  <c r="F27" i="5"/>
  <c r="F25" i="5"/>
  <c r="F23" i="5"/>
  <c r="E21" i="5"/>
  <c r="F19" i="5"/>
  <c r="G17" i="5"/>
  <c r="H15" i="5"/>
  <c r="F13" i="5"/>
  <c r="F11" i="5"/>
  <c r="F9" i="5"/>
  <c r="F7" i="5"/>
  <c r="F5" i="5"/>
  <c r="G3" i="5"/>
  <c r="E32" i="4"/>
  <c r="A109" i="14"/>
  <c r="B98" i="14"/>
  <c r="C87" i="14"/>
  <c r="A77" i="14"/>
  <c r="B66" i="14"/>
  <c r="C55" i="14"/>
  <c r="A45" i="14"/>
  <c r="B34" i="14"/>
  <c r="C23" i="14"/>
  <c r="A13" i="14"/>
  <c r="B2" i="14"/>
  <c r="B107" i="14"/>
  <c r="C96" i="14"/>
  <c r="A86" i="14"/>
  <c r="B75" i="14"/>
  <c r="C64" i="14"/>
  <c r="A54" i="14"/>
  <c r="B43" i="14"/>
  <c r="C32" i="14"/>
  <c r="A22" i="14"/>
  <c r="B11" i="14"/>
  <c r="A115" i="14"/>
  <c r="B105" i="14"/>
  <c r="C94" i="14"/>
  <c r="A84" i="14"/>
  <c r="B73" i="14"/>
  <c r="C62" i="14"/>
  <c r="A52" i="14"/>
  <c r="B41" i="14"/>
  <c r="C30" i="14"/>
  <c r="A20" i="14"/>
  <c r="B9" i="14"/>
  <c r="B108" i="14"/>
  <c r="C65" i="14"/>
  <c r="A23" i="14"/>
  <c r="B96" i="14"/>
  <c r="C53" i="14"/>
  <c r="A11" i="14"/>
  <c r="A79" i="14"/>
  <c r="B36" i="14"/>
  <c r="B88" i="14"/>
  <c r="B40" i="14"/>
  <c r="B8" i="14"/>
  <c r="F10" i="10"/>
  <c r="F6" i="10"/>
  <c r="F2" i="10"/>
  <c r="AD60" i="8"/>
  <c r="V58" i="8"/>
  <c r="W55" i="8"/>
  <c r="AD52" i="8"/>
  <c r="V50" i="8"/>
  <c r="Z47" i="8"/>
  <c r="AA44" i="8"/>
  <c r="V42" i="8"/>
  <c r="Z39" i="8"/>
  <c r="AA36" i="8"/>
  <c r="B27" i="5"/>
  <c r="B23" i="5"/>
  <c r="B19" i="5"/>
  <c r="D15" i="5"/>
  <c r="B11" i="5"/>
  <c r="B7" i="5"/>
  <c r="C2" i="5"/>
  <c r="B29" i="4"/>
  <c r="C26" i="4"/>
  <c r="D23" i="4"/>
  <c r="A20" i="4"/>
  <c r="C14" i="4"/>
  <c r="C10" i="4"/>
  <c r="C6" i="4"/>
  <c r="A3" i="4"/>
  <c r="E11" i="10"/>
  <c r="E9" i="10"/>
  <c r="E7" i="10"/>
  <c r="E5" i="10"/>
  <c r="E3" i="10"/>
  <c r="W1" i="10"/>
  <c r="G1" i="10"/>
  <c r="U60" i="8"/>
  <c r="AC58" i="8"/>
  <c r="W57" i="8"/>
  <c r="U56" i="8"/>
  <c r="AA54" i="8"/>
  <c r="X53" i="8"/>
  <c r="U52" i="8"/>
  <c r="AC50" i="8"/>
  <c r="Z49" i="8"/>
  <c r="S48" i="8"/>
  <c r="AA46" i="8"/>
  <c r="X45" i="8"/>
  <c r="V44" i="8"/>
  <c r="AC42" i="8"/>
  <c r="Z41" i="8"/>
  <c r="S40" i="8"/>
  <c r="AA38" i="8"/>
  <c r="X37" i="8"/>
  <c r="V36" i="8"/>
  <c r="D11" i="10"/>
  <c r="D9" i="10"/>
  <c r="D7" i="10"/>
  <c r="D5" i="10"/>
  <c r="D3" i="10"/>
  <c r="V1" i="10"/>
  <c r="F1" i="10"/>
  <c r="T60" i="8"/>
  <c r="AB58" i="8"/>
  <c r="Z57" i="8"/>
  <c r="T56" i="8"/>
  <c r="AD54" i="8"/>
  <c r="W53" i="8"/>
  <c r="T52" i="8"/>
  <c r="AB50" i="8"/>
  <c r="Y49" i="8"/>
  <c r="V48" i="8"/>
  <c r="AD46" i="8"/>
  <c r="W45" i="8"/>
  <c r="U44" i="8"/>
  <c r="AB42" i="8"/>
  <c r="Y41" i="8"/>
  <c r="V40" i="8"/>
  <c r="AD38" i="8"/>
  <c r="W37" i="8"/>
  <c r="U36" i="8"/>
  <c r="C11" i="10"/>
  <c r="C9" i="10"/>
  <c r="C7" i="10"/>
  <c r="C5" i="10"/>
  <c r="B106" i="14"/>
  <c r="C95" i="14"/>
  <c r="A85" i="14"/>
  <c r="B74" i="14"/>
  <c r="C63" i="14"/>
  <c r="A53" i="14"/>
  <c r="B42" i="14"/>
  <c r="C31" i="14"/>
  <c r="A21" i="14"/>
  <c r="B10" i="14"/>
  <c r="B115" i="14"/>
  <c r="C104" i="14"/>
  <c r="A94" i="14"/>
  <c r="B83" i="14"/>
  <c r="C72" i="14"/>
  <c r="A62" i="14"/>
  <c r="B51" i="14"/>
  <c r="C40" i="14"/>
  <c r="A30" i="14"/>
  <c r="B19" i="14"/>
  <c r="C8" i="14"/>
  <c r="B113" i="14"/>
  <c r="C102" i="14"/>
  <c r="A92" i="14"/>
  <c r="B81" i="14"/>
  <c r="C70" i="14"/>
  <c r="A60" i="14"/>
  <c r="B49" i="14"/>
  <c r="C38" i="14"/>
  <c r="A28" i="14"/>
  <c r="B17" i="14"/>
  <c r="C6" i="14"/>
  <c r="C97" i="14"/>
  <c r="A55" i="14"/>
  <c r="B12" i="14"/>
  <c r="C85" i="14"/>
  <c r="A43" i="14"/>
  <c r="A111" i="14"/>
  <c r="B68" i="14"/>
  <c r="C25" i="14"/>
  <c r="C45" i="14"/>
  <c r="A99" i="14"/>
  <c r="A51" i="14"/>
  <c r="F9" i="10"/>
  <c r="F5" i="10"/>
  <c r="X1" i="10"/>
  <c r="V60" i="8"/>
  <c r="X57" i="8"/>
  <c r="AB54" i="8"/>
  <c r="V52" i="8"/>
  <c r="W49" i="8"/>
  <c r="AB46" i="8"/>
  <c r="S44" i="8"/>
  <c r="W41" i="8"/>
  <c r="AB38" i="8"/>
  <c r="S36" i="8"/>
  <c r="D26" i="5"/>
  <c r="C22" i="5"/>
  <c r="A18" i="5"/>
  <c r="B14" i="5"/>
  <c r="D10" i="5"/>
  <c r="D6" i="5"/>
  <c r="C1" i="5"/>
  <c r="E28" i="4"/>
  <c r="B25" i="4"/>
  <c r="C22" i="4"/>
  <c r="D19" i="4"/>
  <c r="C13" i="4"/>
  <c r="C9" i="4"/>
  <c r="C5" i="4"/>
  <c r="A1" i="11"/>
  <c r="A11" i="10"/>
  <c r="A9" i="10"/>
  <c r="A7" i="10"/>
  <c r="A5" i="10"/>
  <c r="A3" i="10"/>
  <c r="S1" i="10"/>
  <c r="C1" i="10"/>
  <c r="AA59" i="8"/>
  <c r="Y58" i="8"/>
  <c r="S57" i="8"/>
  <c r="AD55" i="8"/>
  <c r="W54" i="8"/>
  <c r="T53" i="8"/>
  <c r="AA51" i="8"/>
  <c r="Y50" i="8"/>
  <c r="V49" i="8"/>
  <c r="AC47" i="8"/>
  <c r="W46" i="8"/>
  <c r="T45" i="8"/>
  <c r="AB43" i="8"/>
  <c r="Y42" i="8"/>
  <c r="V41" i="8"/>
  <c r="AC39" i="8"/>
  <c r="W38" i="8"/>
  <c r="T37" i="8"/>
  <c r="H12" i="10"/>
  <c r="H10" i="10"/>
  <c r="H8" i="10"/>
  <c r="H6" i="10"/>
  <c r="H4" i="10"/>
  <c r="H2" i="10"/>
  <c r="R1" i="10"/>
  <c r="B1" i="10"/>
  <c r="AD59" i="8"/>
  <c r="X58" i="8"/>
  <c r="V57" i="8"/>
  <c r="AC55" i="8"/>
  <c r="Z54" i="8"/>
  <c r="S53" i="8"/>
  <c r="AD51" i="8"/>
  <c r="X50" i="8"/>
  <c r="U49" i="8"/>
  <c r="AB47" i="8"/>
  <c r="Z46" i="8"/>
  <c r="S45" i="8"/>
  <c r="AA43" i="8"/>
  <c r="X42" i="8"/>
  <c r="U41" i="8"/>
  <c r="AB39" i="8"/>
  <c r="Z38" i="8"/>
  <c r="S37" i="8"/>
  <c r="G12" i="10"/>
  <c r="G10" i="10"/>
  <c r="G8" i="10"/>
  <c r="G6" i="10"/>
  <c r="G4" i="10"/>
  <c r="G2" i="10"/>
  <c r="Q1" i="10"/>
  <c r="A1" i="10"/>
  <c r="AC59" i="8"/>
  <c r="W58" i="8"/>
  <c r="C103" i="14"/>
  <c r="B82" i="14"/>
  <c r="A61" i="14"/>
  <c r="C39" i="14"/>
  <c r="B18" i="14"/>
  <c r="C112" i="14"/>
  <c r="B91" i="14"/>
  <c r="A70" i="14"/>
  <c r="C48" i="14"/>
  <c r="B27" i="14"/>
  <c r="A6" i="14"/>
  <c r="A100" i="14"/>
  <c r="C78" i="14"/>
  <c r="B57" i="14"/>
  <c r="A36" i="14"/>
  <c r="C14" i="14"/>
  <c r="A87" i="14"/>
  <c r="C1" i="14"/>
  <c r="B32" i="14"/>
  <c r="C57" i="14"/>
  <c r="A3" i="14"/>
  <c r="F12" i="10"/>
  <c r="F4" i="10"/>
  <c r="X59" i="8"/>
  <c r="T54" i="8"/>
  <c r="AB48" i="8"/>
  <c r="Y43" i="8"/>
  <c r="T38" i="8"/>
  <c r="B25" i="5"/>
  <c r="C17" i="5"/>
  <c r="B9" i="5"/>
  <c r="A32" i="4"/>
  <c r="E24" i="4"/>
  <c r="C18" i="4"/>
  <c r="C8" i="4"/>
  <c r="E12" i="10"/>
  <c r="E8" i="10"/>
  <c r="E4" i="10"/>
  <c r="O1" i="10"/>
  <c r="W59" i="8"/>
  <c r="AC56" i="8"/>
  <c r="S54" i="8"/>
  <c r="W51" i="8"/>
  <c r="AA48" i="8"/>
  <c r="S46" i="8"/>
  <c r="X43" i="8"/>
  <c r="AA40" i="8"/>
  <c r="S38" i="8"/>
  <c r="D12" i="10"/>
  <c r="D8" i="10"/>
  <c r="D4" i="10"/>
  <c r="N1" i="10"/>
  <c r="Z59" i="8"/>
  <c r="AB56" i="8"/>
  <c r="V54" i="8"/>
  <c r="Z51" i="8"/>
  <c r="AD48" i="8"/>
  <c r="V46" i="8"/>
  <c r="W43" i="8"/>
  <c r="AD40" i="8"/>
  <c r="V38" i="8"/>
  <c r="C12" i="10"/>
  <c r="C8" i="10"/>
  <c r="C4" i="10"/>
  <c r="Y1" i="10"/>
  <c r="E1" i="10"/>
  <c r="Y59" i="8"/>
  <c r="AC57" i="8"/>
  <c r="W56" i="8"/>
  <c r="T55" i="8"/>
  <c r="AD53" i="8"/>
  <c r="W52" i="8"/>
  <c r="U51" i="8"/>
  <c r="AB49" i="8"/>
  <c r="Y48" i="8"/>
  <c r="S47" i="8"/>
  <c r="AD45" i="8"/>
  <c r="X44" i="8"/>
  <c r="V43" i="8"/>
  <c r="AB41" i="8"/>
  <c r="Y40" i="8"/>
  <c r="S39" i="8"/>
  <c r="AD37" i="8"/>
  <c r="X36" i="8"/>
  <c r="E28" i="5"/>
  <c r="E26" i="5"/>
  <c r="E24" i="5"/>
  <c r="E22" i="5"/>
  <c r="D20" i="5"/>
  <c r="B18" i="5"/>
  <c r="C16" i="5"/>
  <c r="C14" i="5"/>
  <c r="A12" i="5"/>
  <c r="A10" i="5"/>
  <c r="A8" i="5"/>
  <c r="A6" i="5"/>
  <c r="H3" i="5"/>
  <c r="D1" i="5"/>
  <c r="D30" i="4"/>
  <c r="A27" i="4"/>
  <c r="E23" i="4"/>
  <c r="B20" i="4"/>
  <c r="E17" i="4"/>
  <c r="D12" i="4"/>
  <c r="D8" i="4"/>
  <c r="D4" i="4"/>
  <c r="C28" i="5"/>
  <c r="C24" i="5"/>
  <c r="B20" i="5"/>
  <c r="E16" i="5"/>
  <c r="G12" i="5"/>
  <c r="G8" i="5"/>
  <c r="H2" i="5"/>
  <c r="C28" i="4"/>
  <c r="D21" i="4"/>
  <c r="A14" i="4"/>
  <c r="A10" i="4"/>
  <c r="A6" i="4"/>
  <c r="B28" i="5"/>
  <c r="B24" i="5"/>
  <c r="A20" i="5"/>
  <c r="D16" i="5"/>
  <c r="F12" i="5"/>
  <c r="F8" i="5"/>
  <c r="G4" i="5"/>
  <c r="D32" i="4"/>
  <c r="E25" i="4"/>
  <c r="A21" i="4"/>
  <c r="F12" i="4"/>
  <c r="F8" i="4"/>
  <c r="F4" i="4"/>
  <c r="A27" i="5"/>
  <c r="A23" i="5"/>
  <c r="A19" i="5"/>
  <c r="C15" i="5"/>
  <c r="E11" i="5"/>
  <c r="E7" i="5"/>
  <c r="B3" i="5"/>
  <c r="B31" i="4"/>
  <c r="C24" i="4"/>
  <c r="B17" i="4"/>
  <c r="E11" i="4"/>
  <c r="E7" i="4"/>
  <c r="C3" i="4"/>
  <c r="B26" i="5"/>
  <c r="A22" i="5"/>
  <c r="C18" i="5"/>
  <c r="D14" i="5"/>
  <c r="F10" i="5"/>
  <c r="F6" i="5"/>
  <c r="D28" i="4"/>
  <c r="E21" i="4"/>
  <c r="B14" i="4"/>
  <c r="B10" i="4"/>
  <c r="B6" i="4"/>
  <c r="C29" i="4"/>
  <c r="D26" i="4"/>
  <c r="A23" i="4"/>
  <c r="E19" i="4"/>
  <c r="A17" i="4"/>
  <c r="D11" i="4"/>
  <c r="D7" i="4"/>
  <c r="F3" i="4"/>
  <c r="E27" i="5"/>
  <c r="E23" i="5"/>
  <c r="E19" i="5"/>
  <c r="G15" i="5"/>
  <c r="A11" i="5"/>
  <c r="A7" i="5"/>
  <c r="E1" i="5"/>
  <c r="B27" i="4"/>
  <c r="C20" i="4"/>
  <c r="A13" i="4"/>
  <c r="A9" i="4"/>
  <c r="A5" i="4"/>
  <c r="D27" i="5"/>
  <c r="D23" i="5"/>
  <c r="D19" i="5"/>
  <c r="F15" i="5"/>
  <c r="H11" i="5"/>
  <c r="H7" i="5"/>
  <c r="C3" i="5"/>
  <c r="C31" i="4"/>
  <c r="D24" i="4"/>
  <c r="C17" i="4"/>
  <c r="F11" i="4"/>
  <c r="F7" i="4"/>
  <c r="D3" i="4"/>
  <c r="C26" i="5"/>
  <c r="B22" i="5"/>
  <c r="D18" i="5"/>
  <c r="E14" i="5"/>
  <c r="G10" i="5"/>
  <c r="G6" i="5"/>
  <c r="A2" i="5"/>
  <c r="A30" i="4"/>
  <c r="B23" i="4"/>
  <c r="E14" i="4"/>
  <c r="E10" i="4"/>
  <c r="E6" i="4"/>
  <c r="C29" i="5"/>
  <c r="D25" i="5"/>
  <c r="C21" i="5"/>
  <c r="E17" i="5"/>
  <c r="H13" i="5"/>
  <c r="H9" i="5"/>
  <c r="H5" i="5"/>
  <c r="C27" i="4"/>
  <c r="D20" i="4"/>
  <c r="B13" i="4"/>
  <c r="B9" i="4"/>
  <c r="B5" i="4"/>
  <c r="A93" i="14"/>
  <c r="C71" i="14"/>
  <c r="B50" i="14"/>
  <c r="A29" i="14"/>
  <c r="C7" i="14"/>
  <c r="A102" i="14"/>
  <c r="C80" i="14"/>
  <c r="B59" i="14"/>
  <c r="A38" i="14"/>
  <c r="C16" i="14"/>
  <c r="C110" i="14"/>
  <c r="B89" i="14"/>
  <c r="A68" i="14"/>
  <c r="C46" i="14"/>
  <c r="B25" i="14"/>
  <c r="A4" i="14"/>
  <c r="B44" i="14"/>
  <c r="A75" i="14"/>
  <c r="B100" i="14"/>
  <c r="A15" i="14"/>
  <c r="B56" i="14"/>
  <c r="F8" i="10"/>
  <c r="P1" i="10"/>
  <c r="AD56" i="8"/>
  <c r="X51" i="8"/>
  <c r="T46" i="8"/>
  <c r="AB40" i="8"/>
  <c r="A29" i="5"/>
  <c r="A21" i="5"/>
  <c r="B13" i="5"/>
  <c r="B5" i="5"/>
  <c r="A28" i="4"/>
  <c r="B21" i="4"/>
  <c r="C12" i="4"/>
  <c r="C4" i="4"/>
  <c r="E10" i="10"/>
  <c r="E6" i="10"/>
  <c r="E2" i="10"/>
  <c r="AC60" i="8"/>
  <c r="U58" i="8"/>
  <c r="Z55" i="8"/>
  <c r="AC52" i="8"/>
  <c r="U50" i="8"/>
  <c r="A101" i="14"/>
  <c r="C79" i="14"/>
  <c r="B58" i="14"/>
  <c r="A37" i="14"/>
  <c r="C15" i="14"/>
  <c r="A110" i="14"/>
  <c r="C88" i="14"/>
  <c r="B67" i="14"/>
  <c r="A46" i="14"/>
  <c r="C24" i="14"/>
  <c r="B3" i="14"/>
  <c r="B97" i="14"/>
  <c r="A76" i="14"/>
  <c r="C54" i="14"/>
  <c r="B33" i="14"/>
  <c r="A12" i="14"/>
  <c r="B76" i="14"/>
  <c r="A107" i="14"/>
  <c r="C21" i="14"/>
  <c r="A47" i="14"/>
  <c r="A83" i="14"/>
  <c r="F11" i="10"/>
  <c r="F3" i="10"/>
  <c r="AD58" i="8"/>
  <c r="Y53" i="8"/>
  <c r="T48" i="8"/>
  <c r="AD42" i="8"/>
  <c r="Y37" i="8"/>
  <c r="D24" i="5"/>
  <c r="B16" i="5"/>
  <c r="D8" i="5"/>
  <c r="C30" i="4"/>
  <c r="A24" i="4"/>
  <c r="D17" i="4"/>
  <c r="C7" i="4"/>
  <c r="A12" i="10"/>
  <c r="A8" i="10"/>
  <c r="A4" i="10"/>
  <c r="K1" i="10"/>
  <c r="S59" i="8"/>
  <c r="Y56" i="8"/>
  <c r="AB53" i="8"/>
  <c r="S51" i="8"/>
  <c r="W48" i="8"/>
  <c r="AB45" i="8"/>
  <c r="T43" i="8"/>
  <c r="W40" i="8"/>
  <c r="AB37" i="8"/>
  <c r="H11" i="10"/>
  <c r="H7" i="10"/>
  <c r="H3" i="10"/>
  <c r="J1" i="10"/>
  <c r="V59" i="8"/>
  <c r="X56" i="8"/>
  <c r="AA53" i="8"/>
  <c r="V51" i="8"/>
  <c r="Z48" i="8"/>
  <c r="AA45" i="8"/>
  <c r="S43" i="8"/>
  <c r="Z40" i="8"/>
  <c r="AA37" i="8"/>
  <c r="G11" i="10"/>
  <c r="G7" i="10"/>
  <c r="G3" i="10"/>
  <c r="U1" i="10"/>
  <c r="AA60" i="8"/>
  <c r="U59" i="8"/>
  <c r="Y57" i="8"/>
  <c r="S56" i="8"/>
  <c r="AC54" i="8"/>
  <c r="Z53" i="8"/>
  <c r="S52" i="8"/>
  <c r="AA50" i="8"/>
  <c r="X49" i="8"/>
  <c r="U48" i="8"/>
  <c r="AC46" i="8"/>
  <c r="Z45" i="8"/>
  <c r="T44" i="8"/>
  <c r="AA42" i="8"/>
  <c r="X41" i="8"/>
  <c r="U40" i="8"/>
  <c r="AC38" i="8"/>
  <c r="Z37" i="8"/>
  <c r="T36" i="8"/>
  <c r="A28" i="5"/>
  <c r="A26" i="5"/>
  <c r="A24" i="5"/>
  <c r="F21" i="5"/>
  <c r="G19" i="5"/>
  <c r="H17" i="5"/>
  <c r="E15" i="5"/>
  <c r="G13" i="5"/>
  <c r="G11" i="5"/>
  <c r="G9" i="5"/>
  <c r="G7" i="5"/>
  <c r="G5" i="5"/>
  <c r="A3" i="5"/>
  <c r="B32" i="4"/>
  <c r="B26" i="14"/>
  <c r="C56" i="14"/>
  <c r="C86" i="14"/>
  <c r="B1" i="14"/>
  <c r="B4" i="14"/>
  <c r="V56" i="8"/>
  <c r="D28" i="5"/>
  <c r="D27" i="4"/>
  <c r="A10" i="10"/>
  <c r="AA57" i="8"/>
  <c r="Y47" i="8"/>
  <c r="U42" i="8"/>
  <c r="AD36" i="8"/>
  <c r="D6" i="10"/>
  <c r="AB60" i="8"/>
  <c r="Y55" i="8"/>
  <c r="T50" i="8"/>
  <c r="AC44" i="8"/>
  <c r="X39" i="8"/>
  <c r="C10" i="10"/>
  <c r="C3" i="10"/>
  <c r="W60" i="8"/>
  <c r="U57" i="8"/>
  <c r="Y54" i="8"/>
  <c r="AC51" i="8"/>
  <c r="T49" i="8"/>
  <c r="Y46" i="8"/>
  <c r="AD43" i="8"/>
  <c r="T41" i="8"/>
  <c r="Y38" i="8"/>
  <c r="F29" i="5"/>
  <c r="G25" i="5"/>
  <c r="B21" i="5"/>
  <c r="D17" i="5"/>
  <c r="C13" i="5"/>
  <c r="C9" i="5"/>
  <c r="C5" i="5"/>
  <c r="E31" i="4"/>
  <c r="C25" i="4"/>
  <c r="A19" i="4"/>
  <c r="D10" i="4"/>
  <c r="B3" i="4"/>
  <c r="G22" i="5"/>
  <c r="A14" i="5"/>
  <c r="C6" i="5"/>
  <c r="A26" i="4"/>
  <c r="A12" i="4"/>
  <c r="A4" i="4"/>
  <c r="F22" i="5"/>
  <c r="H14" i="5"/>
  <c r="B6" i="5"/>
  <c r="B30" i="4"/>
  <c r="F14" i="4"/>
  <c r="F6" i="4"/>
  <c r="E25" i="5"/>
  <c r="F17" i="5"/>
  <c r="A9" i="5"/>
  <c r="A1" i="5"/>
  <c r="A22" i="4"/>
  <c r="E9" i="4"/>
  <c r="F28" i="5"/>
  <c r="E20" i="5"/>
  <c r="B12" i="5"/>
  <c r="F1" i="5"/>
  <c r="C19" i="4"/>
  <c r="B8" i="4"/>
  <c r="B90" i="14"/>
  <c r="A5" i="14"/>
  <c r="B35" i="14"/>
  <c r="B65" i="14"/>
  <c r="C33" i="14"/>
  <c r="C13" i="14"/>
  <c r="AD50" i="8"/>
  <c r="C20" i="5"/>
  <c r="E20" i="4"/>
  <c r="A6" i="10"/>
  <c r="V55" i="8"/>
  <c r="U47" i="8"/>
  <c r="AD41" i="8"/>
  <c r="Z36" i="8"/>
  <c r="H5" i="10"/>
  <c r="X60" i="8"/>
  <c r="U55" i="8"/>
  <c r="AC49" i="8"/>
  <c r="Y44" i="8"/>
  <c r="T39" i="8"/>
  <c r="G9" i="10"/>
  <c r="C2" i="10"/>
  <c r="S60" i="8"/>
  <c r="AA56" i="8"/>
  <c r="U54" i="8"/>
  <c r="Y51" i="8"/>
  <c r="AC48" i="8"/>
  <c r="U46" i="8"/>
  <c r="Z43" i="8"/>
  <c r="AC40" i="8"/>
  <c r="U38" i="8"/>
  <c r="B29" i="5"/>
  <c r="C25" i="5"/>
  <c r="H20" i="5"/>
  <c r="G16" i="5"/>
  <c r="E12" i="5"/>
  <c r="E8" i="5"/>
  <c r="B4" i="5"/>
  <c r="A31" i="4"/>
  <c r="B24" i="4"/>
  <c r="D18" i="4"/>
  <c r="D9" i="4"/>
  <c r="H29" i="5"/>
  <c r="H21" i="5"/>
  <c r="E13" i="5"/>
  <c r="E5" i="5"/>
  <c r="E22" i="4"/>
  <c r="A11" i="4"/>
  <c r="G29" i="5"/>
  <c r="G21" i="5"/>
  <c r="D13" i="5"/>
  <c r="D5" i="5"/>
  <c r="A29" i="4"/>
  <c r="F13" i="4"/>
  <c r="F5" i="4"/>
  <c r="G24" i="5"/>
  <c r="A16" i="5"/>
  <c r="C8" i="5"/>
  <c r="C32" i="4"/>
  <c r="E18" i="4"/>
  <c r="E8" i="4"/>
  <c r="B99" i="14"/>
  <c r="A44" i="14"/>
  <c r="F7" i="10"/>
  <c r="D12" i="5"/>
  <c r="A2" i="10"/>
  <c r="AD44" i="8"/>
  <c r="D10" i="10"/>
  <c r="T58" i="8"/>
  <c r="X47" i="8"/>
  <c r="AC36" i="8"/>
  <c r="M1" i="10"/>
  <c r="AB55" i="8"/>
  <c r="W50" i="8"/>
  <c r="V45" i="8"/>
  <c r="AA39" i="8"/>
  <c r="G27" i="5"/>
  <c r="C19" i="5"/>
  <c r="C11" i="5"/>
  <c r="G2" i="5"/>
  <c r="D22" i="4"/>
  <c r="D6" i="4"/>
  <c r="H18" i="5"/>
  <c r="E30" i="4"/>
  <c r="A8" i="4"/>
  <c r="G18" i="5"/>
  <c r="B2" i="5"/>
  <c r="F10" i="4"/>
  <c r="D21" i="5"/>
  <c r="A5" i="5"/>
  <c r="E13" i="4"/>
  <c r="H27" i="5"/>
  <c r="H16" i="5"/>
  <c r="D7" i="5"/>
  <c r="B18" i="4"/>
  <c r="B4" i="4"/>
  <c r="A78" i="14"/>
  <c r="C22" i="14"/>
  <c r="H1" i="10"/>
  <c r="A4" i="5"/>
  <c r="Y60" i="8"/>
  <c r="Z44" i="8"/>
  <c r="H9" i="10"/>
  <c r="AD57" i="8"/>
  <c r="T47" i="8"/>
  <c r="Y36" i="8"/>
  <c r="I1" i="10"/>
  <c r="X55" i="8"/>
  <c r="S50" i="8"/>
  <c r="AB44" i="8"/>
  <c r="W39" i="8"/>
  <c r="C27" i="5"/>
  <c r="F18" i="5"/>
  <c r="E10" i="5"/>
  <c r="H1" i="5"/>
  <c r="C21" i="4"/>
  <c r="D5" i="4"/>
  <c r="B17" i="5"/>
  <c r="D29" i="4"/>
  <c r="A7" i="4"/>
  <c r="A17" i="5"/>
  <c r="B1" i="5"/>
  <c r="F9" i="4"/>
  <c r="F20" i="5"/>
  <c r="C4" i="5"/>
  <c r="E12" i="4"/>
  <c r="F24" i="5"/>
  <c r="B15" i="5"/>
  <c r="E29" i="4"/>
  <c r="B12" i="4"/>
  <c r="A69" i="14"/>
  <c r="A14" i="14"/>
  <c r="B64" i="14"/>
  <c r="Y45" i="8"/>
  <c r="C11" i="4"/>
  <c r="Y52" i="8"/>
  <c r="Y39" i="8"/>
  <c r="D2" i="10"/>
  <c r="AB52" i="8"/>
  <c r="T42" i="8"/>
  <c r="C6" i="10"/>
  <c r="AA58" i="8"/>
  <c r="V53" i="8"/>
  <c r="AA47" i="8"/>
  <c r="W42" i="8"/>
  <c r="V37" i="8"/>
  <c r="G23" i="5"/>
  <c r="A15" i="5"/>
  <c r="C7" i="5"/>
  <c r="B28" i="4"/>
  <c r="D14" i="4"/>
  <c r="G26" i="5"/>
  <c r="C10" i="5"/>
  <c r="B19" i="4"/>
  <c r="F26" i="5"/>
  <c r="B10" i="5"/>
  <c r="C23" i="4"/>
  <c r="D29" i="5"/>
  <c r="A13" i="5"/>
  <c r="E26" i="4"/>
  <c r="E5" i="4"/>
  <c r="H23" i="5"/>
  <c r="D11" i="5"/>
  <c r="B26" i="4"/>
  <c r="B11" i="4"/>
  <c r="C47" i="14"/>
  <c r="A108" i="14"/>
  <c r="C89" i="14"/>
  <c r="T40" i="8"/>
  <c r="E3" i="4"/>
  <c r="AD49" i="8"/>
  <c r="U39" i="8"/>
  <c r="Z1" i="10"/>
  <c r="X52" i="8"/>
  <c r="AC41" i="8"/>
  <c r="G5" i="10"/>
  <c r="S58" i="8"/>
  <c r="AA52" i="8"/>
  <c r="W47" i="8"/>
  <c r="S42" i="8"/>
  <c r="AB36" i="8"/>
  <c r="C23" i="5"/>
  <c r="G14" i="5"/>
  <c r="E6" i="5"/>
  <c r="E27" i="4"/>
  <c r="D13" i="4"/>
  <c r="A25" i="5"/>
  <c r="E9" i="5"/>
  <c r="B22" i="4"/>
  <c r="E4" i="4"/>
  <c r="B7" i="4"/>
  <c r="A18" i="4"/>
  <c r="G28" i="5"/>
  <c r="H19" i="5"/>
  <c r="H25" i="5"/>
  <c r="C12" i="5"/>
  <c r="B8" i="5"/>
  <c r="D9" i="5"/>
  <c r="D25" i="4"/>
  <c r="A25" i="4"/>
  <c r="I9" i="5" l="1"/>
  <c r="J9" i="5" s="1"/>
  <c r="G13" i="4"/>
  <c r="H27" i="4"/>
  <c r="AE42" i="8"/>
  <c r="AE58" i="8"/>
  <c r="AF58" i="8" s="1"/>
  <c r="I11" i="5"/>
  <c r="J11" i="5" s="1"/>
  <c r="H26" i="4"/>
  <c r="I29" i="5"/>
  <c r="J29" i="5" s="1"/>
  <c r="G23" i="4"/>
  <c r="G14" i="4"/>
  <c r="H29" i="4"/>
  <c r="H9" i="4"/>
  <c r="G5" i="4"/>
  <c r="G21" i="4"/>
  <c r="AE50" i="8"/>
  <c r="AF50" i="8" s="1"/>
  <c r="I7" i="5"/>
  <c r="J7" i="5" s="1"/>
  <c r="I21" i="5"/>
  <c r="J21" i="5" s="1"/>
  <c r="H10" i="4"/>
  <c r="H30" i="4"/>
  <c r="G6" i="4"/>
  <c r="I12" i="5"/>
  <c r="J12" i="5" s="1"/>
  <c r="H18" i="4"/>
  <c r="G32" i="4"/>
  <c r="H5" i="4"/>
  <c r="H13" i="4"/>
  <c r="I5" i="5"/>
  <c r="J5" i="5" s="1"/>
  <c r="I13" i="5"/>
  <c r="H22" i="4"/>
  <c r="G9" i="4"/>
  <c r="AE60" i="8"/>
  <c r="AF60" i="8" s="1"/>
  <c r="H20" i="4"/>
  <c r="G19" i="4"/>
  <c r="H6" i="4"/>
  <c r="H14" i="4"/>
  <c r="G10" i="4"/>
  <c r="G25" i="4"/>
  <c r="H31" i="4"/>
  <c r="I17" i="5"/>
  <c r="J17" i="5" s="1"/>
  <c r="I28" i="5"/>
  <c r="AE52" i="8"/>
  <c r="AE56" i="8"/>
  <c r="AF56" i="8" s="1"/>
  <c r="AE43" i="8"/>
  <c r="AF43" i="8" s="1"/>
  <c r="AE51" i="8"/>
  <c r="AF51" i="8" s="1"/>
  <c r="AE59" i="8"/>
  <c r="AF59" i="8" s="1"/>
  <c r="G30" i="4"/>
  <c r="I8" i="5"/>
  <c r="J8" i="5" s="1"/>
  <c r="I24" i="5"/>
  <c r="J24" i="5" s="1"/>
  <c r="G27" i="4"/>
  <c r="I25" i="5"/>
  <c r="J25" i="5" s="1"/>
  <c r="I18" i="5"/>
  <c r="H7" i="4"/>
  <c r="H11" i="4"/>
  <c r="G31" i="4"/>
  <c r="I19" i="5"/>
  <c r="I23" i="5"/>
  <c r="J23" i="5" s="1"/>
  <c r="I27" i="5"/>
  <c r="J27" i="5" s="1"/>
  <c r="G20" i="4"/>
  <c r="G7" i="4"/>
  <c r="G11" i="4"/>
  <c r="H19" i="4"/>
  <c r="G29" i="4"/>
  <c r="H21" i="4"/>
  <c r="I14" i="5"/>
  <c r="J14" i="5" s="1"/>
  <c r="G24" i="4"/>
  <c r="H4" i="4"/>
  <c r="H8" i="4"/>
  <c r="H12" i="4"/>
  <c r="H25" i="4"/>
  <c r="I16" i="5"/>
  <c r="G28" i="4"/>
  <c r="J2" i="5"/>
  <c r="G4" i="4"/>
  <c r="G15" i="4" s="1"/>
  <c r="G8" i="4"/>
  <c r="G12" i="4"/>
  <c r="H23" i="4"/>
  <c r="J3" i="5"/>
  <c r="I20" i="5"/>
  <c r="J20" i="5" s="1"/>
  <c r="I22" i="5"/>
  <c r="J22" i="5" s="1"/>
  <c r="AE39" i="8"/>
  <c r="AF39" i="8" s="1"/>
  <c r="AE47" i="8"/>
  <c r="AF47" i="8" s="1"/>
  <c r="AE38" i="8"/>
  <c r="AF38" i="8" s="1"/>
  <c r="AE46" i="8"/>
  <c r="AF46" i="8" s="1"/>
  <c r="AE54" i="8"/>
  <c r="G18" i="4"/>
  <c r="G33" i="4" s="1"/>
  <c r="H24" i="4"/>
  <c r="AE37" i="8"/>
  <c r="AE45" i="8"/>
  <c r="AE53" i="8"/>
  <c r="AE57" i="8"/>
  <c r="AF57" i="8" s="1"/>
  <c r="G22" i="4"/>
  <c r="H28" i="4"/>
  <c r="I6" i="5"/>
  <c r="J6" i="5" s="1"/>
  <c r="I10" i="5"/>
  <c r="J10" i="5" s="1"/>
  <c r="I26" i="5"/>
  <c r="J26" i="5" s="1"/>
  <c r="AE36" i="8"/>
  <c r="AF36" i="8" s="1"/>
  <c r="AE44" i="8"/>
  <c r="AF44" i="8" s="1"/>
  <c r="AE40" i="8"/>
  <c r="AE48" i="8"/>
  <c r="G26" i="4"/>
  <c r="I15" i="5"/>
  <c r="J15" i="5" s="1"/>
  <c r="H32" i="4"/>
  <c r="AE41" i="8"/>
  <c r="AE49" i="8"/>
  <c r="J4" i="5"/>
  <c r="AE55" i="8"/>
  <c r="L28" i="5" l="1"/>
  <c r="K28" i="5"/>
  <c r="J13" i="5"/>
  <c r="K13" i="5"/>
  <c r="L13" i="5"/>
  <c r="L19" i="5"/>
  <c r="K19" i="5"/>
  <c r="K18" i="5"/>
  <c r="L18" i="5"/>
  <c r="H33" i="4"/>
  <c r="I33" i="4" s="1"/>
  <c r="K16" i="5"/>
  <c r="L16" i="5"/>
  <c r="H15" i="4"/>
  <c r="I15" i="4" s="1"/>
</calcChain>
</file>

<file path=xl/comments1.xml><?xml version="1.0" encoding="utf-8"?>
<comments xmlns="http://schemas.openxmlformats.org/spreadsheetml/2006/main">
  <authors>
    <author/>
  </authors>
  <commentList>
    <comment ref="G15" authorId="0" shapeId="0">
      <text>
        <r>
          <rPr>
            <sz val="11"/>
            <color theme="1"/>
            <rFont val="Calibri"/>
            <scheme val="minor"/>
          </rPr>
          <t>@irving.castillo@difgdl.gob.mx
_Asignada a irving.castillo@difgdl.gob.mx_
	-Jorge Flores Uribe</t>
        </r>
      </text>
    </comment>
  </commentList>
</comments>
</file>

<file path=xl/sharedStrings.xml><?xml version="1.0" encoding="utf-8"?>
<sst xmlns="http://schemas.openxmlformats.org/spreadsheetml/2006/main" count="2723" uniqueCount="922">
  <si>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</si>
  <si>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</si>
  <si>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</si>
  <si>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</si>
  <si>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</si>
  <si>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</si>
  <si>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</si>
  <si>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</si>
  <si>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</si>
  <si>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</si>
  <si>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</si>
  <si>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</si>
  <si>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 xml:space="preserve">OPD  de la Administración Pública Municipal denominado Sistema DIF Guadalajara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</si>
  <si>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</si>
  <si>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</si>
  <si>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</si>
  <si>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</si>
  <si>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</si>
  <si>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</si>
  <si>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</si>
  <si>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</si>
  <si>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</si>
  <si>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</si>
  <si>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</si>
  <si>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</si>
  <si>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</si>
  <si>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Eje de 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</si>
  <si>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</si>
  <si>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</si>
  <si>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</si>
  <si>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</si>
  <si>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Guadalajara Próspera e Incluyente</t>
  </si>
  <si>
    <t>ALINEACIÓN CON OBJETIVOS DEL PMDyG</t>
  </si>
  <si>
    <t>O2. Ejecutar programas sociales estratégicos que impulsen la innovación social responsable e incluyente, para garantizar un crecimiento equitativos, equilibrado y sostenible.</t>
  </si>
  <si>
    <t xml:space="preserve">ESTRATEGIA </t>
  </si>
  <si>
    <t>E2.4 Cohesión del tejido social y E2.5 Generación de condiciones para la impartición de asistencia social que propicie la restitución de derechos a las personas vulnerables.</t>
  </si>
  <si>
    <t>LINEA DE ACCIÓN</t>
  </si>
  <si>
    <t>Promover entornos sociales saludables y libres de violencia por medio de servicios asistenciales y a bajo costo para disminuir los riesgos psicosociales.</t>
  </si>
  <si>
    <t xml:space="preserve">EJES ESTRATÉGICOS DEL SISTEMA DIF GUADALAJARA </t>
  </si>
  <si>
    <t xml:space="preserve">Guadalajara en Paz </t>
  </si>
  <si>
    <t>IMPORTE</t>
  </si>
  <si>
    <t>Mes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</si>
  <si>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</si>
  <si>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</si>
  <si>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</si>
  <si>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</si>
  <si>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</si>
  <si>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</si>
  <si>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</si>
  <si>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</si>
  <si>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</si>
  <si>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</si>
  <si>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</si>
  <si>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</si>
  <si>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</si>
  <si>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</si>
  <si>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</si>
  <si>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</si>
  <si>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</si>
  <si>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</si>
  <si>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</si>
  <si>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</si>
  <si>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</si>
  <si>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</si>
  <si>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</si>
  <si>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</si>
  <si>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</si>
  <si>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</si>
  <si>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</si>
  <si>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</si>
  <si>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</si>
  <si>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</si>
  <si>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Meta alcanzada</t>
  </si>
  <si>
    <t>FIN/PROPÓSITO SUMA</t>
  </si>
  <si>
    <t>FIN</t>
  </si>
  <si>
    <t xml:space="preserve">Contribuir a la restitución de derechos a personas y grupos en condición de vulnerabilidad, mediante servicios de salud, nutrición, psicológicos, de habilidades para el trabajo, educación y atención y prevención a las violencias en Guadalajara en el 2023. </t>
  </si>
  <si>
    <t>Porcentaje  de personas que asisten a servicios de salud, nutrición, psicológicos, de habilidades para el trabajo, educación y atención y prevención a las violencias en Guadalajara durante el 2023</t>
  </si>
  <si>
    <t>Mide el porcentaje  de personas que asisten a servicios de salud, nutrición, psicológicos, de habilidades para el trabajo, educación y atención y prevención a las violencias respecto de la meta planteada para el 2023</t>
  </si>
  <si>
    <t xml:space="preserve">Eficacia </t>
  </si>
  <si>
    <t>Estratégico</t>
  </si>
  <si>
    <t>Número de personas atendidas en los servicios de salud, nutrición, psicológicos, de habilidades para el trabajo, educación y atención y prevención a las violencias durante el 2023/ número meta de personas por atender para el 2023*100</t>
  </si>
  <si>
    <t>Número de personas atendidas en los servicios de salud, nutrición, psicológicos, de habilidades para el trabajo, educación y atención y prevención a las violencias durante el 2023</t>
  </si>
  <si>
    <t xml:space="preserve"> Número meta de personas por atender en el 2023</t>
  </si>
  <si>
    <t>Anual</t>
  </si>
  <si>
    <t>Porcentaje</t>
  </si>
  <si>
    <t>No disponible</t>
  </si>
  <si>
    <t>V1: Expedientes
V2: Listas de asistencia
V3: Padrón de beneficiarios</t>
  </si>
  <si>
    <t>Existe una colaboración activa y comprometida de la sociedad civil y de organizaciones no gubernamentales que trabajen en la atención y prevención de la violencia, así como en la promoción de la salud y la educación. Además, hay un entorno económico y social estable que permita la inversión en programas y servicios para la población vulnerable.</t>
  </si>
  <si>
    <t>PROPÓSITO</t>
  </si>
  <si>
    <t>La población de Guadalajara accede a servicios asistenciales y a bajo costo para disminuir los riesgos psicosociales a través de los programas del eje de Guadalajara en Paz del Sistema DIF Guadalajara en el 2023</t>
  </si>
  <si>
    <t>Porcentaje de servicios brindados a grupos en condición de vulnerabilidad en los programas de salud, nutrición, psicológicos, de habilidades para el trabajo, educación y atención y prevención a las violencias que oferta el Sistema DIF Guadalajara durante el 2023</t>
  </si>
  <si>
    <t>Mide el porcentaje de servicios brindados a grupos en condición de vulnerabilidad en los programas de salud, nutrición, psicológicos, de habilidades para el trabajo, educación y atención y prevención a las violencias que oferta el Sistema DIF Guadalajara, durante el 2023</t>
  </si>
  <si>
    <t>Eficiencia</t>
  </si>
  <si>
    <t>Número total de servicios brindados a grupos en condición de vulnerabilidad en los programas del eje Guadalajara en Paz durante el 2023/ Número de servicios a grupos en condición de vulnerabilidad de los programas del eje Guadalajara en Paz programados para el 2023*100</t>
  </si>
  <si>
    <t>Número total de servicios brindados a grupos en condición de vulnerabilidad en los programas del eje Guadalajara en Paz durante el 2023</t>
  </si>
  <si>
    <t>Número de servicios a grupos en condición de vulnerabilidad de los programas del eje Guadalajara en Paz programados para el 2023</t>
  </si>
  <si>
    <t>V1:Expedientes
V2:Bitácora</t>
  </si>
  <si>
    <t>La población tiene acceso a información clara y precisa sobre los programas para que puedan aprovecharlos al máximo.</t>
  </si>
  <si>
    <t>25. Grupos vulnerables</t>
  </si>
  <si>
    <t>COMPONENTE 1</t>
  </si>
  <si>
    <t>C1. Servicios de reconstrucción del tejido social brindados en los Centros de Desarrollo Comunitario a grupos en condición de vulnerabilidad en 2023</t>
  </si>
  <si>
    <t>Porcentaje de programas en los CDC que cumplieron una meta superior al 90% durante 2023</t>
  </si>
  <si>
    <t>Mide el porcentaje de los programas que operan en los Centros de Desarrollo Comunitario y que alcanzaron al menos el 90% durante 2023</t>
  </si>
  <si>
    <t>Eficacia</t>
  </si>
  <si>
    <t>Programas de apoyos asistenciales, servicios médicos, alimentos entregados, servicios odontológicos, psicológicos, estudios de laboratorio, raciones en comedores, talleres, grupos de preescolar, que alcanzaron una meta superior al 90%/  Programas que se espera que tengan una meta superior al 90%</t>
  </si>
  <si>
    <t>Programas en CDC de apoyos asistenciales, servicios médicos, alimentos entregados, servicios ondotológicos, psicológicos, estudios de laboratorio, raciones en comedores, talleres, grupos de preescolar, que alcanzaron una meta superior al 90%</t>
  </si>
  <si>
    <t>Programas que se espera que tengan una meta superior al 90% (9)</t>
  </si>
  <si>
    <t>Mensual</t>
  </si>
  <si>
    <t>Hay un vínculo entre la sociedad tapatía y las instituciones públicas,de tal forma que la población en situación de vulnerabilidad tienen fácil acceso a los servicios otorgados en los CDC.</t>
  </si>
  <si>
    <t>ACTIVIDAD 1.1</t>
  </si>
  <si>
    <t>Apoyos asistenciales entregados a la población vulnerable que radica en la municipalidad de Guadalajara y en tránsito en el programa de Trabajo Social Asistencial durante el 2023</t>
  </si>
  <si>
    <t>Apoyos asistenciales entregados en 2023</t>
  </si>
  <si>
    <t>Mide el porcentaje de apoyos asistenciales entregados en 2023</t>
  </si>
  <si>
    <t>Gestión</t>
  </si>
  <si>
    <t>Apoyos asistenciales entregados durante el 2023/ apoyos asistenciales establecidos como meta para el 2023*100</t>
  </si>
  <si>
    <t>Apoyos asistenciales entregados durante el 2023</t>
  </si>
  <si>
    <t>Apoyos asistenciales establecidos como meta para el 2023</t>
  </si>
  <si>
    <t>Padrón de beneficiarios</t>
  </si>
  <si>
    <t>Se mantienen las condiciones de seguridad y estabilidad en el municipio que garantiza que los beneficiarios pueden recibir los apoyos sin riesgos para su integridad física o emocional.</t>
  </si>
  <si>
    <t>ACTIVIDAD 1.2</t>
  </si>
  <si>
    <t>Expedientes integrados para la atención a la población vulnerable de Guadalajara durante el 2023</t>
  </si>
  <si>
    <t>Porcentaje de expedientes completos para la atención a las necesidades a la población vulnerable en 2023</t>
  </si>
  <si>
    <t>Mide el porcentaje de expedientes completos para la atención a las necesidades de la población vulnerable en 2023</t>
  </si>
  <si>
    <t>Expedientes integrados de manera completa en 2023/ expedientes establecidos como meta*100</t>
  </si>
  <si>
    <t>Expedientes integrados de manera completa en 2023</t>
  </si>
  <si>
    <t>Expedientes establecidos como meta</t>
  </si>
  <si>
    <t>Expedientes de trabajo social</t>
  </si>
  <si>
    <t>Existe una colaboración activa y comprometida de la sociedad civil y de la institución pública que permite la integración de los expedientes.</t>
  </si>
  <si>
    <t>FIN/PROPÓSITO</t>
  </si>
  <si>
    <t>ACTIVIDAD 1.3</t>
  </si>
  <si>
    <t>Servicios médicos de atención y prevención de primer nivel brindados, durante el 2023</t>
  </si>
  <si>
    <t>Porcentaje de atención a la población que requiere los servicios de atención médica de primer nivel ofrecidos por el Sistema DIF Guadalajara, en 2023</t>
  </si>
  <si>
    <t>Mide el porcentaje de atención a la población que requiere los servicios de atención médica de primer nivel ofrecidos por el Sistema DIF Guadalajara, en 2023</t>
  </si>
  <si>
    <t>Número de personas atendidas por los servicios de atención médica de primer nivel durante el 2023/ número de personas programadas para servicios de atención médica  de primer nivel para el 2023 *100</t>
  </si>
  <si>
    <t>Número de personas atendidas por los servicios de atención médica de primer nivel durante el 2023</t>
  </si>
  <si>
    <t xml:space="preserve">Número de personas programadas para servicios de atención médica  de primer nivel para el 2023 </t>
  </si>
  <si>
    <t>V1:Expedientes 
V2:bitácora de registro</t>
  </si>
  <si>
    <t xml:space="preserve">La población tiene conciencia sobre la importancia de la atención médica preventiva. </t>
  </si>
  <si>
    <t>ACTIVIDAD 1.4</t>
  </si>
  <si>
    <t>Alimentos nutritivos e inocuos entregados a la población con inseguridad alimentaria en el municipio de Guadalajara, durante el 2023</t>
  </si>
  <si>
    <t>Porcentaje de personas con inseguridad alimentaria que es atendida por el programa de  Atención Alimentaria, en 2023</t>
  </si>
  <si>
    <t>Mide el porcentaje de personas con inseguridad alimentaria que es atendida por el programa de  Atención alimentaria, en 2023</t>
  </si>
  <si>
    <t>Número de personas beneficiadas en el programa de Desayunos escolares + número de personas beneficiadas en PAAGP + número de personas beneficiadas en programa de atención alimentaria en los primeros 1000 días de vida, durante el 2023/ Número de personas inscritas en los programas de asistencia alimentaria del Sistema DIF Guadalajara para el 2023*100</t>
  </si>
  <si>
    <t>Número de personas beneficiadas en el programa de Desayunos escolares + número de personas beneficiadas en PAAGP + número de personas beneficiadas en programa de atención alimentaria en los primeros 1000 días de vida, durante el 2023</t>
  </si>
  <si>
    <t>Número de personas inscritas en los programas de asistencia alimentaria del Sistema DIF Guadalajara para el 2023</t>
  </si>
  <si>
    <t>La población con insuficiencia alimentaria sabe a dónde asistir por su apoyo y tiene la posibilidad de hacerlo.</t>
  </si>
  <si>
    <t>ACTIVIDAD 1.5</t>
  </si>
  <si>
    <t>Apoyos del Programa de Alimentación Escolar entregados en 2023</t>
  </si>
  <si>
    <t>Apoyos entregados a personas con inseguridad alimentaria del Programa de Alimentación Escolar, en 2023</t>
  </si>
  <si>
    <t>Mide el porcentaje de apoyos entregados a personas con inseguridad alimentaria del Programa de Alimentación Escolar, en 2023</t>
  </si>
  <si>
    <t>Número de raciones de alimentos entregados durante el 2023/ número de raciones de alimentos programados para el 2023*100</t>
  </si>
  <si>
    <t>Número de raciones de alimentos entregados durante el 2023</t>
  </si>
  <si>
    <t>Número de raciones de alimentos programados para el 2023</t>
  </si>
  <si>
    <t>Listas de entregas de los apoyos</t>
  </si>
  <si>
    <t>Los cuidadores de la población escolar con inseguridad alimentaria tiene conocimiento y posibilidades para solicitar su apoyo.</t>
  </si>
  <si>
    <t>ACTIVIDAD 1.6</t>
  </si>
  <si>
    <t>Apoyos del Programa de Atención Alimentaria a Grupos Prioritarios entregados en 2023</t>
  </si>
  <si>
    <t>Apoyos entregados a personas con inseguridad alimentaria del Programa de Asistencia Alimentaria a Grupos Prioritarios, en 2023</t>
  </si>
  <si>
    <t>Mide el porcentaje de apoyos entregados a personas con inseguridad alimentaria del Programa de Asistencia Alimentaria a Grupos Prioritarios, en 2023</t>
  </si>
  <si>
    <t>Número de raciones de alimentos entregados durante el 2023/ número de raciones de alimentos programados durante el 2023*100</t>
  </si>
  <si>
    <t>Número de raciones de alimentos programados durante el 2023</t>
  </si>
  <si>
    <t>La población con inseguridad alimentaria tiene conocimiento y posibilidades para solicitar su apoyo.</t>
  </si>
  <si>
    <t>ACTIVIDAD 1.7</t>
  </si>
  <si>
    <t>Apoyos del Programa de Atención Alimentaria en los Primeros 1000 Días de Vida entregados en 2023</t>
  </si>
  <si>
    <t>Apoyos entregados a personas con inseguridad alimentaria del Programa de Atención Alimentaria en los Primeros 1000 días de vida, en 2023</t>
  </si>
  <si>
    <t>Mide el porcentaje de apoyos entregados a personas con inseguridad alimentaria del Programa de Atención Alimentaria en los Primeros 1000 días de vida, en 2023</t>
  </si>
  <si>
    <t>Las madres y/o personas cuidadoras tienen conocimiento del lugar donde se ofrecen estos apoyos, también cuentan con la posibilidad de asistir a dichos centros.</t>
  </si>
  <si>
    <t>ACTIVIDAD 1.8</t>
  </si>
  <si>
    <t>Prácticas de autocuidado, prevención y atención a la salud bucal y maxilofacial a través de los servicios otorgados, durante el 2023</t>
  </si>
  <si>
    <t>Porcentaje de atención  de servicios odontológicos y maxilofaciales a la población objetivo, en 2023</t>
  </si>
  <si>
    <t>Mide el porcentaje de atención  de servicios odontológicos y maxilofaciales a la población objetivo, en 2023</t>
  </si>
  <si>
    <t>Número de servicios de atención odontológica brindados a personas durante el 2023/ Número meta de servicios de atención odontológica brindados a personas para el 2023*100</t>
  </si>
  <si>
    <t>Número de servicios de atención odontológica brindados a personas durante el 2023</t>
  </si>
  <si>
    <t>Número meta de servicios de atención odontológica brindados a personas para el 2023</t>
  </si>
  <si>
    <t>V1: Expedientes y 
V2: bitácora de registro</t>
  </si>
  <si>
    <t>La población en vulnerabilidad cuentan con el conocimiento  y posibilidad de asistir</t>
  </si>
  <si>
    <t>ACTIVIDAD 1.9</t>
  </si>
  <si>
    <t>Personas en situación de vulnerabilidad que recibieron atención psicológica en CDC, y CAETF en 2023</t>
  </si>
  <si>
    <t>Promedio de personas que recibieron servicio de consulta psicológica, en 2023</t>
  </si>
  <si>
    <t>Mide el promedio de cumplimiento en el servicio de consulta psicológica, en 2023</t>
  </si>
  <si>
    <t>Número de personas que recibieron servicio de consulta psicológica durante el 2023/4</t>
  </si>
  <si>
    <t>Número de personas que recibieron servicio de consulta psicológica durante el 2023</t>
  </si>
  <si>
    <t>Trimestral</t>
  </si>
  <si>
    <t>Promedio</t>
  </si>
  <si>
    <t>Expedientes</t>
  </si>
  <si>
    <t>La población tiene conciencia sobre la importancia de la atención psicológica y cuentan con los medios necesarios para asistir al centro.</t>
  </si>
  <si>
    <t>ACTIVIDAD 1.10</t>
  </si>
  <si>
    <t>Sesiones de atención psicológica brindadas en CDC, y CAETF en 2023</t>
  </si>
  <si>
    <t>Porcentaje de sesiones de los servicios de consulta psicológica, en 2023</t>
  </si>
  <si>
    <t>Mide el porcentaje de cumplimiento en el servicio de consulta psicológica, en 2023</t>
  </si>
  <si>
    <t>Número de consultas psicológicas brindadas en CDC y CAEFT durante el 2023/ Número de consultas psicológicas establecidas como meta en CDC y CAEFT para el 2023*100</t>
  </si>
  <si>
    <t>Número de consultas psicológicas brindadas en CDC y CAEFT durante el 2023</t>
  </si>
  <si>
    <t>Número de consultas psicológicas establecidas como meta en CDC y CAEFT para el 2023</t>
  </si>
  <si>
    <t>ACTIVIDAD 1.11</t>
  </si>
  <si>
    <t>Estudios de laboratorio para la detección oportuna de riesgos en la salud realizados, durante el 2023</t>
  </si>
  <si>
    <t>Porcentaje de cumplimiento en la cobertura de servicios de laboratorio, en 2023</t>
  </si>
  <si>
    <t>Mide el porcentaje de cumplimiento en la cobertura de servicios de laboratorio, en 2023</t>
  </si>
  <si>
    <t>Número de estudios laboratoriales realizados durante el 2023/ número de estudios laboratoriales prospectados como meta para el 2023*100</t>
  </si>
  <si>
    <t>Número de estudios laboratoriales realizados durante el 2023</t>
  </si>
  <si>
    <t>Número de estudios laboratoriales prospectados como meta para el 2023</t>
  </si>
  <si>
    <t>Registros de estudios laboratoriales realizados</t>
  </si>
  <si>
    <t>Existe un balance entre el número de personas que requieren el servicio del laboratorio y de la capacidad técnica y humana de los laboratorios.</t>
  </si>
  <si>
    <t>ACTIVIDAD 1.12</t>
  </si>
  <si>
    <t>Usuarios y usuarias recibieron raciones alimenticias en los comedores comunitarios, durante el 2023</t>
  </si>
  <si>
    <t>Promedio de beneficiarios y beneficiarias que recibieron raciones alimenticias al mes, durante el 2023</t>
  </si>
  <si>
    <t>Mide el Promedio de beneficiarios y beneficiarias que recibieron raciones alimenticias al mes, durante el 2023</t>
  </si>
  <si>
    <t>Usuarios y usuarias de comedores comunitarios durante el 2023/ 4</t>
  </si>
  <si>
    <t>Usuarios y usuarias de comedores comunitarios durante el 2023</t>
  </si>
  <si>
    <t>Existen  las condiciones climáticas, la disponibilidad de recursos naturales y la capacidad de los productores y distribuidores de alimentos para adaptarse a situaciones imprevistas.</t>
  </si>
  <si>
    <t>ACTIVIDAD 1.13</t>
  </si>
  <si>
    <t>Entrega de raciones alimenticias en los comedores comunitarios, durante el 2023</t>
  </si>
  <si>
    <t>Porcentaje de cumplimiento en la entrega de raciones alimentarias en comedores comunitarios, durante el 2023</t>
  </si>
  <si>
    <t>Mide el Porcentaje de cumplimiento en la entrega de raciones alimentarias en comedores comunitarios, durante el 2023.</t>
  </si>
  <si>
    <t>Número de raciones alimentarias entregadas en comedores comunitarios durante el 2023/ número de  raciones alimentarias programadas como meta para el 2023*100</t>
  </si>
  <si>
    <t>Número de raciones alimentarias entregadas en comedores comunitarios durante el 2023</t>
  </si>
  <si>
    <t>Número de  raciones alimentarias programadas como meta para el 2023</t>
  </si>
  <si>
    <t>ACTIVIDAD 1.14</t>
  </si>
  <si>
    <t>Usuarios que asistieron a talleres y cursos realizados en CDC e ICAS trimestralmente en 2023</t>
  </si>
  <si>
    <t>Promedio mensual de usuarios que participaron en talleres y cursos realizadas en CDC e ICAS, en 2023</t>
  </si>
  <si>
    <t>Mide el promedio mensual de usuarios en talleres y cursos realizados en CDC e ICAS en 2023</t>
  </si>
  <si>
    <t>Usuarios y usuarias que asistieron a talleres y cursos en 2023 / 4</t>
  </si>
  <si>
    <t xml:space="preserve">Usuarios y usuarias que asistieron a talleres y cursos en 2023 </t>
  </si>
  <si>
    <t>V1: Padrón de beneficiarios/
V2: listas de asistencia</t>
  </si>
  <si>
    <t xml:space="preserve">Los usuarios están dispuestos y tienen la capacidad de asistir a los talleres y cursos ofrecidos por CDC e ICAS. </t>
  </si>
  <si>
    <t>ACTIVIDAD 1.15</t>
  </si>
  <si>
    <t>Talleres y cursos realizados en CDC e ICAS trimestralmente en 2023</t>
  </si>
  <si>
    <t>Promedio mensual de talleres y cursos realizados en CDC e ICAS, en 2023</t>
  </si>
  <si>
    <t>Mide el Promedio mensual de talleres y cursos realizados en CDC e ICAS, en 2023</t>
  </si>
  <si>
    <t>Talleres realizados durante el 2023 / 4</t>
  </si>
  <si>
    <t>Talleres realizados durante el 2023</t>
  </si>
  <si>
    <t>V1: Convocatorias, 
V2: fotografías, 
V3:listas de asistencia</t>
  </si>
  <si>
    <t>Existe una demanda suficiente por parte de la población interesada en participar en estos eventos.</t>
  </si>
  <si>
    <t>ACTIVIDAD 1.16</t>
  </si>
  <si>
    <t>Niñas y niños en condición de vulnerabilidad económica que terminaron ciclo escolar de nivel preescolar en 2023</t>
  </si>
  <si>
    <t>Porcentaje de eficiencia terminal de las niñas y niños que asisten al Preescolar en CDC, en 2023</t>
  </si>
  <si>
    <t>Mide el Porcentaje de eficiencia terminal de las niñas y niños que asisten al Preescolar en CDC, en 2023</t>
  </si>
  <si>
    <t>Número de niñas y niños que terminan su ciclo escolar en CDC durante el 2023/ Número de niñas y niños que ingresan al último ciclo escolar en CDC durante el 2023 *100</t>
  </si>
  <si>
    <t>Número de niñas y niños que terminan su ciclo escolar en CDC durante el 2023</t>
  </si>
  <si>
    <t xml:space="preserve">Número de niñas y niños que ingresan al último ciclo escolar en CDC durante el 2023 </t>
  </si>
  <si>
    <t>Expedientes de niñas y niños que cursan preescolar en los CDC</t>
  </si>
  <si>
    <t>Las familias tienen un mínimo de condiciones de calidad de vida que permite un sano desarrollo de la niña o niño</t>
  </si>
  <si>
    <t>ACTIVIDAD 1.17</t>
  </si>
  <si>
    <t xml:space="preserve"> Grupos de preescolar activos en CDC en 2023</t>
  </si>
  <si>
    <t>Porcentaje de grupos de preescolar activos CDC durante el 2023</t>
  </si>
  <si>
    <t>Mide el Porcentaje de grupos de preescolar activos CDC durante el 2023</t>
  </si>
  <si>
    <t>Grupos de preescolar activos en CDC durante el 2023 / Grupos de preescolar programados en CDC para el 2023* 100</t>
  </si>
  <si>
    <t xml:space="preserve">Grupos de preescolar activos en CDC durante el 2023 </t>
  </si>
  <si>
    <t>Grupos de preescolar programados en CDC para el 2023</t>
  </si>
  <si>
    <t>Listas de asistencia</t>
  </si>
  <si>
    <t>COMPONENTE 2</t>
  </si>
  <si>
    <t>Apoyos asistenciales entregados a población en situación de emergencia, durante el 2023</t>
  </si>
  <si>
    <t>(Número de apoyos asistenciales brindados durante el 2023/ número de apoyos asistenciales solicitados durante el 2023)*100</t>
  </si>
  <si>
    <t>Número de apoyos asistenciales brindados durante el 2023</t>
  </si>
  <si>
    <t>Número de apoyos asistenciales solicitados durante el 2023</t>
  </si>
  <si>
    <t>V1. Evidencia de apoyos asistenciales brindados por Protección Civil V2. listas de entrega</t>
  </si>
  <si>
    <t>Existe un balance entre el número de personas que requieren el apoyo y la capacidad operativa de entrega.</t>
  </si>
  <si>
    <t>ACTIVIDAD 2.1</t>
  </si>
  <si>
    <t>Capacitaciones brindadas a la población abierta y población en condiciones de emergencias, durante el 2023</t>
  </si>
  <si>
    <t>Porcentaje de cumplimiento en las actividades de capacitación del Programa de Atención y Apoyo Asistencial a las Personas Afectadas por Contingencia o Siniestro, en 2023</t>
  </si>
  <si>
    <t>Mide el cumplimiento de las capacitaciones programadas para 2023</t>
  </si>
  <si>
    <t>(Número de actividades de capacitación del Programa de Atención y Apoyo Asistencial a las Personas Afectadas por Contingencia o Siniestro durante el 2023/ Número total  de actividades de capacitación del Programa de Atención y Apoyo Asistencial a las Personas Afectadas por Contingencia o Siniestro programadas para el 2023)*100</t>
  </si>
  <si>
    <t>Número de actividades de capacitación del Programa de Atención y Apoyo Asistencial a las Personas Afectadas por Contingencia o Siniestro durante el 2023</t>
  </si>
  <si>
    <t>Número total  de actividades de capacitación del Programa de Atención y Apoyo Asistencial a las Personas Afectadas por Contingencia o Siniestro programadas para el 2023</t>
  </si>
  <si>
    <t>Listas de asistencia de capacitaciones realizadas</t>
  </si>
  <si>
    <t>Las personas ya cuentan con las capacitaciones y no requieren asistir</t>
  </si>
  <si>
    <t>COMPONENTE 3</t>
  </si>
  <si>
    <t>Atenciones multidisciplinarias realizadas a las personas que viven y/o ejercer violencia familiar en el municipio de Guadalajara, durante el 2023</t>
  </si>
  <si>
    <t xml:space="preserve">Porcentaje de atenciones por expediente abierto realizadas en la UAVIFAM Guadalajara en 2023. </t>
  </si>
  <si>
    <t xml:space="preserve">Mide el porcentaje de atenciones por expediente abierto realizadas en la UAVIFAM Guadalajara en 2023. </t>
  </si>
  <si>
    <t>(Número de atenciones brindadas en UAVIFAM 2023 / Número de atenciones meta en UAVIFAM 2023) *100</t>
  </si>
  <si>
    <t>Número de atenciones brindadas en UAVIFAM 2023</t>
  </si>
  <si>
    <t>Número de atenciones meta en UAVIFAM 2023</t>
  </si>
  <si>
    <t>V1: Expedientes de Violencia familiar aperturados y 
V2: registro de las atenciones</t>
  </si>
  <si>
    <t>La tendencia de violencias en la familia disminuye lo que provoca una menor necesidad de atenciones por parte de los equipos de las UAVIS</t>
  </si>
  <si>
    <t>ACTIVIDAD 3.1</t>
  </si>
  <si>
    <t>Aperturas de expedientes para la atención multidisciplinaria primaria realizadas a las personas que viven y/o ejercen violencia familiar en el Municipio de Guadalajara, durante el 2023</t>
  </si>
  <si>
    <t>Porcentaje de aperturas de expedientes de atenciones multidisciplinarias primarias en UAVIFAM Guadalajara en 2023</t>
  </si>
  <si>
    <t>Mide el Porcentaje de aperturas de expedientes de atenciones multidisciplinarias primarias en UAVIFAM Guadalajara en 2023</t>
  </si>
  <si>
    <t>(Número de expedientes abiertos para la atención multidisciplinaria primaria  en 2023 / Número de expedientes abiertos para la atenciones multidisciplinarias establecidas como meta en UAVIFAM para el 2023) * 100</t>
  </si>
  <si>
    <t xml:space="preserve">Número de expedientes abiertos para la atención multidisciplinaria primaria  en 2023 </t>
  </si>
  <si>
    <t>Número de expedientes abiertos para la atenciones multidisciplinarias establecidas como meta en UAVIFAM para el 2023</t>
  </si>
  <si>
    <t>V1: Expedientes de Violencia familiar aperturados  
V2:registro de las atenciones</t>
  </si>
  <si>
    <t>Los procesos de atención se complejizan lo que provoca un aumento de tiempo en la atención de los casos y en consecuencia una menor capacidad para atender.</t>
  </si>
  <si>
    <t>ACTIVIDAD 3.2</t>
  </si>
  <si>
    <t>Intervención multidisciplinaria de seguimiento a expedientes activos, durante el 2023</t>
  </si>
  <si>
    <t>Porcentaje de atenciones de seguimiento por expediente en UAVIFAM Guadalajara en 2023</t>
  </si>
  <si>
    <t>Mide el Porcentaje de atenciones de seguimiento por expediente en UAVIFAM Guadalajara en 2023</t>
  </si>
  <si>
    <t>(Número de atenciones de seguimiento brindadas en 2023 / Número de atenciones de seguimiento establecidas como meta en UAVIFAM para el 2023) * 100</t>
  </si>
  <si>
    <t>Número de atenciones de seguimiento brindadas en 2023</t>
  </si>
  <si>
    <t>Número de atenciones de seguimiento establecidas como meta en UAVIFAM para el 2023</t>
  </si>
  <si>
    <t>V1: Expediente de violencia familiar</t>
  </si>
  <si>
    <t xml:space="preserve">Se cierran los casos de seguimiento por desistimiento de los usuarios o usuarias que reciben los servicios. </t>
  </si>
  <si>
    <t>86. Desaparecidos</t>
  </si>
  <si>
    <t>COMPONENTE 4</t>
  </si>
  <si>
    <t>Implementación de sesiones grupales de acompañamiento psicosocial y psicoeducativo para las personas usuarias del Programa de Acompañar las Ausencias, durante el 2023</t>
  </si>
  <si>
    <t>Porcentaje de sesiones grupales realizadas en 2023</t>
  </si>
  <si>
    <t>Mide el Porcentaje de sesiones grupales realizadas en 2023</t>
  </si>
  <si>
    <t>(Número de sesiones grupales realizadas durante el 2023/ número de sesiones grupales programadas para el 2023)*100</t>
  </si>
  <si>
    <t>Número de sesiones grupales realizadas durante el 2023</t>
  </si>
  <si>
    <t>número de sesiones grupales programadas para el 2023</t>
  </si>
  <si>
    <t xml:space="preserve">V1: Lista de asistencia 
V2:programación anual de sesiones grupales </t>
  </si>
  <si>
    <t>Disminuyen las sesiones por contingencias sanitarias o falta de espacio para realizar las reuniones de las y los usuarios</t>
  </si>
  <si>
    <t>ACTIVIDAD 4.1</t>
  </si>
  <si>
    <t>Acompañamientos psicosociales para familiares de víctimas indirectas de desaparición brindadas, durante el 2023</t>
  </si>
  <si>
    <t>Promedio de familias que recibieron acompañamientos por parte del Programa de Acompañar las Ausencias, en 2023</t>
  </si>
  <si>
    <t>Mide el Promedio de familias que recibieron acompañamientos por parte del Programa de Acompañar las Ausencias, en 2023</t>
  </si>
  <si>
    <t>Número meta de familias registradas en el Programa de Acompañar las Ausencias durante el 2023 / 4</t>
  </si>
  <si>
    <t>Número meta de familias registradas en el Programa de Acompañar las Ausencias durante el 2023</t>
  </si>
  <si>
    <t>V1: Expedientes y 
V2:bitácora de registro de acompañamientos</t>
  </si>
  <si>
    <t>Disminuyen las solicitudes de personas con un familiar desaparecido lo que provoca una menor cantidad de servicios brindados</t>
  </si>
  <si>
    <t>ACTIVIDAD 4.2</t>
  </si>
  <si>
    <t>A2C4. Familiares de personas desaparcidas atendidas por el programa de Acompañar las Ausencias</t>
  </si>
  <si>
    <t>Porcentaje de la población objetivo del Programa Acompañar las Ausencias que ha asistido a las sesiones grupales de acompañamiento, en 2023</t>
  </si>
  <si>
    <t>Mide el porcentaje de los familiares asistentes de personas desaparecidas  atendidas por el Programa Acompañar las Ausencias que asistieron a las sesiones grupales de acompañamiento, en 2023</t>
  </si>
  <si>
    <t>Número de familiares de personas desaparecidas que asistieron a las sesiones grupales de acompañamiento durante el 2023/Número programado de familiares de personas desaparecidas que asistieron a las sesiones grupales de acompañamiento durante el 2023</t>
  </si>
  <si>
    <t>Número de familiares de personas desaparecidas que asistieron a las sesiones grupales de acompañamiento durante el 2023</t>
  </si>
  <si>
    <t>Número programado de familiares de personas desaparecidas que asistieron a las sesiones grupales de acompañamiento durante el 2023</t>
  </si>
  <si>
    <t>Lista de asistencia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</si>
  <si>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</si>
  <si>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</si>
  <si>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</si>
  <si>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</si>
  <si>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</si>
  <si>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</si>
  <si>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</si>
  <si>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</si>
  <si>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</si>
  <si>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</si>
  <si>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</si>
  <si>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</si>
  <si>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</si>
  <si>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</si>
  <si>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</si>
  <si>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</si>
  <si>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</si>
  <si>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</si>
  <si>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</si>
  <si>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</si>
  <si>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 xml:space="preserve">Porcentaje </t>
  </si>
  <si>
    <t>103.9%</t>
  </si>
  <si>
    <t>282.7%</t>
  </si>
  <si>
    <t>233.1%</t>
  </si>
  <si>
    <t>101.5%</t>
  </si>
  <si>
    <t>100%</t>
  </si>
  <si>
    <t>103%</t>
  </si>
  <si>
    <t>115.1%</t>
  </si>
  <si>
    <t>97.1%</t>
  </si>
  <si>
    <t>100.2%</t>
  </si>
  <si>
    <t>112.4%</t>
  </si>
  <si>
    <t>103.1%</t>
  </si>
  <si>
    <t>Porcentaje de apoyos asistenciales entregados a población en situación de emergencia , durante el 2023</t>
  </si>
  <si>
    <t>113.4%</t>
  </si>
  <si>
    <t>285.7%</t>
  </si>
  <si>
    <t>100.8%</t>
  </si>
  <si>
    <t>107%</t>
  </si>
  <si>
    <t>88.5%</t>
  </si>
  <si>
    <t>91.7%</t>
  </si>
  <si>
    <t>META</t>
  </si>
  <si>
    <t>ACUMULADO</t>
  </si>
  <si>
    <t>ALCANCE TRIM</t>
  </si>
  <si>
    <t>PORCENTAJE TRIM</t>
  </si>
  <si>
    <t>prom trim</t>
  </si>
  <si>
    <t>prom men</t>
  </si>
  <si>
    <t>SUBIDO</t>
  </si>
  <si>
    <t>Checar</t>
  </si>
  <si>
    <t>6.2%</t>
  </si>
  <si>
    <t>23.9%</t>
  </si>
  <si>
    <t>69%</t>
  </si>
  <si>
    <t>28.7%</t>
  </si>
  <si>
    <t>0%</t>
  </si>
  <si>
    <t>25%</t>
  </si>
  <si>
    <t>32.3%</t>
  </si>
  <si>
    <t>27.7%</t>
  </si>
  <si>
    <t>23.7%</t>
  </si>
  <si>
    <t>29.1%</t>
  </si>
  <si>
    <t>0.7%</t>
  </si>
  <si>
    <t>57.1%</t>
  </si>
  <si>
    <t>25.5%</t>
  </si>
  <si>
    <t>25.4%</t>
  </si>
  <si>
    <t>24%</t>
  </si>
  <si>
    <t>Número meta de familias registradas en el Programa de Acompañar las Ausencias durante el 2023 / 12 (Mes en curso)</t>
  </si>
  <si>
    <t>29.2%</t>
  </si>
  <si>
    <t>ANUAL</t>
  </si>
  <si>
    <t>2. Economía Próspera</t>
  </si>
  <si>
    <t>O13. Proteger los derechos y ampliar las oportunidades de desarrollo de los grupos prioritarios</t>
  </si>
  <si>
    <t>1. Guadalajara próspera e incluyente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</si>
  <si>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</si>
  <si>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</si>
  <si>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 xml:space="preserve">L2.6.2 Asistencia, promoción y restitución de derechos a personas y grupos en condición de vulnerabilidad, mediante servicios de salud, nutrición, psicológicos y de habilidades para el trabajo. </t>
  </si>
  <si>
    <t>Promedio del porcentaje de cumplimiento de las metas de los programas que brindan servicios en los CDC durante 2023</t>
  </si>
  <si>
    <t>Mide el promedio del alcance de las metas de los programas que operan en los Centros de Desarrollo Comunitario en 2023</t>
  </si>
  <si>
    <t>Porcentaje de alcance de meta en trabajo social asistencial + en atención médica de primer nivel + en Asistencia Alimentaria y Nutrición + en Atención Odontológica + en Atención psicológica + en Educación preescolar + en Desarrollo de Habilidades + en comedores comunitarios + en laboratorio clínico, durante el 2023 / 9</t>
  </si>
  <si>
    <t>Porcentaje de alcance de meta en trabajo social asistencial + en atención médica de primer nivel + en Asistencia Alimentaria y Nutrición + en Atención Odontológica + en Atención psicológica + en Educación preescolar + en Desarrollo de Habilidades + en comedores comunitarios + en laboratorio clínico, durante el 2023</t>
  </si>
  <si>
    <t>Número de personas que recibieron servicio de consulta psicológica durante el 2023/12 (meses en curso)</t>
  </si>
  <si>
    <t>12 (meses en curso)</t>
  </si>
  <si>
    <t>Usuarios y usuarias de comedores comunitarios durante el 2023/ 12 (mes en curso)</t>
  </si>
  <si>
    <t>12 (mes en curso)</t>
  </si>
  <si>
    <t>Usuarios y usuarias que asistieron a talleres y cursos en 2023 / 12 (meses cursados)</t>
  </si>
  <si>
    <t>12 (meses cursados)</t>
  </si>
  <si>
    <t>Talleres realizados durante el 2023 / 12 (meses cursados)</t>
  </si>
  <si>
    <t>12 (Mes en curso)</t>
  </si>
  <si>
    <t>Mide el porcentaje de los familiares de personas desaparecidas  atendidas por el Programa Acompañar las Ausencias que asistieron a las sesiones grupales de acompañamiento, en 2023</t>
  </si>
  <si>
    <t>Número de familiares de personas desaparecidas que asistieron a las sesiones grupales de acompañamiento durante el 2023/ Número de familiares de personas desaparecidas que asistieron a las sesiones grupales de acompañamiento programadas para el 2023 *100</t>
  </si>
  <si>
    <t xml:space="preserve"> Número de familiares de personas desaparecidas que asistieron a las sesiones grupales de acompañamiento programadas para el 2023 *100</t>
  </si>
  <si>
    <t/>
  </si>
  <si>
    <t>cOMENTARIO</t>
  </si>
  <si>
    <t>SUBIDA</t>
  </si>
  <si>
    <t>Sin comentarios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</si>
  <si>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</si>
  <si>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</si>
  <si>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</si>
  <si>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</si>
  <si>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</si>
  <si>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</si>
  <si>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</si>
  <si>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</si>
  <si>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</si>
  <si>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</si>
  <si>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</si>
  <si>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</si>
  <si>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</si>
  <si>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</si>
  <si>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</si>
  <si>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</si>
  <si>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</si>
  <si>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</si>
  <si>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</si>
  <si>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</si>
  <si>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</si>
  <si>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</si>
  <si>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</si>
  <si>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</si>
  <si>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</si>
  <si>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</si>
  <si>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</si>
  <si>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</si>
  <si>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1. Corriente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</si>
  <si>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</si>
  <si>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</si>
  <si>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</si>
  <si>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</si>
  <si>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</si>
  <si>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</si>
  <si>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</si>
  <si>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</si>
  <si>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</si>
  <si>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</si>
  <si>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</si>
  <si>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</si>
  <si>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</si>
  <si>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</si>
  <si>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</si>
  <si>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</si>
  <si>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</si>
  <si>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</si>
  <si>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</si>
  <si>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</si>
  <si>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</si>
  <si>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</si>
  <si>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</si>
  <si>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</si>
  <si>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</si>
  <si>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</si>
  <si>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</si>
  <si>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</si>
  <si>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</si>
  <si>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</si>
  <si>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</si>
  <si>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</si>
  <si>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</si>
  <si>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</si>
  <si>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</si>
  <si>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</si>
  <si>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</si>
  <si>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</si>
  <si>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</si>
  <si>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</si>
  <si>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</si>
  <si>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</si>
  <si>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</si>
  <si>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</si>
  <si>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</si>
  <si>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</si>
  <si>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</si>
  <si>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</si>
  <si>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</si>
  <si>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</si>
  <si>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</si>
  <si>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</si>
  <si>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</si>
  <si>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</si>
  <si>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</si>
  <si>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</si>
  <si>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</si>
  <si>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</si>
  <si>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</si>
  <si>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</si>
  <si>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</si>
  <si>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</si>
  <si>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</si>
  <si>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</si>
  <si>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</si>
  <si>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</si>
  <si>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</si>
  <si>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</si>
  <si>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</si>
  <si>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</si>
  <si>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</si>
  <si>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</si>
  <si>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</si>
  <si>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</si>
  <si>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</si>
  <si>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</si>
  <si>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</si>
  <si>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</si>
  <si>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</si>
  <si>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</si>
  <si>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</si>
  <si>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</si>
  <si>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</si>
  <si>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</si>
  <si>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</si>
  <si>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</si>
  <si>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</si>
  <si>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</si>
  <si>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</si>
  <si>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</si>
  <si>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</si>
  <si>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</si>
  <si>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</si>
  <si>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</si>
  <si>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08. Discapacitados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</si>
  <si>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</si>
  <si>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</si>
  <si>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</si>
  <si>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</si>
  <si>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</si>
  <si>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</si>
  <si>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</si>
  <si>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</si>
  <si>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</si>
  <si>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</si>
  <si>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</si>
  <si>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</si>
  <si>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</si>
  <si>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</si>
  <si>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</si>
  <si>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</si>
  <si>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</si>
  <si>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</si>
  <si>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</si>
  <si>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</si>
  <si>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</si>
  <si>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</si>
  <si>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</si>
  <si>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</si>
  <si>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</si>
  <si>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</si>
  <si>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</si>
  <si>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</si>
  <si>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</si>
  <si>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</si>
  <si>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</si>
  <si>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</si>
  <si>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</si>
  <si>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</si>
  <si>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</si>
  <si>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</si>
  <si>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</si>
  <si>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</si>
  <si>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</si>
  <si>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</si>
  <si>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</si>
  <si>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</si>
  <si>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</si>
  <si>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</si>
  <si>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</si>
  <si>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</si>
  <si>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</si>
  <si>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</si>
  <si>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</si>
  <si>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</si>
  <si>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</si>
  <si>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</si>
  <si>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</si>
  <si>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</si>
  <si>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</si>
  <si>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</si>
  <si>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</si>
  <si>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</si>
  <si>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</si>
  <si>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</si>
  <si>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</si>
  <si>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</si>
  <si>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</si>
  <si>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</si>
  <si>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</si>
  <si>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</si>
  <si>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</si>
  <si>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</si>
  <si>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</si>
  <si>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</si>
  <si>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</si>
  <si>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</si>
  <si>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</si>
  <si>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</si>
  <si>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</si>
  <si>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</si>
  <si>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</si>
  <si>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</si>
  <si>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</si>
  <si>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</si>
  <si>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</si>
  <si>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</si>
  <si>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</si>
  <si>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</si>
  <si>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</si>
  <si>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</si>
  <si>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</si>
  <si>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</si>
  <si>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</si>
  <si>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</si>
  <si>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</si>
  <si>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</si>
  <si>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</si>
  <si>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</si>
  <si>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</si>
  <si>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</si>
  <si>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</si>
  <si>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</si>
  <si>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</si>
  <si>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</si>
  <si>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</si>
  <si>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</si>
  <si>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</si>
  <si>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</si>
  <si>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</si>
  <si>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</si>
  <si>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</si>
  <si>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</si>
  <si>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</si>
  <si>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</si>
  <si>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</si>
  <si>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</si>
  <si>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</si>
  <si>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</si>
  <si>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</si>
  <si>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</si>
  <si>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</si>
  <si>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</si>
  <si>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</si>
  <si>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</si>
  <si>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</si>
  <si>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</si>
  <si>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</si>
  <si>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</si>
  <si>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</si>
  <si>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</si>
  <si>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</si>
  <si>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</si>
  <si>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</si>
  <si>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</si>
  <si>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</si>
  <si>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</si>
  <si>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</si>
  <si>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</si>
  <si>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</si>
  <si>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</si>
  <si>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</si>
  <si>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</si>
  <si>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</si>
  <si>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</si>
  <si>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</si>
  <si>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</si>
  <si>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</si>
  <si>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</si>
  <si>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</si>
  <si>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</si>
  <si>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</si>
  <si>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</si>
  <si>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</si>
  <si>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</si>
  <si>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</si>
  <si>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</si>
  <si>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</si>
  <si>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</si>
  <si>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</si>
  <si>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</si>
  <si>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</si>
  <si>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</si>
  <si>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</si>
  <si>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</si>
  <si>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</si>
  <si>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</si>
  <si>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</si>
  <si>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</si>
  <si>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</si>
  <si>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</si>
  <si>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</si>
  <si>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</si>
  <si>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</si>
  <si>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</si>
  <si>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</si>
  <si>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</si>
  <si>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</si>
  <si>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</si>
  <si>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</si>
  <si>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</si>
  <si>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</si>
  <si>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</si>
  <si>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</si>
  <si>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</si>
  <si>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</si>
  <si>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</si>
  <si>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</si>
  <si>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</si>
  <si>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</si>
  <si>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</si>
  <si>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</si>
  <si>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</si>
  <si>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</si>
  <si>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</si>
  <si>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</si>
  <si>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</si>
  <si>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</si>
  <si>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</si>
  <si>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</si>
  <si>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</si>
  <si>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</si>
  <si>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</si>
  <si>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</si>
  <si>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</si>
  <si>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</si>
  <si>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</si>
  <si>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</si>
  <si>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</si>
  <si>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</si>
  <si>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</si>
  <si>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</si>
  <si>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</si>
  <si>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</si>
  <si>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</si>
  <si>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</si>
  <si>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</si>
  <si>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</si>
  <si>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</si>
  <si>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</si>
  <si>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</si>
  <si>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</si>
  <si>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</si>
  <si>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</si>
  <si>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</si>
  <si>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</si>
  <si>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</si>
  <si>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</si>
  <si>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</si>
  <si>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</si>
  <si>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</si>
  <si>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</si>
  <si>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</si>
  <si>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</si>
  <si>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</si>
  <si>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</si>
  <si>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</si>
  <si>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</si>
  <si>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</si>
  <si>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</si>
  <si>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</si>
  <si>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</si>
  <si>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</si>
  <si>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</si>
  <si>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</si>
  <si>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</si>
  <si>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</si>
  <si>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</si>
  <si>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</si>
  <si>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</si>
  <si>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</si>
  <si>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</si>
  <si>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</si>
  <si>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</si>
  <si>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</si>
  <si>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</si>
  <si>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</si>
  <si>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</si>
  <si>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</si>
  <si>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</si>
  <si>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</si>
  <si>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</si>
  <si>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</si>
  <si>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</si>
  <si>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</si>
  <si>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</si>
  <si>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</si>
  <si>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</si>
  <si>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</si>
  <si>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</si>
  <si>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</si>
  <si>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</si>
  <si>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</si>
  <si>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</si>
  <si>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</si>
  <si>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</si>
  <si>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</si>
  <si>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</si>
  <si>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</si>
  <si>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</si>
  <si>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</si>
  <si>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</si>
  <si>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</si>
  <si>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</si>
  <si>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</si>
  <si>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</si>
  <si>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</si>
  <si>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</si>
  <si>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</si>
  <si>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</si>
  <si>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</si>
  <si>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</si>
  <si>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</si>
  <si>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</si>
  <si>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</si>
  <si>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</si>
  <si>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</si>
  <si>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</si>
  <si>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</si>
  <si>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</si>
  <si>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</si>
  <si>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</si>
  <si>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</si>
  <si>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</si>
  <si>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</si>
  <si>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</si>
  <si>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</si>
  <si>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</si>
  <si>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</si>
  <si>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</si>
  <si>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</si>
  <si>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</si>
  <si>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</si>
  <si>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</si>
  <si>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</si>
  <si>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</si>
  <si>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</si>
  <si>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</si>
  <si>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</si>
  <si>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</si>
  <si>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</si>
  <si>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</si>
  <si>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</si>
  <si>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</si>
  <si>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</si>
  <si>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</si>
  <si>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</si>
  <si>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</si>
  <si>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</si>
  <si>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</si>
  <si>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</si>
  <si>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</si>
  <si>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</si>
  <si>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</si>
  <si>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</si>
  <si>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</si>
  <si>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</si>
  <si>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</si>
  <si>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</si>
  <si>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</si>
  <si>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</si>
  <si>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</si>
  <si>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</si>
  <si>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</si>
  <si>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</si>
  <si>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</si>
  <si>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</si>
  <si>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</si>
  <si>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</si>
  <si>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</si>
  <si>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</si>
  <si>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</si>
  <si>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</si>
  <si>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</si>
  <si>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</si>
  <si>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</si>
  <si>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</si>
  <si>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</si>
  <si>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</si>
  <si>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</si>
  <si>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</si>
  <si>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</si>
  <si>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</si>
  <si>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</si>
  <si>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</si>
  <si>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</si>
  <si>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</si>
  <si>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91. Ciudadanos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</si>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</sst>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5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sz val="9"/>
      <color rgb="FF000000"/>
      <name val="&quot;Google Sans Mono&quot;"/>
    </font>
    <font>
      <sz val="11"/>
      <color rgb="FF000000"/>
      <name val="Arial"/>
    </font>
    <font>
      <sz val="11"/>
      <color rgb="FF000000"/>
      <name val="Roboto"/>
    </font>
    <font>
      <b/>
      <sz val="13"/>
      <color theme="1"/>
      <name val="Arial"/>
    </font>
    <font>
      <sz val="11"/>
      <color rgb="FF000000"/>
      <name val="Roboto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3"/>
      <color theme="1"/>
      <name val="Calibri"/>
      <scheme val="minor"/>
    </font>
    <font>
      <b/>
      <sz val="19"/>
      <color theme="1"/>
      <name val="Calibri"/>
      <scheme val="minor"/>
    </font>
    <font>
      <sz val="8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3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textRotation="90" wrapText="1"/>
    </xf>
    <xf numFmtId="0" fontId="12" fillId="6" borderId="0" xfId="0" applyFont="1" applyFill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7" fillId="7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3" fontId="14" fillId="7" borderId="1" xfId="0" applyNumberFormat="1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4" fontId="14" fillId="7" borderId="19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3" fontId="19" fillId="7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7" xfId="0" applyFont="1" applyFill="1" applyBorder="1"/>
    <xf numFmtId="0" fontId="5" fillId="2" borderId="7" xfId="0" applyFont="1" applyFill="1" applyBorder="1"/>
    <xf numFmtId="4" fontId="2" fillId="2" borderId="7" xfId="0" applyNumberFormat="1" applyFont="1" applyFill="1" applyBorder="1"/>
    <xf numFmtId="0" fontId="7" fillId="2" borderId="7" xfId="0" applyFont="1" applyFill="1" applyBorder="1"/>
    <xf numFmtId="0" fontId="8" fillId="2" borderId="0" xfId="0" applyFont="1" applyFill="1"/>
    <xf numFmtId="0" fontId="8" fillId="2" borderId="7" xfId="0" applyFont="1" applyFill="1" applyBorder="1"/>
    <xf numFmtId="4" fontId="8" fillId="2" borderId="7" xfId="0" applyNumberFormat="1" applyFont="1" applyFill="1" applyBorder="1"/>
    <xf numFmtId="0" fontId="10" fillId="2" borderId="7" xfId="0" applyFont="1" applyFill="1" applyBorder="1" applyAlignment="1">
      <alignment horizontal="left" vertical="center"/>
    </xf>
    <xf numFmtId="0" fontId="8" fillId="0" borderId="0" xfId="0" applyFont="1"/>
    <xf numFmtId="0" fontId="8" fillId="5" borderId="0" xfId="0" applyFont="1" applyFill="1"/>
    <xf numFmtId="0" fontId="8" fillId="5" borderId="7" xfId="0" applyFont="1" applyFill="1" applyBorder="1"/>
    <xf numFmtId="4" fontId="8" fillId="2" borderId="7" xfId="0" applyNumberFormat="1" applyFont="1" applyFill="1" applyBorder="1" applyAlignment="1">
      <alignment horizontal="center"/>
    </xf>
    <xf numFmtId="0" fontId="9" fillId="6" borderId="0" xfId="0" applyFont="1" applyFill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 wrapText="1"/>
    </xf>
    <xf numFmtId="0" fontId="8" fillId="6" borderId="1" xfId="0" applyFont="1" applyFill="1" applyBorder="1" applyAlignment="1"/>
    <xf numFmtId="0" fontId="16" fillId="7" borderId="0" xfId="0" applyFont="1" applyFill="1" applyAlignment="1">
      <alignment horizontal="center" wrapText="1"/>
    </xf>
    <xf numFmtId="0" fontId="8" fillId="7" borderId="4" xfId="0" applyFont="1" applyFill="1" applyBorder="1" applyAlignment="1"/>
    <xf numFmtId="0" fontId="8" fillId="2" borderId="0" xfId="0" applyFont="1" applyFill="1" applyAlignment="1">
      <alignment horizontal="left"/>
    </xf>
    <xf numFmtId="0" fontId="8" fillId="7" borderId="18" xfId="0" applyFont="1" applyFill="1" applyBorder="1" applyAlignment="1"/>
    <xf numFmtId="0" fontId="8" fillId="7" borderId="6" xfId="0" applyFont="1" applyFill="1" applyBorder="1" applyAlignment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left"/>
    </xf>
    <xf numFmtId="0" fontId="1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3" fontId="14" fillId="0" borderId="12" xfId="0" applyNumberFormat="1" applyFont="1" applyBorder="1" applyAlignment="1">
      <alignment horizontal="center" wrapText="1"/>
    </xf>
    <xf numFmtId="3" fontId="14" fillId="0" borderId="12" xfId="0" applyNumberFormat="1" applyFont="1" applyBorder="1" applyAlignment="1">
      <alignment horizontal="center" wrapText="1"/>
    </xf>
    <xf numFmtId="2" fontId="14" fillId="0" borderId="12" xfId="0" applyNumberFormat="1" applyFont="1" applyBorder="1" applyAlignment="1">
      <alignment horizontal="center" wrapText="1"/>
    </xf>
    <xf numFmtId="4" fontId="14" fillId="0" borderId="12" xfId="0" applyNumberFormat="1" applyFont="1" applyBorder="1" applyAlignment="1">
      <alignment horizontal="center" wrapText="1"/>
    </xf>
    <xf numFmtId="0" fontId="8" fillId="2" borderId="0" xfId="0" applyFont="1" applyFill="1" applyAlignment="1">
      <alignment horizontal="left"/>
    </xf>
    <xf numFmtId="0" fontId="8" fillId="2" borderId="7" xfId="0" applyFont="1" applyFill="1" applyBorder="1" applyAlignment="1">
      <alignment horizontal="left"/>
    </xf>
    <xf numFmtId="0" fontId="5" fillId="0" borderId="0" xfId="0" applyFont="1"/>
    <xf numFmtId="0" fontId="7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6" fillId="0" borderId="0" xfId="0" applyFont="1" applyAlignment="1"/>
    <xf numFmtId="0" fontId="6" fillId="0" borderId="0" xfId="0" applyFont="1"/>
    <xf numFmtId="4" fontId="6" fillId="0" borderId="0" xfId="0" applyNumberFormat="1" applyFont="1"/>
    <xf numFmtId="3" fontId="6" fillId="0" borderId="0" xfId="0" applyNumberFormat="1" applyFont="1"/>
    <xf numFmtId="4" fontId="20" fillId="8" borderId="0" xfId="0" applyNumberFormat="1" applyFont="1" applyFill="1"/>
    <xf numFmtId="3" fontId="20" fillId="8" borderId="0" xfId="0" applyNumberFormat="1" applyFont="1" applyFill="1"/>
    <xf numFmtId="0" fontId="15" fillId="7" borderId="0" xfId="0" applyFont="1" applyFill="1"/>
    <xf numFmtId="0" fontId="6" fillId="0" borderId="0" xfId="0" applyFont="1" applyAlignment="1">
      <alignment wrapText="1"/>
    </xf>
    <xf numFmtId="0" fontId="1" fillId="9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0" fillId="9" borderId="0" xfId="0" applyFont="1" applyFill="1" applyAlignment="1">
      <alignment horizontal="center" vertical="center"/>
    </xf>
    <xf numFmtId="10" fontId="6" fillId="0" borderId="0" xfId="0" applyNumberFormat="1" applyFont="1"/>
    <xf numFmtId="0" fontId="13" fillId="6" borderId="17" xfId="0" applyFont="1" applyFill="1" applyBorder="1" applyAlignment="1">
      <alignment horizontal="center" wrapText="1"/>
    </xf>
    <xf numFmtId="0" fontId="13" fillId="6" borderId="0" xfId="0" applyFont="1" applyFill="1" applyAlignment="1">
      <alignment horizontal="center" wrapText="1"/>
    </xf>
    <xf numFmtId="0" fontId="13" fillId="6" borderId="0" xfId="0" applyFont="1" applyFill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3" fontId="15" fillId="7" borderId="0" xfId="0" applyNumberFormat="1" applyFont="1" applyFill="1" applyAlignment="1"/>
    <xf numFmtId="9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/>
    <xf numFmtId="4" fontId="2" fillId="0" borderId="12" xfId="0" applyNumberFormat="1" applyFont="1" applyBorder="1"/>
    <xf numFmtId="4" fontId="14" fillId="0" borderId="1" xfId="0" applyNumberFormat="1" applyFont="1" applyBorder="1" applyAlignment="1">
      <alignment horizontal="center" vertical="center"/>
    </xf>
    <xf numFmtId="4" fontId="14" fillId="7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/>
    <xf numFmtId="4" fontId="2" fillId="0" borderId="12" xfId="0" applyNumberFormat="1" applyFont="1" applyBorder="1" applyAlignment="1"/>
    <xf numFmtId="10" fontId="13" fillId="0" borderId="0" xfId="0" applyNumberFormat="1" applyFont="1" applyAlignment="1">
      <alignment horizontal="center" wrapText="1"/>
    </xf>
    <xf numFmtId="10" fontId="2" fillId="0" borderId="0" xfId="0" applyNumberFormat="1" applyFont="1"/>
    <xf numFmtId="10" fontId="14" fillId="0" borderId="0" xfId="0" applyNumberFormat="1" applyFont="1" applyAlignment="1">
      <alignment horizontal="center" vertical="center" wrapText="1"/>
    </xf>
    <xf numFmtId="0" fontId="8" fillId="5" borderId="4" xfId="0" applyFont="1" applyFill="1" applyBorder="1" applyAlignment="1"/>
    <xf numFmtId="0" fontId="8" fillId="5" borderId="0" xfId="0" applyFont="1" applyFill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8" fillId="5" borderId="18" xfId="0" applyFont="1" applyFill="1" applyBorder="1" applyAlignment="1"/>
    <xf numFmtId="3" fontId="14" fillId="5" borderId="1" xfId="0" applyNumberFormat="1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 wrapText="1"/>
    </xf>
    <xf numFmtId="0" fontId="8" fillId="0" borderId="18" xfId="0" applyFont="1" applyBorder="1" applyAlignme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10" fontId="14" fillId="5" borderId="0" xfId="0" applyNumberFormat="1" applyFont="1" applyFill="1" applyAlignment="1">
      <alignment horizontal="center" vertical="center" wrapText="1"/>
    </xf>
    <xf numFmtId="0" fontId="14" fillId="0" borderId="12" xfId="0" applyFont="1" applyBorder="1" applyAlignment="1">
      <alignment horizontal="center" wrapText="1"/>
    </xf>
    <xf numFmtId="0" fontId="15" fillId="7" borderId="0" xfId="0" applyFont="1" applyFill="1"/>
    <xf numFmtId="0" fontId="21" fillId="0" borderId="0" xfId="0" applyFont="1"/>
    <xf numFmtId="0" fontId="6" fillId="0" borderId="0" xfId="0" applyFont="1" applyAlignment="1">
      <alignment wrapText="1"/>
    </xf>
    <xf numFmtId="0" fontId="22" fillId="0" borderId="0" xfId="0" applyFont="1"/>
    <xf numFmtId="0" fontId="6" fillId="0" borderId="0" xfId="0" applyFont="1"/>
    <xf numFmtId="0" fontId="2" fillId="10" borderId="0" xfId="0" applyFont="1" applyFill="1" applyAlignment="1">
      <alignment wrapText="1"/>
    </xf>
    <xf numFmtId="0" fontId="2" fillId="7" borderId="0" xfId="0" applyFont="1" applyFill="1" applyAlignment="1"/>
    <xf numFmtId="0" fontId="2" fillId="7" borderId="0" xfId="0" applyFont="1" applyFill="1" applyAlignment="1"/>
    <xf numFmtId="0" fontId="2" fillId="11" borderId="0" xfId="0" applyFont="1" applyFill="1"/>
    <xf numFmtId="0" fontId="2" fillId="7" borderId="0" xfId="0" applyFont="1" applyFill="1"/>
    <xf numFmtId="0" fontId="2" fillId="11" borderId="0" xfId="0" applyFont="1" applyFill="1" applyAlignment="1"/>
    <xf numFmtId="0" fontId="2" fillId="7" borderId="0" xfId="0" applyFont="1" applyFill="1" applyAlignment="1"/>
    <xf numFmtId="0" fontId="6" fillId="0" borderId="0" xfId="0" applyFont="1" applyAlignment="1">
      <alignment wrapText="1"/>
    </xf>
    <xf numFmtId="0" fontId="2" fillId="11" borderId="0" xfId="0" applyFont="1" applyFill="1" applyAlignment="1"/>
    <xf numFmtId="0" fontId="23" fillId="0" borderId="0" xfId="0" applyFont="1" applyAlignment="1">
      <alignment wrapText="1"/>
    </xf>
    <xf numFmtId="0" fontId="2" fillId="5" borderId="0" xfId="0" applyFont="1" applyFill="1" applyAlignment="1"/>
    <xf numFmtId="0" fontId="1" fillId="0" borderId="0" xfId="0" applyFont="1"/>
    <xf numFmtId="0" fontId="1" fillId="0" borderId="1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/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16" fillId="0" borderId="0" xfId="0" applyFont="1" applyAlignment="1"/>
    <xf numFmtId="0" fontId="2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29" xfId="0" applyFont="1" applyBorder="1" applyAlignment="1">
      <alignment horizontal="center" wrapText="1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24" xfId="0" applyFont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16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3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8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8" fontId="8" fillId="0" borderId="11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11" fillId="6" borderId="13" xfId="0" applyFont="1" applyFill="1" applyBorder="1" applyAlignment="1">
      <alignment horizontal="center" vertical="center" textRotation="90" wrapText="1"/>
    </xf>
    <xf numFmtId="0" fontId="4" fillId="0" borderId="14" xfId="0" applyFont="1" applyBorder="1"/>
    <xf numFmtId="0" fontId="12" fillId="6" borderId="13" xfId="0" applyFont="1" applyFill="1" applyBorder="1" applyAlignment="1">
      <alignment horizontal="center" vertical="center" textRotation="90" wrapText="1"/>
    </xf>
    <xf numFmtId="0" fontId="4" fillId="0" borderId="15" xfId="0" applyFont="1" applyBorder="1"/>
    <xf numFmtId="0" fontId="7" fillId="2" borderId="8" xfId="0" applyFont="1" applyFill="1" applyBorder="1" applyAlignment="1">
      <alignment horizontal="center"/>
    </xf>
    <xf numFmtId="0" fontId="4" fillId="0" borderId="9" xfId="0" applyFont="1" applyBorder="1"/>
    <xf numFmtId="0" fontId="9" fillId="0" borderId="10" xfId="0" applyFont="1" applyBorder="1" applyAlignment="1">
      <alignment vertical="center" wrapText="1"/>
    </xf>
    <xf numFmtId="0" fontId="8" fillId="2" borderId="10" xfId="0" applyFont="1" applyFill="1" applyBorder="1" applyAlignment="1">
      <alignment horizontal="left" wrapText="1"/>
    </xf>
    <xf numFmtId="0" fontId="2" fillId="0" borderId="0" xfId="0" applyFont="1"/>
    <xf numFmtId="0" fontId="0" fillId="0" borderId="0" xfId="0" applyFont="1" applyAlignment="1"/>
    <xf numFmtId="0" fontId="2" fillId="0" borderId="35" xfId="0" applyFont="1" applyBorder="1" applyAlignment="1">
      <alignment horizontal="center" vertical="center" wrapText="1"/>
    </xf>
    <xf numFmtId="0" fontId="4" fillId="0" borderId="19" xfId="0" applyFont="1" applyBorder="1"/>
    <xf numFmtId="0" fontId="4" fillId="0" borderId="32" xfId="0" applyFont="1" applyBorder="1"/>
    <xf numFmtId="0" fontId="2" fillId="0" borderId="25" xfId="0" applyFont="1" applyBorder="1" applyAlignment="1">
      <alignment horizontal="center" vertical="center" wrapText="1"/>
    </xf>
    <xf numFmtId="0" fontId="4" fillId="0" borderId="26" xfId="0" applyFont="1" applyBorder="1"/>
    <xf numFmtId="0" fontId="4" fillId="0" borderId="28" xfId="0" applyFont="1" applyBorder="1"/>
    <xf numFmtId="0" fontId="4" fillId="0" borderId="33" xfId="0" applyFont="1" applyBorder="1"/>
    <xf numFmtId="0" fontId="2" fillId="0" borderId="25" xfId="0" applyFont="1" applyBorder="1" applyAlignment="1">
      <alignment horizontal="center" vertical="center"/>
    </xf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Subida-style" pivot="0" count="3">
      <tableStyleElement type="headerRow" dxfId="6"/>
      <tableStyleElement type="firstRowStripe" dxfId="5"/>
      <tableStyleElement type="secondRowStripe" dxfId="4"/>
    </tableStyle>
    <tableStyle name="finproposito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Z1000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Subid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A1:Z1000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finproposito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9"/>
  <sheetViews>
    <sheetView tabSelected="1" topLeftCell="M57" zoomScale="75" zoomScaleNormal="75" workbookViewId="0">
      <selection activeCell="P61" sqref="P61"/>
    </sheetView>
  </sheetViews>
  <sheetFormatPr baseColWidth="10" defaultColWidth="14.42578125" defaultRowHeight="15" customHeight="1"/>
  <cols>
    <col min="1" max="1" width="7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22.5703125" customWidth="1"/>
    <col min="7" max="7" width="21.7109375" customWidth="1"/>
    <col min="8" max="8" width="21.140625" customWidth="1"/>
    <col min="9" max="9" width="29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 ht="15.75">
      <c r="A1" s="51"/>
      <c r="B1" s="52"/>
      <c r="C1" s="52"/>
      <c r="D1" s="53"/>
      <c r="E1" s="53"/>
      <c r="F1" s="53"/>
      <c r="G1" s="53"/>
      <c r="H1" s="53"/>
      <c r="I1" s="52"/>
      <c r="J1" s="54"/>
      <c r="K1" s="54"/>
      <c r="L1" s="52"/>
      <c r="M1" s="52"/>
      <c r="N1" s="54"/>
      <c r="O1" s="54"/>
      <c r="P1" s="54"/>
      <c r="Q1" s="52"/>
      <c r="R1" s="52"/>
    </row>
    <row r="2" spans="1:18" ht="15.75">
      <c r="A2" s="51"/>
      <c r="B2" s="52"/>
      <c r="C2" s="52"/>
      <c r="D2" s="53"/>
      <c r="E2" s="53"/>
      <c r="F2" s="53"/>
      <c r="G2" s="53"/>
      <c r="H2" s="53"/>
      <c r="I2" s="52"/>
      <c r="J2" s="54"/>
      <c r="K2" s="54"/>
      <c r="L2" s="52"/>
      <c r="M2" s="52"/>
      <c r="N2" s="54"/>
      <c r="O2" s="54"/>
      <c r="P2" s="54"/>
      <c r="Q2" s="52"/>
      <c r="R2" s="52"/>
    </row>
    <row r="3" spans="1:18" ht="15.75">
      <c r="A3" s="51"/>
      <c r="B3" s="52"/>
      <c r="C3" s="52"/>
      <c r="D3" s="53"/>
      <c r="E3" s="53"/>
      <c r="F3" s="53"/>
      <c r="G3" s="53"/>
      <c r="H3" s="53"/>
      <c r="I3" s="52"/>
      <c r="J3" s="54"/>
      <c r="K3" s="54"/>
      <c r="L3" s="52"/>
      <c r="M3" s="52"/>
      <c r="N3" s="54"/>
      <c r="O3" s="54"/>
      <c r="P3" s="54"/>
      <c r="Q3" s="52"/>
      <c r="R3" s="52"/>
    </row>
    <row r="4" spans="1:18" ht="15.75">
      <c r="A4" s="51"/>
      <c r="B4" s="52"/>
      <c r="C4" s="52"/>
      <c r="D4" s="219" t="s">
        <v>0</v>
      </c>
      <c r="E4" s="220"/>
      <c r="F4" s="220"/>
      <c r="G4" s="220"/>
      <c r="H4" s="220"/>
      <c r="I4" s="52"/>
      <c r="J4" s="54"/>
      <c r="K4" s="54"/>
      <c r="L4" s="52"/>
      <c r="M4" s="52"/>
      <c r="N4" s="54"/>
      <c r="O4" s="54"/>
      <c r="P4" s="54"/>
      <c r="Q4" s="52"/>
      <c r="R4" s="52"/>
    </row>
    <row r="5" spans="1:18" ht="15.75">
      <c r="A5" s="51"/>
      <c r="B5" s="52"/>
      <c r="C5" s="52"/>
      <c r="D5" s="219" t="s">
        <v>1</v>
      </c>
      <c r="E5" s="220"/>
      <c r="F5" s="220"/>
      <c r="G5" s="220"/>
      <c r="H5" s="220"/>
      <c r="I5" s="52"/>
      <c r="J5" s="54"/>
      <c r="K5" s="54"/>
      <c r="L5" s="52"/>
      <c r="M5" s="52"/>
      <c r="N5" s="54"/>
      <c r="O5" s="54"/>
      <c r="P5" s="54"/>
      <c r="Q5" s="52"/>
      <c r="R5" s="52"/>
    </row>
    <row r="6" spans="1:18" ht="15.75">
      <c r="A6" s="51"/>
      <c r="B6" s="52"/>
      <c r="C6" s="52"/>
      <c r="D6" s="219" t="s">
        <v>2</v>
      </c>
      <c r="E6" s="220"/>
      <c r="F6" s="220"/>
      <c r="G6" s="220"/>
      <c r="H6" s="220"/>
      <c r="I6" s="52"/>
      <c r="J6" s="54"/>
      <c r="K6" s="54"/>
      <c r="L6" s="52"/>
      <c r="M6" s="52"/>
      <c r="N6" s="54"/>
      <c r="O6" s="54"/>
      <c r="P6" s="54"/>
      <c r="Q6" s="52"/>
      <c r="R6" s="52"/>
    </row>
    <row r="7" spans="1:18" ht="15.75">
      <c r="A7" s="51"/>
      <c r="B7" s="52"/>
      <c r="C7" s="52"/>
      <c r="D7" s="219"/>
      <c r="E7" s="220"/>
      <c r="F7" s="220"/>
      <c r="G7" s="220"/>
      <c r="H7" s="220"/>
      <c r="I7" s="52"/>
      <c r="J7" s="54"/>
      <c r="K7" s="54"/>
      <c r="L7" s="52"/>
      <c r="M7" s="52"/>
      <c r="N7" s="54"/>
      <c r="O7" s="54"/>
      <c r="P7" s="54"/>
      <c r="Q7" s="52"/>
      <c r="R7" s="52"/>
    </row>
    <row r="8" spans="1:18" ht="15.75">
      <c r="A8" s="51"/>
      <c r="B8" s="52"/>
      <c r="C8" s="52"/>
      <c r="D8" s="55"/>
      <c r="E8" s="55"/>
      <c r="F8" s="55"/>
      <c r="G8" s="55"/>
      <c r="H8" s="55"/>
      <c r="I8" s="52"/>
      <c r="J8" s="54"/>
      <c r="K8" s="54"/>
      <c r="L8" s="52"/>
      <c r="M8" s="52"/>
      <c r="N8" s="54"/>
      <c r="O8" s="54"/>
      <c r="P8" s="54"/>
      <c r="Q8" s="52"/>
      <c r="R8" s="52"/>
    </row>
    <row r="9" spans="1:18" ht="15.75">
      <c r="A9" s="51"/>
      <c r="B9" s="52"/>
      <c r="C9" s="52"/>
      <c r="D9" s="53"/>
      <c r="E9" s="53"/>
      <c r="F9" s="53"/>
      <c r="G9" s="53"/>
      <c r="H9" s="53"/>
      <c r="I9" s="52"/>
      <c r="J9" s="54"/>
      <c r="K9" s="54"/>
      <c r="L9" s="52"/>
      <c r="M9" s="52"/>
      <c r="N9" s="54"/>
      <c r="O9" s="54"/>
      <c r="P9" s="54"/>
      <c r="Q9" s="52"/>
      <c r="R9" s="52"/>
    </row>
    <row r="10" spans="1:18" ht="15.75">
      <c r="A10" s="51"/>
      <c r="B10" s="52"/>
      <c r="C10" s="52"/>
      <c r="D10" s="53"/>
      <c r="E10" s="53"/>
      <c r="F10" s="53"/>
      <c r="G10" s="53"/>
      <c r="H10" s="53"/>
      <c r="I10" s="52"/>
      <c r="J10" s="54"/>
      <c r="K10" s="54"/>
      <c r="L10" s="52"/>
      <c r="M10" s="52"/>
      <c r="N10" s="54"/>
      <c r="O10" s="54"/>
      <c r="P10" s="54"/>
      <c r="Q10" s="52"/>
      <c r="R10" s="52"/>
    </row>
    <row r="11" spans="1:18" ht="15.75">
      <c r="A11" s="51"/>
      <c r="B11" s="52"/>
      <c r="C11" s="52"/>
      <c r="D11" s="53"/>
      <c r="E11" s="53"/>
      <c r="F11" s="53"/>
      <c r="G11" s="53"/>
      <c r="H11" s="53"/>
      <c r="I11" s="52"/>
      <c r="J11" s="54"/>
      <c r="K11" s="54"/>
      <c r="L11" s="52"/>
      <c r="M11" s="52"/>
      <c r="N11" s="54"/>
      <c r="O11" s="54"/>
      <c r="P11" s="54"/>
      <c r="Q11" s="52"/>
      <c r="R11" s="52"/>
    </row>
    <row r="12" spans="1:18" ht="15.75">
      <c r="A12" s="56"/>
      <c r="B12" s="57"/>
      <c r="C12" s="57"/>
      <c r="D12" s="57"/>
      <c r="E12" s="57"/>
      <c r="F12" s="57"/>
      <c r="G12" s="57"/>
      <c r="H12" s="57"/>
      <c r="I12" s="57"/>
      <c r="J12" s="58"/>
      <c r="K12" s="58"/>
      <c r="L12" s="57"/>
      <c r="M12" s="57"/>
      <c r="N12" s="58"/>
      <c r="O12" s="58"/>
      <c r="P12" s="58"/>
      <c r="Q12" s="57"/>
      <c r="R12" s="57"/>
    </row>
    <row r="13" spans="1:18" ht="15.75">
      <c r="A13" s="56"/>
      <c r="B13" s="57"/>
      <c r="C13" s="3" t="s">
        <v>3</v>
      </c>
      <c r="D13" s="221" t="s">
        <v>4</v>
      </c>
      <c r="E13" s="203"/>
      <c r="F13" s="203"/>
      <c r="G13" s="203"/>
      <c r="H13" s="204"/>
      <c r="I13" s="2"/>
      <c r="J13" s="58"/>
      <c r="K13" s="58"/>
      <c r="L13" s="57"/>
      <c r="M13" s="57"/>
      <c r="N13" s="58"/>
      <c r="O13" s="58"/>
      <c r="P13" s="58"/>
      <c r="Q13" s="57"/>
      <c r="R13" s="57"/>
    </row>
    <row r="14" spans="1:18" ht="15.75">
      <c r="A14" s="56"/>
      <c r="B14" s="57"/>
      <c r="C14" s="3" t="s">
        <v>5</v>
      </c>
      <c r="D14" s="208" t="s">
        <v>6</v>
      </c>
      <c r="E14" s="203"/>
      <c r="F14" s="203"/>
      <c r="G14" s="203"/>
      <c r="H14" s="204"/>
      <c r="I14" s="59" t="s">
        <v>7</v>
      </c>
      <c r="J14" s="58"/>
      <c r="K14" s="58"/>
      <c r="L14" s="57"/>
      <c r="M14" s="57"/>
      <c r="N14" s="58"/>
      <c r="O14" s="58"/>
      <c r="P14" s="58"/>
      <c r="Q14" s="57"/>
      <c r="R14" s="57"/>
    </row>
    <row r="15" spans="1:18" ht="15.75">
      <c r="A15" s="56"/>
      <c r="B15" s="57"/>
      <c r="C15" s="3" t="s">
        <v>8</v>
      </c>
      <c r="D15" s="208" t="s">
        <v>9</v>
      </c>
      <c r="E15" s="203"/>
      <c r="F15" s="203"/>
      <c r="G15" s="203"/>
      <c r="H15" s="204"/>
      <c r="I15" s="59" t="s">
        <v>7</v>
      </c>
      <c r="J15" s="58"/>
      <c r="K15" s="58"/>
      <c r="L15" s="57"/>
      <c r="M15" s="57"/>
      <c r="N15" s="58"/>
      <c r="O15" s="58"/>
      <c r="P15" s="58"/>
      <c r="Q15" s="57"/>
      <c r="R15" s="57"/>
    </row>
    <row r="16" spans="1:18" ht="60">
      <c r="A16" s="56"/>
      <c r="B16" s="57"/>
      <c r="C16" s="3" t="s">
        <v>10</v>
      </c>
      <c r="D16" s="208" t="s">
        <v>11</v>
      </c>
      <c r="E16" s="203"/>
      <c r="F16" s="203"/>
      <c r="G16" s="203"/>
      <c r="H16" s="204"/>
      <c r="I16" s="4" t="s">
        <v>12</v>
      </c>
      <c r="J16" s="58"/>
      <c r="K16" s="58"/>
      <c r="L16" s="57"/>
      <c r="M16" s="57"/>
      <c r="N16" s="58"/>
      <c r="O16" s="58"/>
      <c r="P16" s="58"/>
      <c r="Q16" s="57"/>
      <c r="R16" s="57"/>
    </row>
    <row r="17" spans="1:18" ht="15.75">
      <c r="A17" s="56"/>
      <c r="B17" s="57"/>
      <c r="C17" s="3" t="s">
        <v>13</v>
      </c>
      <c r="D17" s="208" t="s">
        <v>14</v>
      </c>
      <c r="E17" s="203"/>
      <c r="F17" s="203"/>
      <c r="G17" s="203"/>
      <c r="H17" s="204"/>
      <c r="I17" s="59" t="s">
        <v>7</v>
      </c>
      <c r="J17" s="58"/>
      <c r="K17" s="58"/>
      <c r="L17" s="57"/>
      <c r="M17" s="57"/>
      <c r="N17" s="58"/>
      <c r="O17" s="58"/>
      <c r="P17" s="58"/>
      <c r="Q17" s="57"/>
      <c r="R17" s="57"/>
    </row>
    <row r="18" spans="1:18" ht="15.75">
      <c r="A18" s="60"/>
      <c r="B18" s="60"/>
      <c r="C18" s="3" t="s">
        <v>15</v>
      </c>
      <c r="D18" s="208" t="s">
        <v>16</v>
      </c>
      <c r="E18" s="203"/>
      <c r="F18" s="203"/>
      <c r="G18" s="203"/>
      <c r="H18" s="204"/>
      <c r="I18" s="59" t="s">
        <v>7</v>
      </c>
      <c r="J18" s="58"/>
      <c r="K18" s="58"/>
      <c r="L18" s="57"/>
      <c r="M18" s="57"/>
      <c r="N18" s="58"/>
      <c r="O18" s="58"/>
      <c r="P18" s="58"/>
      <c r="Q18" s="57"/>
      <c r="R18" s="57"/>
    </row>
    <row r="19" spans="1:18" ht="15.75" hidden="1">
      <c r="A19" s="61"/>
      <c r="B19" s="62"/>
      <c r="C19" s="3" t="s">
        <v>17</v>
      </c>
      <c r="D19" s="208"/>
      <c r="E19" s="203"/>
      <c r="F19" s="203"/>
      <c r="G19" s="203"/>
      <c r="H19" s="204"/>
      <c r="I19" s="2"/>
      <c r="J19" s="58"/>
      <c r="K19" s="58"/>
      <c r="L19" s="57"/>
      <c r="M19" s="57"/>
      <c r="N19" s="58"/>
      <c r="O19" s="58"/>
      <c r="P19" s="58"/>
      <c r="Q19" s="57"/>
      <c r="R19" s="57"/>
    </row>
    <row r="20" spans="1:18" ht="15.75">
      <c r="C20" s="3" t="s">
        <v>17</v>
      </c>
      <c r="D20" s="208" t="s">
        <v>18</v>
      </c>
      <c r="E20" s="203"/>
      <c r="F20" s="203"/>
      <c r="G20" s="203"/>
      <c r="H20" s="204"/>
      <c r="I20" s="59" t="s">
        <v>7</v>
      </c>
      <c r="J20" s="58"/>
      <c r="K20" s="58"/>
      <c r="L20" s="57"/>
      <c r="M20" s="57"/>
      <c r="N20" s="58"/>
      <c r="O20" s="58"/>
      <c r="P20" s="58"/>
      <c r="Q20" s="57"/>
      <c r="R20" s="57"/>
    </row>
    <row r="21" spans="1:18" ht="15.75">
      <c r="A21" s="5"/>
      <c r="B21" s="215" t="s">
        <v>19</v>
      </c>
      <c r="C21" s="3" t="s">
        <v>20</v>
      </c>
      <c r="D21" s="208" t="s">
        <v>21</v>
      </c>
      <c r="E21" s="203"/>
      <c r="F21" s="203"/>
      <c r="G21" s="203"/>
      <c r="H21" s="204"/>
      <c r="I21" s="59" t="s">
        <v>7</v>
      </c>
      <c r="K21" s="58"/>
      <c r="L21" s="57"/>
      <c r="M21" s="57"/>
      <c r="N21" s="58"/>
      <c r="O21" s="58"/>
      <c r="P21" s="58"/>
      <c r="Q21" s="57"/>
      <c r="R21" s="57"/>
    </row>
    <row r="22" spans="1:18" ht="15.75">
      <c r="A22" s="5"/>
      <c r="B22" s="216"/>
      <c r="C22" s="3" t="s">
        <v>22</v>
      </c>
      <c r="D22" s="208" t="s">
        <v>23</v>
      </c>
      <c r="E22" s="203"/>
      <c r="F22" s="203"/>
      <c r="G22" s="203"/>
      <c r="H22" s="204"/>
      <c r="I22" s="59" t="s">
        <v>7</v>
      </c>
      <c r="J22" s="58"/>
      <c r="K22" s="58"/>
      <c r="L22" s="57"/>
      <c r="M22" s="57"/>
      <c r="N22" s="58"/>
      <c r="O22" s="58"/>
      <c r="P22" s="58"/>
      <c r="Q22" s="57"/>
      <c r="R22" s="57"/>
    </row>
    <row r="23" spans="1:18" ht="15.75">
      <c r="A23" s="6"/>
      <c r="B23" s="217" t="s">
        <v>24</v>
      </c>
      <c r="C23" s="3" t="s">
        <v>25</v>
      </c>
      <c r="D23" s="208" t="s">
        <v>26</v>
      </c>
      <c r="E23" s="203"/>
      <c r="F23" s="203"/>
      <c r="G23" s="203"/>
      <c r="H23" s="204"/>
      <c r="I23" s="59" t="s">
        <v>7</v>
      </c>
      <c r="J23" s="58"/>
      <c r="K23" s="58"/>
      <c r="L23" s="57"/>
      <c r="M23" s="57"/>
      <c r="N23" s="58"/>
      <c r="O23" s="58"/>
      <c r="P23" s="58"/>
      <c r="Q23" s="57"/>
      <c r="R23" s="57"/>
    </row>
    <row r="24" spans="1:18" ht="31.5">
      <c r="A24" s="6"/>
      <c r="B24" s="218"/>
      <c r="C24" s="3" t="s">
        <v>27</v>
      </c>
      <c r="D24" s="208" t="s">
        <v>28</v>
      </c>
      <c r="E24" s="203"/>
      <c r="F24" s="203"/>
      <c r="G24" s="203"/>
      <c r="H24" s="204"/>
      <c r="I24" s="59" t="s">
        <v>7</v>
      </c>
      <c r="J24" s="58"/>
      <c r="K24" s="58"/>
      <c r="L24" s="57"/>
      <c r="M24" s="57"/>
      <c r="N24" s="58"/>
      <c r="O24" s="58"/>
      <c r="P24" s="58"/>
      <c r="Q24" s="57"/>
      <c r="R24" s="57"/>
    </row>
    <row r="25" spans="1:18" ht="15.75">
      <c r="A25" s="6"/>
      <c r="B25" s="217" t="s">
        <v>29</v>
      </c>
      <c r="C25" s="3" t="s">
        <v>30</v>
      </c>
      <c r="D25" s="208" t="s">
        <v>31</v>
      </c>
      <c r="E25" s="203"/>
      <c r="F25" s="203"/>
      <c r="G25" s="203"/>
      <c r="H25" s="204"/>
      <c r="I25" s="59" t="s">
        <v>7</v>
      </c>
      <c r="J25" s="58"/>
      <c r="K25" s="58"/>
      <c r="L25" s="57"/>
      <c r="M25" s="57"/>
      <c r="N25" s="58"/>
      <c r="O25" s="58"/>
      <c r="P25" s="58"/>
      <c r="Q25" s="57"/>
      <c r="R25" s="57"/>
    </row>
    <row r="26" spans="1:18" ht="15.75">
      <c r="A26" s="6"/>
      <c r="B26" s="216"/>
      <c r="C26" s="3" t="s">
        <v>32</v>
      </c>
      <c r="D26" s="208" t="s">
        <v>33</v>
      </c>
      <c r="E26" s="203"/>
      <c r="F26" s="203"/>
      <c r="G26" s="203"/>
      <c r="H26" s="204"/>
      <c r="I26" s="59" t="s">
        <v>7</v>
      </c>
      <c r="J26" s="58"/>
      <c r="K26" s="58"/>
      <c r="L26" s="57"/>
      <c r="M26" s="57"/>
      <c r="N26" s="58"/>
      <c r="O26" s="58"/>
      <c r="P26" s="58"/>
      <c r="Q26" s="57"/>
      <c r="R26" s="57"/>
    </row>
    <row r="27" spans="1:18" ht="15.75">
      <c r="A27" s="6"/>
      <c r="B27" s="216"/>
      <c r="C27" s="3" t="s">
        <v>34</v>
      </c>
      <c r="D27" s="208" t="s">
        <v>35</v>
      </c>
      <c r="E27" s="203"/>
      <c r="F27" s="203"/>
      <c r="G27" s="203"/>
      <c r="H27" s="204"/>
      <c r="I27" s="59" t="s">
        <v>7</v>
      </c>
      <c r="J27" s="58"/>
      <c r="K27" s="58"/>
      <c r="L27" s="57"/>
      <c r="M27" s="57"/>
      <c r="N27" s="58"/>
      <c r="O27" s="58"/>
      <c r="P27" s="58"/>
      <c r="Q27" s="57"/>
      <c r="R27" s="57"/>
    </row>
    <row r="28" spans="1:18" ht="15.75">
      <c r="A28" s="6"/>
      <c r="B28" s="216"/>
      <c r="C28" s="3" t="s">
        <v>36</v>
      </c>
      <c r="D28" s="208" t="s">
        <v>37</v>
      </c>
      <c r="E28" s="203"/>
      <c r="F28" s="203"/>
      <c r="G28" s="203"/>
      <c r="H28" s="204"/>
      <c r="I28" s="57"/>
      <c r="J28" s="58"/>
      <c r="K28" s="58"/>
      <c r="L28" s="57"/>
      <c r="M28" s="57"/>
      <c r="N28" s="58"/>
      <c r="O28" s="63"/>
      <c r="P28" s="63"/>
      <c r="Q28" s="57"/>
      <c r="R28" s="57"/>
    </row>
    <row r="29" spans="1:18" ht="31.5">
      <c r="A29" s="60"/>
      <c r="B29" s="60"/>
      <c r="C29" s="3" t="s">
        <v>38</v>
      </c>
      <c r="D29" s="209" t="s">
        <v>39</v>
      </c>
      <c r="E29" s="203"/>
      <c r="F29" s="203"/>
      <c r="G29" s="203"/>
      <c r="H29" s="203"/>
      <c r="I29" s="57"/>
      <c r="J29" s="58"/>
      <c r="K29" s="58"/>
      <c r="L29" s="57"/>
      <c r="M29" s="57"/>
      <c r="N29" s="58"/>
      <c r="O29" s="63"/>
      <c r="P29" s="63"/>
      <c r="Q29" s="57"/>
      <c r="R29" s="57"/>
    </row>
    <row r="30" spans="1:18" ht="15.75">
      <c r="A30" s="60"/>
      <c r="B30" s="60"/>
      <c r="C30" s="7" t="s">
        <v>40</v>
      </c>
      <c r="D30" s="211"/>
      <c r="E30" s="203"/>
      <c r="F30" s="203"/>
      <c r="G30" s="203"/>
      <c r="H30" s="204"/>
      <c r="I30" s="2"/>
      <c r="J30" s="58"/>
      <c r="K30" s="58"/>
      <c r="L30" s="57"/>
      <c r="M30" s="57"/>
      <c r="N30" s="58"/>
      <c r="O30" s="58"/>
      <c r="P30" s="58"/>
      <c r="Q30" s="57"/>
      <c r="R30" s="57"/>
    </row>
    <row r="31" spans="1:18" ht="15.75">
      <c r="A31" s="56"/>
      <c r="B31" s="57"/>
      <c r="C31" s="57"/>
      <c r="D31" s="8"/>
      <c r="E31" s="8"/>
      <c r="F31" s="8"/>
      <c r="G31" s="8"/>
      <c r="H31" s="8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63">
      <c r="A32" s="64"/>
      <c r="B32" s="65" t="s">
        <v>42</v>
      </c>
      <c r="C32" s="10" t="s">
        <v>43</v>
      </c>
      <c r="D32" s="7" t="s">
        <v>44</v>
      </c>
      <c r="E32" s="7" t="s">
        <v>45</v>
      </c>
      <c r="F32" s="7" t="s">
        <v>46</v>
      </c>
      <c r="G32" s="7" t="s">
        <v>47</v>
      </c>
      <c r="H32" s="7" t="s">
        <v>48</v>
      </c>
      <c r="I32" s="7" t="s">
        <v>49</v>
      </c>
      <c r="J32" s="11" t="s">
        <v>50</v>
      </c>
      <c r="K32" s="11" t="s">
        <v>51</v>
      </c>
      <c r="L32" s="7" t="s">
        <v>52</v>
      </c>
      <c r="M32" s="7" t="s">
        <v>53</v>
      </c>
      <c r="N32" s="11" t="s">
        <v>54</v>
      </c>
      <c r="O32" s="11" t="s">
        <v>55</v>
      </c>
      <c r="P32" s="11" t="s">
        <v>56</v>
      </c>
      <c r="Q32" s="7" t="s">
        <v>57</v>
      </c>
      <c r="R32" s="7" t="s">
        <v>58</v>
      </c>
    </row>
    <row r="33" spans="1:18" ht="370.5">
      <c r="B33" s="57"/>
      <c r="C33" s="3" t="s">
        <v>74</v>
      </c>
      <c r="D33" s="12" t="s">
        <v>75</v>
      </c>
      <c r="E33" s="12" t="s">
        <v>76</v>
      </c>
      <c r="F33" s="12" t="s">
        <v>77</v>
      </c>
      <c r="G33" s="13" t="s">
        <v>78</v>
      </c>
      <c r="H33" s="13" t="s">
        <v>79</v>
      </c>
      <c r="I33" s="12" t="s">
        <v>80</v>
      </c>
      <c r="J33" s="14" t="s">
        <v>81</v>
      </c>
      <c r="K33" s="14" t="s">
        <v>82</v>
      </c>
      <c r="L33" s="13" t="s">
        <v>83</v>
      </c>
      <c r="M33" s="13" t="s">
        <v>338</v>
      </c>
      <c r="N33" s="15" t="s">
        <v>85</v>
      </c>
      <c r="O33" s="16">
        <v>37931</v>
      </c>
      <c r="P33" s="66">
        <v>1.2332480908315977</v>
      </c>
      <c r="Q33" s="12" t="s">
        <v>86</v>
      </c>
      <c r="R33" s="12" t="s">
        <v>87</v>
      </c>
    </row>
    <row r="34" spans="1:18" ht="199.5">
      <c r="B34" s="67" t="s">
        <v>7</v>
      </c>
      <c r="C34" s="3" t="s">
        <v>88</v>
      </c>
      <c r="D34" s="12" t="s">
        <v>89</v>
      </c>
      <c r="E34" s="12" t="s">
        <v>90</v>
      </c>
      <c r="F34" s="12" t="s">
        <v>91</v>
      </c>
      <c r="G34" s="13" t="s">
        <v>92</v>
      </c>
      <c r="H34" s="13" t="s">
        <v>79</v>
      </c>
      <c r="I34" s="12" t="s">
        <v>93</v>
      </c>
      <c r="J34" s="18" t="s">
        <v>94</v>
      </c>
      <c r="K34" s="19" t="s">
        <v>95</v>
      </c>
      <c r="L34" s="13" t="s">
        <v>83</v>
      </c>
      <c r="M34" s="13" t="s">
        <v>338</v>
      </c>
      <c r="N34" s="15" t="s">
        <v>85</v>
      </c>
      <c r="O34" s="68">
        <v>1505457</v>
      </c>
      <c r="P34" s="69">
        <v>1.024512379518866</v>
      </c>
      <c r="Q34" s="12" t="s">
        <v>96</v>
      </c>
      <c r="R34" s="12" t="s">
        <v>97</v>
      </c>
    </row>
    <row r="35" spans="1:18" ht="185.25">
      <c r="B35" s="70" t="s">
        <v>98</v>
      </c>
      <c r="C35" s="20" t="s">
        <v>99</v>
      </c>
      <c r="D35" s="12" t="s">
        <v>100</v>
      </c>
      <c r="E35" s="12" t="s">
        <v>101</v>
      </c>
      <c r="F35" s="12" t="s">
        <v>102</v>
      </c>
      <c r="G35" s="12" t="s">
        <v>103</v>
      </c>
      <c r="H35" s="12" t="s">
        <v>79</v>
      </c>
      <c r="I35" s="12" t="s">
        <v>104</v>
      </c>
      <c r="J35" s="12" t="s">
        <v>105</v>
      </c>
      <c r="K35" s="71" t="s">
        <v>106</v>
      </c>
      <c r="L35" s="12" t="s">
        <v>107</v>
      </c>
      <c r="M35" s="12" t="s">
        <v>84</v>
      </c>
      <c r="N35" s="12" t="s">
        <v>85</v>
      </c>
      <c r="O35" s="14">
        <v>9</v>
      </c>
      <c r="P35" s="66">
        <v>1</v>
      </c>
      <c r="Q35" s="12" t="s">
        <v>86</v>
      </c>
      <c r="R35" s="12" t="s">
        <v>108</v>
      </c>
    </row>
    <row r="36" spans="1:18" ht="156.75">
      <c r="A36" s="72"/>
      <c r="B36" s="73"/>
      <c r="C36" s="22" t="s">
        <v>109</v>
      </c>
      <c r="D36" s="12" t="s">
        <v>110</v>
      </c>
      <c r="E36" s="23" t="s">
        <v>111</v>
      </c>
      <c r="F36" s="12" t="s">
        <v>112</v>
      </c>
      <c r="G36" s="24" t="s">
        <v>103</v>
      </c>
      <c r="H36" s="24" t="s">
        <v>113</v>
      </c>
      <c r="I36" s="23" t="s">
        <v>114</v>
      </c>
      <c r="J36" s="25" t="s">
        <v>115</v>
      </c>
      <c r="K36" s="14" t="s">
        <v>116</v>
      </c>
      <c r="L36" s="12" t="s">
        <v>107</v>
      </c>
      <c r="M36" s="26" t="s">
        <v>84</v>
      </c>
      <c r="N36" s="12">
        <v>517</v>
      </c>
      <c r="O36" s="14">
        <v>7450</v>
      </c>
      <c r="P36" s="12" t="s">
        <v>339</v>
      </c>
      <c r="Q36" s="13" t="s">
        <v>117</v>
      </c>
      <c r="R36" s="12" t="s">
        <v>118</v>
      </c>
    </row>
    <row r="37" spans="1:18" ht="142.5">
      <c r="A37" s="74"/>
      <c r="B37" s="73"/>
      <c r="C37" s="22" t="s">
        <v>119</v>
      </c>
      <c r="D37" s="12" t="s">
        <v>120</v>
      </c>
      <c r="E37" s="12" t="s">
        <v>121</v>
      </c>
      <c r="F37" s="12" t="s">
        <v>122</v>
      </c>
      <c r="G37" s="24" t="s">
        <v>103</v>
      </c>
      <c r="H37" s="24" t="s">
        <v>113</v>
      </c>
      <c r="I37" s="12" t="s">
        <v>123</v>
      </c>
      <c r="J37" s="25" t="s">
        <v>124</v>
      </c>
      <c r="K37" s="14" t="s">
        <v>125</v>
      </c>
      <c r="L37" s="12" t="s">
        <v>107</v>
      </c>
      <c r="M37" s="28" t="s">
        <v>84</v>
      </c>
      <c r="N37" s="12">
        <v>925</v>
      </c>
      <c r="O37" s="29">
        <v>640</v>
      </c>
      <c r="P37" s="12" t="s">
        <v>340</v>
      </c>
      <c r="Q37" s="12" t="s">
        <v>126</v>
      </c>
      <c r="R37" s="12" t="s">
        <v>127</v>
      </c>
    </row>
    <row r="38" spans="1:18" ht="128.25">
      <c r="A38" s="74"/>
      <c r="B38" s="73"/>
      <c r="C38" s="22" t="s">
        <v>129</v>
      </c>
      <c r="D38" s="12" t="s">
        <v>130</v>
      </c>
      <c r="E38" s="12" t="s">
        <v>131</v>
      </c>
      <c r="F38" s="12" t="s">
        <v>132</v>
      </c>
      <c r="G38" s="24" t="s">
        <v>103</v>
      </c>
      <c r="H38" s="24" t="s">
        <v>113</v>
      </c>
      <c r="I38" s="23" t="s">
        <v>133</v>
      </c>
      <c r="J38" s="30" t="s">
        <v>134</v>
      </c>
      <c r="K38" s="30" t="s">
        <v>135</v>
      </c>
      <c r="L38" s="12" t="s">
        <v>107</v>
      </c>
      <c r="M38" s="28" t="s">
        <v>84</v>
      </c>
      <c r="N38" s="12">
        <v>10405</v>
      </c>
      <c r="O38" s="31">
        <v>5000</v>
      </c>
      <c r="P38" s="12" t="s">
        <v>341</v>
      </c>
      <c r="Q38" s="12" t="s">
        <v>136</v>
      </c>
      <c r="R38" s="12" t="s">
        <v>137</v>
      </c>
    </row>
    <row r="39" spans="1:18" ht="199.5">
      <c r="A39" s="74"/>
      <c r="B39" s="73"/>
      <c r="C39" s="22" t="s">
        <v>138</v>
      </c>
      <c r="D39" s="12" t="s">
        <v>139</v>
      </c>
      <c r="E39" s="12" t="s">
        <v>140</v>
      </c>
      <c r="F39" s="12" t="s">
        <v>141</v>
      </c>
      <c r="G39" s="24" t="s">
        <v>103</v>
      </c>
      <c r="H39" s="24" t="s">
        <v>113</v>
      </c>
      <c r="I39" s="23" t="s">
        <v>142</v>
      </c>
      <c r="J39" s="32" t="s">
        <v>143</v>
      </c>
      <c r="K39" s="32" t="s">
        <v>144</v>
      </c>
      <c r="L39" s="12" t="s">
        <v>107</v>
      </c>
      <c r="M39" s="28" t="s">
        <v>84</v>
      </c>
      <c r="N39" s="33">
        <v>9826</v>
      </c>
      <c r="O39" s="31">
        <v>8791</v>
      </c>
      <c r="P39" s="12" t="s">
        <v>342</v>
      </c>
      <c r="Q39" s="23" t="s">
        <v>117</v>
      </c>
      <c r="R39" s="12" t="s">
        <v>145</v>
      </c>
    </row>
    <row r="40" spans="1:18" ht="114">
      <c r="A40" s="74"/>
      <c r="B40" s="73"/>
      <c r="C40" s="22" t="s">
        <v>146</v>
      </c>
      <c r="D40" s="12" t="s">
        <v>147</v>
      </c>
      <c r="E40" s="12" t="s">
        <v>148</v>
      </c>
      <c r="F40" s="12" t="s">
        <v>149</v>
      </c>
      <c r="G40" s="24" t="s">
        <v>103</v>
      </c>
      <c r="H40" s="12" t="s">
        <v>113</v>
      </c>
      <c r="I40" s="23" t="s">
        <v>150</v>
      </c>
      <c r="J40" s="30" t="s">
        <v>151</v>
      </c>
      <c r="K40" s="30" t="s">
        <v>152</v>
      </c>
      <c r="L40" s="12" t="s">
        <v>107</v>
      </c>
      <c r="M40" s="34" t="s">
        <v>84</v>
      </c>
      <c r="N40" s="35">
        <v>1378450</v>
      </c>
      <c r="O40" s="31">
        <v>1190350</v>
      </c>
      <c r="P40" s="12" t="s">
        <v>343</v>
      </c>
      <c r="Q40" s="13" t="s">
        <v>153</v>
      </c>
      <c r="R40" s="12" t="s">
        <v>154</v>
      </c>
    </row>
    <row r="41" spans="1:18" ht="128.25">
      <c r="A41" s="74"/>
      <c r="B41" s="73"/>
      <c r="C41" s="22" t="s">
        <v>155</v>
      </c>
      <c r="D41" s="12" t="s">
        <v>156</v>
      </c>
      <c r="E41" s="12" t="s">
        <v>157</v>
      </c>
      <c r="F41" s="12" t="s">
        <v>158</v>
      </c>
      <c r="G41" s="24" t="s">
        <v>103</v>
      </c>
      <c r="H41" s="12" t="s">
        <v>113</v>
      </c>
      <c r="I41" s="23" t="s">
        <v>159</v>
      </c>
      <c r="J41" s="30" t="s">
        <v>151</v>
      </c>
      <c r="K41" s="30" t="s">
        <v>160</v>
      </c>
      <c r="L41" s="12" t="s">
        <v>107</v>
      </c>
      <c r="M41" s="34" t="s">
        <v>84</v>
      </c>
      <c r="N41" s="33">
        <v>26296</v>
      </c>
      <c r="O41" s="31">
        <v>26292</v>
      </c>
      <c r="P41" s="12" t="s">
        <v>344</v>
      </c>
      <c r="Q41" s="13" t="s">
        <v>153</v>
      </c>
      <c r="R41" s="12" t="s">
        <v>161</v>
      </c>
    </row>
    <row r="42" spans="1:18" ht="156.75">
      <c r="A42" s="74"/>
      <c r="B42" s="73"/>
      <c r="C42" s="22" t="s">
        <v>162</v>
      </c>
      <c r="D42" s="12" t="s">
        <v>163</v>
      </c>
      <c r="E42" s="12" t="s">
        <v>164</v>
      </c>
      <c r="F42" s="12" t="s">
        <v>165</v>
      </c>
      <c r="G42" s="24" t="s">
        <v>103</v>
      </c>
      <c r="H42" s="12" t="s">
        <v>113</v>
      </c>
      <c r="I42" s="23" t="s">
        <v>150</v>
      </c>
      <c r="J42" s="30" t="s">
        <v>151</v>
      </c>
      <c r="K42" s="30" t="s">
        <v>152</v>
      </c>
      <c r="L42" s="12" t="s">
        <v>107</v>
      </c>
      <c r="M42" s="34" t="s">
        <v>84</v>
      </c>
      <c r="N42" s="35">
        <v>4560</v>
      </c>
      <c r="O42" s="31">
        <v>4020</v>
      </c>
      <c r="P42" s="12" t="s">
        <v>343</v>
      </c>
      <c r="Q42" s="13" t="s">
        <v>153</v>
      </c>
      <c r="R42" s="12" t="s">
        <v>166</v>
      </c>
    </row>
    <row r="43" spans="1:18" ht="114">
      <c r="A43" s="74"/>
      <c r="B43" s="73"/>
      <c r="C43" s="22" t="s">
        <v>167</v>
      </c>
      <c r="D43" s="12" t="s">
        <v>168</v>
      </c>
      <c r="E43" s="12" t="s">
        <v>169</v>
      </c>
      <c r="F43" s="12" t="s">
        <v>170</v>
      </c>
      <c r="G43" s="24" t="s">
        <v>103</v>
      </c>
      <c r="H43" s="12" t="s">
        <v>113</v>
      </c>
      <c r="I43" s="12" t="s">
        <v>171</v>
      </c>
      <c r="J43" s="30" t="s">
        <v>172</v>
      </c>
      <c r="K43" s="30" t="s">
        <v>173</v>
      </c>
      <c r="L43" s="12" t="s">
        <v>107</v>
      </c>
      <c r="M43" s="34" t="s">
        <v>84</v>
      </c>
      <c r="N43" s="35">
        <v>7997</v>
      </c>
      <c r="O43" s="31">
        <v>6000</v>
      </c>
      <c r="P43" s="12" t="s">
        <v>345</v>
      </c>
      <c r="Q43" s="12" t="s">
        <v>174</v>
      </c>
      <c r="R43" s="12" t="s">
        <v>175</v>
      </c>
    </row>
    <row r="44" spans="1:18" ht="128.25">
      <c r="A44" s="74"/>
      <c r="B44" s="73"/>
      <c r="C44" s="22" t="s">
        <v>176</v>
      </c>
      <c r="D44" s="12" t="s">
        <v>177</v>
      </c>
      <c r="E44" s="12" t="s">
        <v>178</v>
      </c>
      <c r="F44" s="12" t="s">
        <v>179</v>
      </c>
      <c r="G44" s="12" t="s">
        <v>103</v>
      </c>
      <c r="H44" s="12" t="s">
        <v>113</v>
      </c>
      <c r="I44" s="12" t="s">
        <v>180</v>
      </c>
      <c r="J44" s="12" t="s">
        <v>181</v>
      </c>
      <c r="K44" s="12">
        <v>4</v>
      </c>
      <c r="L44" s="12" t="s">
        <v>182</v>
      </c>
      <c r="M44" s="12" t="s">
        <v>183</v>
      </c>
      <c r="N44" s="12">
        <v>2676</v>
      </c>
      <c r="O44" s="14">
        <v>2550</v>
      </c>
      <c r="P44" s="36">
        <v>2361.8000000000002</v>
      </c>
      <c r="Q44" s="12" t="s">
        <v>184</v>
      </c>
      <c r="R44" s="12" t="s">
        <v>185</v>
      </c>
    </row>
    <row r="45" spans="1:18" ht="128.25">
      <c r="A45" s="74"/>
      <c r="B45" s="73"/>
      <c r="C45" s="22" t="s">
        <v>186</v>
      </c>
      <c r="D45" s="12" t="s">
        <v>187</v>
      </c>
      <c r="E45" s="12" t="s">
        <v>188</v>
      </c>
      <c r="F45" s="12" t="s">
        <v>189</v>
      </c>
      <c r="G45" s="12" t="s">
        <v>103</v>
      </c>
      <c r="H45" s="12" t="s">
        <v>113</v>
      </c>
      <c r="I45" s="12" t="s">
        <v>190</v>
      </c>
      <c r="J45" s="12" t="s">
        <v>191</v>
      </c>
      <c r="K45" s="12" t="s">
        <v>192</v>
      </c>
      <c r="L45" s="12" t="s">
        <v>107</v>
      </c>
      <c r="M45" s="12" t="s">
        <v>84</v>
      </c>
      <c r="N45" s="12" t="s">
        <v>85</v>
      </c>
      <c r="O45" s="14">
        <v>15000</v>
      </c>
      <c r="P45" s="12" t="s">
        <v>346</v>
      </c>
      <c r="Q45" s="12" t="s">
        <v>184</v>
      </c>
      <c r="R45" s="12" t="s">
        <v>185</v>
      </c>
    </row>
    <row r="46" spans="1:18" ht="128.25">
      <c r="A46" s="74"/>
      <c r="B46" s="73"/>
      <c r="C46" s="22" t="s">
        <v>193</v>
      </c>
      <c r="D46" s="12" t="s">
        <v>194</v>
      </c>
      <c r="E46" s="12" t="s">
        <v>195</v>
      </c>
      <c r="F46" s="12" t="s">
        <v>196</v>
      </c>
      <c r="G46" s="24" t="s">
        <v>103</v>
      </c>
      <c r="H46" s="12" t="s">
        <v>113</v>
      </c>
      <c r="I46" s="23" t="s">
        <v>197</v>
      </c>
      <c r="J46" s="30" t="s">
        <v>198</v>
      </c>
      <c r="K46" s="30" t="s">
        <v>199</v>
      </c>
      <c r="L46" s="12" t="s">
        <v>107</v>
      </c>
      <c r="M46" s="34" t="s">
        <v>84</v>
      </c>
      <c r="N46" s="35">
        <v>28995</v>
      </c>
      <c r="O46" s="31">
        <v>29000</v>
      </c>
      <c r="P46" s="12" t="s">
        <v>347</v>
      </c>
      <c r="Q46" s="13" t="s">
        <v>200</v>
      </c>
      <c r="R46" s="12" t="s">
        <v>201</v>
      </c>
    </row>
    <row r="47" spans="1:18" ht="171">
      <c r="A47" s="74"/>
      <c r="B47" s="73"/>
      <c r="C47" s="22" t="s">
        <v>202</v>
      </c>
      <c r="D47" s="12" t="s">
        <v>203</v>
      </c>
      <c r="E47" s="12" t="s">
        <v>204</v>
      </c>
      <c r="F47" s="12" t="s">
        <v>205</v>
      </c>
      <c r="G47" s="24" t="s">
        <v>103</v>
      </c>
      <c r="H47" s="12" t="s">
        <v>113</v>
      </c>
      <c r="I47" s="12" t="s">
        <v>206</v>
      </c>
      <c r="J47" s="30" t="s">
        <v>207</v>
      </c>
      <c r="K47" s="30">
        <v>4</v>
      </c>
      <c r="L47" s="12" t="s">
        <v>182</v>
      </c>
      <c r="M47" s="34" t="s">
        <v>183</v>
      </c>
      <c r="N47" s="12" t="s">
        <v>85</v>
      </c>
      <c r="O47" s="29">
        <v>1500</v>
      </c>
      <c r="P47" s="12">
        <v>1652</v>
      </c>
      <c r="Q47" s="13" t="s">
        <v>117</v>
      </c>
      <c r="R47" s="12" t="s">
        <v>208</v>
      </c>
    </row>
    <row r="48" spans="1:18" ht="171">
      <c r="A48" s="74"/>
      <c r="B48" s="73"/>
      <c r="C48" s="22" t="s">
        <v>209</v>
      </c>
      <c r="D48" s="12" t="s">
        <v>210</v>
      </c>
      <c r="E48" s="12" t="s">
        <v>211</v>
      </c>
      <c r="F48" s="12" t="s">
        <v>212</v>
      </c>
      <c r="G48" s="24" t="s">
        <v>103</v>
      </c>
      <c r="H48" s="12" t="s">
        <v>113</v>
      </c>
      <c r="I48" s="23" t="s">
        <v>213</v>
      </c>
      <c r="J48" s="30" t="s">
        <v>214</v>
      </c>
      <c r="K48" s="30" t="s">
        <v>215</v>
      </c>
      <c r="L48" s="12" t="s">
        <v>107</v>
      </c>
      <c r="M48" s="34" t="s">
        <v>84</v>
      </c>
      <c r="N48" s="35">
        <v>203457</v>
      </c>
      <c r="O48" s="29">
        <v>224400</v>
      </c>
      <c r="P48" s="12" t="s">
        <v>348</v>
      </c>
      <c r="Q48" s="13" t="s">
        <v>117</v>
      </c>
      <c r="R48" s="12" t="s">
        <v>208</v>
      </c>
    </row>
    <row r="49" spans="1:18" ht="114">
      <c r="A49" s="74"/>
      <c r="B49" s="73"/>
      <c r="C49" s="22" t="s">
        <v>216</v>
      </c>
      <c r="D49" s="37" t="s">
        <v>217</v>
      </c>
      <c r="E49" s="37" t="s">
        <v>218</v>
      </c>
      <c r="F49" s="37" t="s">
        <v>219</v>
      </c>
      <c r="G49" s="38" t="s">
        <v>103</v>
      </c>
      <c r="H49" s="37" t="s">
        <v>113</v>
      </c>
      <c r="I49" s="37" t="s">
        <v>220</v>
      </c>
      <c r="J49" s="39" t="s">
        <v>221</v>
      </c>
      <c r="K49" s="39">
        <v>4</v>
      </c>
      <c r="L49" s="12" t="s">
        <v>182</v>
      </c>
      <c r="M49" s="40" t="s">
        <v>183</v>
      </c>
      <c r="N49" s="41" t="s">
        <v>85</v>
      </c>
      <c r="O49" s="42">
        <v>4500</v>
      </c>
      <c r="P49" s="12">
        <v>4801.3</v>
      </c>
      <c r="Q49" s="12" t="s">
        <v>222</v>
      </c>
      <c r="R49" s="12" t="s">
        <v>223</v>
      </c>
    </row>
    <row r="50" spans="1:18" ht="114">
      <c r="A50" s="74"/>
      <c r="B50" s="73"/>
      <c r="C50" s="22" t="s">
        <v>224</v>
      </c>
      <c r="D50" s="12" t="s">
        <v>225</v>
      </c>
      <c r="E50" s="12" t="s">
        <v>226</v>
      </c>
      <c r="F50" s="12" t="s">
        <v>227</v>
      </c>
      <c r="G50" s="24" t="s">
        <v>103</v>
      </c>
      <c r="H50" s="12" t="s">
        <v>113</v>
      </c>
      <c r="I50" s="12" t="s">
        <v>228</v>
      </c>
      <c r="J50" s="30" t="s">
        <v>229</v>
      </c>
      <c r="K50" s="30">
        <v>4</v>
      </c>
      <c r="L50" s="12" t="s">
        <v>182</v>
      </c>
      <c r="M50" s="34" t="s">
        <v>183</v>
      </c>
      <c r="N50" s="17"/>
      <c r="O50" s="29">
        <v>780</v>
      </c>
      <c r="P50" s="12">
        <v>778</v>
      </c>
      <c r="Q50" s="12" t="s">
        <v>230</v>
      </c>
      <c r="R50" s="12" t="s">
        <v>231</v>
      </c>
    </row>
    <row r="51" spans="1:18" ht="99.75">
      <c r="A51" s="74"/>
      <c r="B51" s="73"/>
      <c r="C51" s="22" t="s">
        <v>232</v>
      </c>
      <c r="D51" s="12" t="s">
        <v>233</v>
      </c>
      <c r="E51" s="12" t="s">
        <v>234</v>
      </c>
      <c r="F51" s="12" t="s">
        <v>235</v>
      </c>
      <c r="G51" s="24" t="s">
        <v>103</v>
      </c>
      <c r="H51" s="12" t="s">
        <v>113</v>
      </c>
      <c r="I51" s="23" t="s">
        <v>236</v>
      </c>
      <c r="J51" s="30" t="s">
        <v>237</v>
      </c>
      <c r="K51" s="30" t="s">
        <v>238</v>
      </c>
      <c r="L51" s="12" t="s">
        <v>107</v>
      </c>
      <c r="M51" s="34" t="s">
        <v>84</v>
      </c>
      <c r="N51" s="35">
        <v>2037</v>
      </c>
      <c r="O51" s="29">
        <v>2030</v>
      </c>
      <c r="P51" s="12" t="s">
        <v>349</v>
      </c>
      <c r="Q51" s="13" t="s">
        <v>239</v>
      </c>
      <c r="R51" s="12" t="s">
        <v>240</v>
      </c>
    </row>
    <row r="52" spans="1:18" ht="99.75">
      <c r="A52" s="75"/>
      <c r="B52" s="73"/>
      <c r="C52" s="22" t="s">
        <v>241</v>
      </c>
      <c r="D52" s="12" t="s">
        <v>242</v>
      </c>
      <c r="E52" s="12" t="s">
        <v>243</v>
      </c>
      <c r="F52" s="12" t="s">
        <v>244</v>
      </c>
      <c r="G52" s="24" t="s">
        <v>103</v>
      </c>
      <c r="H52" s="12" t="s">
        <v>113</v>
      </c>
      <c r="I52" s="23" t="s">
        <v>245</v>
      </c>
      <c r="J52" s="30" t="s">
        <v>246</v>
      </c>
      <c r="K52" s="30" t="s">
        <v>247</v>
      </c>
      <c r="L52" s="12" t="s">
        <v>107</v>
      </c>
      <c r="M52" s="34" t="s">
        <v>84</v>
      </c>
      <c r="N52" s="12" t="s">
        <v>85</v>
      </c>
      <c r="O52" s="29">
        <v>1188</v>
      </c>
      <c r="P52" s="12" t="s">
        <v>343</v>
      </c>
      <c r="Q52" s="13" t="s">
        <v>248</v>
      </c>
      <c r="R52" s="12" t="s">
        <v>240</v>
      </c>
    </row>
    <row r="53" spans="1:18" ht="99.75">
      <c r="B53" s="76" t="s">
        <v>98</v>
      </c>
      <c r="C53" s="44" t="s">
        <v>249</v>
      </c>
      <c r="D53" s="12" t="s">
        <v>250</v>
      </c>
      <c r="E53" s="12" t="s">
        <v>350</v>
      </c>
      <c r="F53" s="12" t="s">
        <v>112</v>
      </c>
      <c r="G53" s="12" t="s">
        <v>103</v>
      </c>
      <c r="H53" s="12" t="s">
        <v>79</v>
      </c>
      <c r="I53" s="12" t="s">
        <v>251</v>
      </c>
      <c r="J53" s="30" t="s">
        <v>252</v>
      </c>
      <c r="K53" s="30" t="s">
        <v>253</v>
      </c>
      <c r="L53" s="12" t="s">
        <v>107</v>
      </c>
      <c r="M53" s="12" t="s">
        <v>84</v>
      </c>
      <c r="N53" s="12">
        <v>4431</v>
      </c>
      <c r="O53" s="14">
        <v>5000</v>
      </c>
      <c r="P53" s="12" t="s">
        <v>351</v>
      </c>
      <c r="Q53" s="12" t="s">
        <v>254</v>
      </c>
      <c r="R53" s="12" t="s">
        <v>255</v>
      </c>
    </row>
    <row r="54" spans="1:18" ht="199.5">
      <c r="A54" s="73"/>
      <c r="B54" s="73"/>
      <c r="C54" s="45" t="s">
        <v>256</v>
      </c>
      <c r="D54" s="12" t="s">
        <v>257</v>
      </c>
      <c r="E54" s="12" t="s">
        <v>258</v>
      </c>
      <c r="F54" s="12" t="s">
        <v>259</v>
      </c>
      <c r="G54" s="12" t="s">
        <v>103</v>
      </c>
      <c r="H54" s="12" t="s">
        <v>113</v>
      </c>
      <c r="I54" s="12" t="s">
        <v>260</v>
      </c>
      <c r="J54" s="30" t="s">
        <v>261</v>
      </c>
      <c r="K54" s="30" t="s">
        <v>262</v>
      </c>
      <c r="L54" s="12" t="s">
        <v>107</v>
      </c>
      <c r="M54" s="12" t="s">
        <v>84</v>
      </c>
      <c r="N54" s="12">
        <v>17</v>
      </c>
      <c r="O54" s="14">
        <v>7</v>
      </c>
      <c r="P54" s="12" t="s">
        <v>352</v>
      </c>
      <c r="Q54" s="12" t="s">
        <v>263</v>
      </c>
      <c r="R54" s="12" t="s">
        <v>264</v>
      </c>
    </row>
    <row r="55" spans="1:18" ht="128.25">
      <c r="B55" s="77" t="s">
        <v>98</v>
      </c>
      <c r="C55" s="20" t="s">
        <v>265</v>
      </c>
      <c r="D55" s="12" t="s">
        <v>266</v>
      </c>
      <c r="E55" s="12" t="s">
        <v>267</v>
      </c>
      <c r="F55" s="12" t="s">
        <v>268</v>
      </c>
      <c r="G55" s="12" t="s">
        <v>103</v>
      </c>
      <c r="H55" s="12" t="s">
        <v>79</v>
      </c>
      <c r="I55" s="12" t="s">
        <v>269</v>
      </c>
      <c r="J55" s="46" t="s">
        <v>270</v>
      </c>
      <c r="K55" s="47" t="s">
        <v>271</v>
      </c>
      <c r="L55" s="12" t="s">
        <v>107</v>
      </c>
      <c r="M55" s="12" t="s">
        <v>84</v>
      </c>
      <c r="N55" s="48" t="s">
        <v>85</v>
      </c>
      <c r="O55" s="14">
        <v>1100</v>
      </c>
      <c r="P55" s="12" t="s">
        <v>353</v>
      </c>
      <c r="Q55" s="12" t="s">
        <v>272</v>
      </c>
      <c r="R55" s="12" t="s">
        <v>273</v>
      </c>
    </row>
    <row r="56" spans="1:18" ht="156.75">
      <c r="A56" s="72"/>
      <c r="B56" s="78"/>
      <c r="C56" s="22" t="s">
        <v>274</v>
      </c>
      <c r="D56" s="12" t="s">
        <v>275</v>
      </c>
      <c r="E56" s="12" t="s">
        <v>276</v>
      </c>
      <c r="F56" s="12" t="s">
        <v>277</v>
      </c>
      <c r="G56" s="12" t="s">
        <v>103</v>
      </c>
      <c r="H56" s="12" t="s">
        <v>113</v>
      </c>
      <c r="I56" s="12" t="s">
        <v>278</v>
      </c>
      <c r="J56" s="30" t="s">
        <v>279</v>
      </c>
      <c r="K56" s="30" t="s">
        <v>280</v>
      </c>
      <c r="L56" s="12" t="s">
        <v>107</v>
      </c>
      <c r="M56" s="12" t="s">
        <v>84</v>
      </c>
      <c r="N56" s="48" t="s">
        <v>85</v>
      </c>
      <c r="O56" s="14">
        <v>700</v>
      </c>
      <c r="P56" s="12" t="s">
        <v>354</v>
      </c>
      <c r="Q56" s="12" t="s">
        <v>281</v>
      </c>
      <c r="R56" s="12" t="s">
        <v>282</v>
      </c>
    </row>
    <row r="57" spans="1:18" ht="114">
      <c r="A57" s="75"/>
      <c r="B57" s="78"/>
      <c r="C57" s="22" t="s">
        <v>283</v>
      </c>
      <c r="D57" s="12" t="s">
        <v>284</v>
      </c>
      <c r="E57" s="12" t="s">
        <v>285</v>
      </c>
      <c r="F57" s="12" t="s">
        <v>286</v>
      </c>
      <c r="G57" s="12" t="s">
        <v>103</v>
      </c>
      <c r="H57" s="12" t="s">
        <v>113</v>
      </c>
      <c r="I57" s="12" t="s">
        <v>287</v>
      </c>
      <c r="J57" s="30" t="s">
        <v>288</v>
      </c>
      <c r="K57" s="30" t="s">
        <v>289</v>
      </c>
      <c r="L57" s="12" t="s">
        <v>107</v>
      </c>
      <c r="M57" s="12" t="s">
        <v>84</v>
      </c>
      <c r="N57" s="48" t="s">
        <v>85</v>
      </c>
      <c r="O57" s="14">
        <v>400</v>
      </c>
      <c r="P57" s="12" t="s">
        <v>355</v>
      </c>
      <c r="Q57" s="12" t="s">
        <v>290</v>
      </c>
      <c r="R57" s="12" t="s">
        <v>291</v>
      </c>
    </row>
    <row r="58" spans="1:18" ht="128.25">
      <c r="B58" s="76" t="s">
        <v>292</v>
      </c>
      <c r="C58" s="20" t="s">
        <v>293</v>
      </c>
      <c r="D58" s="12" t="s">
        <v>294</v>
      </c>
      <c r="E58" s="12" t="s">
        <v>295</v>
      </c>
      <c r="F58" s="12" t="s">
        <v>296</v>
      </c>
      <c r="G58" s="12" t="s">
        <v>103</v>
      </c>
      <c r="H58" s="12" t="s">
        <v>79</v>
      </c>
      <c r="I58" s="12" t="s">
        <v>297</v>
      </c>
      <c r="J58" s="30" t="s">
        <v>298</v>
      </c>
      <c r="K58" s="30" t="s">
        <v>299</v>
      </c>
      <c r="L58" s="12" t="s">
        <v>107</v>
      </c>
      <c r="M58" s="12" t="s">
        <v>84</v>
      </c>
      <c r="N58" s="49">
        <v>12</v>
      </c>
      <c r="O58" s="14">
        <v>12</v>
      </c>
      <c r="P58" s="12" t="s">
        <v>356</v>
      </c>
      <c r="Q58" s="12" t="s">
        <v>300</v>
      </c>
      <c r="R58" s="12" t="s">
        <v>301</v>
      </c>
    </row>
    <row r="59" spans="1:18" ht="128.25">
      <c r="A59" s="73"/>
      <c r="B59" s="73"/>
      <c r="C59" s="22" t="s">
        <v>302</v>
      </c>
      <c r="D59" s="12" t="s">
        <v>303</v>
      </c>
      <c r="E59" s="12" t="s">
        <v>304</v>
      </c>
      <c r="F59" s="13" t="s">
        <v>305</v>
      </c>
      <c r="G59" s="12" t="s">
        <v>103</v>
      </c>
      <c r="H59" s="12" t="s">
        <v>113</v>
      </c>
      <c r="I59" s="12" t="s">
        <v>306</v>
      </c>
      <c r="J59" s="30" t="s">
        <v>307</v>
      </c>
      <c r="K59" s="30">
        <v>4</v>
      </c>
      <c r="L59" s="12" t="s">
        <v>182</v>
      </c>
      <c r="M59" s="12" t="s">
        <v>183</v>
      </c>
      <c r="N59" s="48" t="s">
        <v>85</v>
      </c>
      <c r="O59" s="14">
        <v>330</v>
      </c>
      <c r="P59" s="12">
        <v>330</v>
      </c>
      <c r="Q59" s="12" t="s">
        <v>308</v>
      </c>
      <c r="R59" s="12" t="s">
        <v>309</v>
      </c>
    </row>
    <row r="60" spans="1:18" ht="171.75">
      <c r="A60" s="73"/>
      <c r="B60" s="73"/>
      <c r="C60" s="22" t="s">
        <v>310</v>
      </c>
      <c r="D60" s="79" t="s">
        <v>311</v>
      </c>
      <c r="E60" s="80" t="s">
        <v>312</v>
      </c>
      <c r="F60" s="81" t="s">
        <v>313</v>
      </c>
      <c r="G60" s="80" t="s">
        <v>103</v>
      </c>
      <c r="H60" s="80" t="s">
        <v>113</v>
      </c>
      <c r="I60" s="81" t="s">
        <v>314</v>
      </c>
      <c r="J60" s="82" t="s">
        <v>315</v>
      </c>
      <c r="K60" s="83" t="s">
        <v>316</v>
      </c>
      <c r="L60" s="81" t="s">
        <v>107</v>
      </c>
      <c r="M60" s="81" t="s">
        <v>84</v>
      </c>
      <c r="N60" s="84" t="s">
        <v>85</v>
      </c>
      <c r="O60" s="85">
        <v>1800</v>
      </c>
      <c r="P60" s="12" t="s">
        <v>339</v>
      </c>
      <c r="Q60" s="80" t="s">
        <v>317</v>
      </c>
      <c r="R60" s="80" t="s">
        <v>309</v>
      </c>
    </row>
    <row r="61" spans="1:18" ht="15.75">
      <c r="A61" s="86"/>
      <c r="B61" s="87"/>
    </row>
    <row r="62" spans="1:18" ht="15.75">
      <c r="D62" s="88"/>
      <c r="E62" s="88"/>
      <c r="F62" s="88"/>
      <c r="G62" s="88"/>
      <c r="H62" s="88"/>
    </row>
    <row r="63" spans="1:18" ht="15.75">
      <c r="D63" s="88"/>
      <c r="E63" s="88"/>
      <c r="F63" s="88"/>
      <c r="G63" s="88"/>
      <c r="H63" s="88"/>
    </row>
    <row r="64" spans="1:18" ht="15.75">
      <c r="D64" s="88"/>
      <c r="E64" s="88"/>
      <c r="F64" s="88"/>
      <c r="G64" s="88"/>
      <c r="H64" s="88"/>
    </row>
    <row r="65" spans="4:8" ht="15.75">
      <c r="D65" s="88"/>
      <c r="E65" s="88"/>
      <c r="F65" s="88"/>
      <c r="G65" s="88"/>
      <c r="H65" s="88"/>
    </row>
    <row r="66" spans="4:8" ht="15.75">
      <c r="D66" s="88"/>
      <c r="E66" s="88"/>
      <c r="F66" s="88"/>
      <c r="G66" s="88"/>
      <c r="H66" s="88"/>
    </row>
    <row r="67" spans="4:8" ht="15.75">
      <c r="D67" s="88"/>
      <c r="E67" s="88"/>
      <c r="F67" s="88"/>
      <c r="G67" s="88"/>
      <c r="H67" s="88"/>
    </row>
    <row r="68" spans="4:8" ht="15.75">
      <c r="D68" s="88"/>
      <c r="E68" s="88"/>
      <c r="F68" s="88"/>
      <c r="G68" s="88"/>
      <c r="H68" s="88"/>
    </row>
    <row r="69" spans="4:8" ht="15.75">
      <c r="D69" s="88"/>
      <c r="E69" s="88"/>
      <c r="F69" s="88"/>
      <c r="G69" s="88"/>
      <c r="H69" s="88"/>
    </row>
    <row r="70" spans="4:8" ht="15.75">
      <c r="D70" s="88"/>
      <c r="E70" s="88"/>
      <c r="F70" s="88"/>
      <c r="G70" s="88"/>
      <c r="H70" s="88"/>
    </row>
    <row r="71" spans="4:8" ht="15.75">
      <c r="D71" s="88"/>
      <c r="E71" s="88"/>
      <c r="F71" s="88"/>
      <c r="G71" s="88"/>
      <c r="H71" s="88"/>
    </row>
    <row r="72" spans="4:8" ht="15.75">
      <c r="D72" s="88"/>
      <c r="E72" s="88"/>
      <c r="F72" s="88"/>
      <c r="G72" s="88"/>
      <c r="H72" s="88"/>
    </row>
    <row r="73" spans="4:8" ht="15.75">
      <c r="D73" s="88"/>
      <c r="E73" s="88"/>
      <c r="F73" s="88"/>
      <c r="G73" s="88"/>
      <c r="H73" s="88"/>
    </row>
    <row r="74" spans="4:8" ht="15.75">
      <c r="D74" s="88"/>
      <c r="E74" s="88"/>
      <c r="F74" s="88"/>
      <c r="G74" s="88"/>
      <c r="H74" s="88"/>
    </row>
    <row r="75" spans="4:8" ht="15.75">
      <c r="D75" s="88"/>
      <c r="E75" s="88"/>
      <c r="F75" s="88"/>
      <c r="G75" s="88"/>
      <c r="H75" s="88"/>
    </row>
    <row r="76" spans="4:8" ht="15.75">
      <c r="D76" s="88"/>
      <c r="E76" s="88"/>
      <c r="F76" s="88"/>
      <c r="G76" s="88"/>
      <c r="H76" s="88"/>
    </row>
    <row r="77" spans="4:8" ht="15.75">
      <c r="D77" s="88"/>
      <c r="E77" s="88"/>
      <c r="F77" s="88"/>
      <c r="G77" s="88"/>
      <c r="H77" s="88"/>
    </row>
    <row r="78" spans="4:8" ht="15.75">
      <c r="D78" s="88"/>
      <c r="E78" s="88"/>
      <c r="F78" s="88"/>
      <c r="G78" s="88"/>
      <c r="H78" s="88"/>
    </row>
    <row r="79" spans="4:8" ht="15.75">
      <c r="D79" s="88"/>
      <c r="E79" s="88"/>
      <c r="F79" s="88"/>
      <c r="G79" s="88"/>
      <c r="H79" s="88"/>
    </row>
    <row r="80" spans="4:8" ht="15.75">
      <c r="D80" s="88"/>
      <c r="E80" s="88"/>
      <c r="F80" s="88"/>
      <c r="G80" s="88"/>
      <c r="H80" s="88"/>
    </row>
    <row r="81" spans="4:8" ht="15.75">
      <c r="D81" s="88"/>
      <c r="E81" s="88"/>
      <c r="F81" s="88"/>
      <c r="G81" s="88"/>
      <c r="H81" s="88"/>
    </row>
    <row r="82" spans="4:8" ht="15.75">
      <c r="D82" s="88"/>
      <c r="E82" s="88"/>
      <c r="F82" s="88"/>
      <c r="G82" s="88"/>
      <c r="H82" s="88"/>
    </row>
    <row r="83" spans="4:8" ht="15.75">
      <c r="D83" s="88"/>
      <c r="E83" s="88"/>
      <c r="F83" s="88"/>
      <c r="G83" s="88"/>
      <c r="H83" s="88"/>
    </row>
    <row r="84" spans="4:8" ht="15.75">
      <c r="D84" s="88"/>
      <c r="E84" s="88"/>
      <c r="F84" s="88"/>
      <c r="G84" s="88"/>
      <c r="H84" s="88"/>
    </row>
    <row r="85" spans="4:8" ht="15.75">
      <c r="D85" s="88"/>
      <c r="E85" s="88"/>
      <c r="F85" s="88"/>
      <c r="G85" s="88"/>
      <c r="H85" s="88"/>
    </row>
    <row r="86" spans="4:8" ht="15.75">
      <c r="D86" s="88"/>
      <c r="E86" s="88"/>
      <c r="F86" s="88"/>
      <c r="G86" s="88"/>
      <c r="H86" s="88"/>
    </row>
    <row r="87" spans="4:8" ht="15.75">
      <c r="D87" s="88"/>
      <c r="E87" s="88"/>
      <c r="F87" s="88"/>
      <c r="G87" s="88"/>
      <c r="H87" s="88"/>
    </row>
    <row r="88" spans="4:8" ht="15.75">
      <c r="D88" s="88"/>
      <c r="E88" s="88"/>
      <c r="F88" s="88"/>
      <c r="G88" s="88"/>
      <c r="H88" s="88"/>
    </row>
    <row r="89" spans="4:8" ht="15.75">
      <c r="D89" s="88"/>
      <c r="E89" s="88"/>
      <c r="F89" s="88"/>
      <c r="G89" s="88"/>
      <c r="H89" s="88"/>
    </row>
    <row r="90" spans="4:8" ht="15.75">
      <c r="D90" s="88"/>
      <c r="E90" s="88"/>
      <c r="F90" s="88"/>
      <c r="G90" s="88"/>
      <c r="H90" s="88"/>
    </row>
    <row r="91" spans="4:8" ht="15.75">
      <c r="D91" s="88"/>
      <c r="E91" s="88"/>
      <c r="F91" s="88"/>
      <c r="G91" s="88"/>
      <c r="H91" s="88"/>
    </row>
    <row r="92" spans="4:8" ht="15.75">
      <c r="D92" s="88"/>
      <c r="E92" s="88"/>
      <c r="F92" s="88"/>
      <c r="G92" s="88"/>
      <c r="H92" s="88"/>
    </row>
    <row r="93" spans="4:8" ht="15.75">
      <c r="D93" s="88"/>
      <c r="E93" s="88"/>
      <c r="F93" s="88"/>
      <c r="G93" s="88"/>
      <c r="H93" s="88"/>
    </row>
    <row r="94" spans="4:8" ht="15.75">
      <c r="D94" s="88"/>
      <c r="E94" s="88"/>
      <c r="F94" s="88"/>
      <c r="G94" s="88"/>
      <c r="H94" s="88"/>
    </row>
    <row r="95" spans="4:8" ht="15.75">
      <c r="D95" s="88"/>
      <c r="E95" s="88"/>
      <c r="F95" s="88"/>
      <c r="G95" s="88"/>
      <c r="H95" s="88"/>
    </row>
    <row r="96" spans="4:8" ht="15.75">
      <c r="D96" s="88"/>
      <c r="E96" s="88"/>
      <c r="F96" s="88"/>
      <c r="G96" s="88"/>
      <c r="H96" s="88"/>
    </row>
    <row r="97" spans="4:8" ht="15.75">
      <c r="D97" s="88"/>
      <c r="E97" s="88"/>
      <c r="F97" s="88"/>
      <c r="G97" s="88"/>
      <c r="H97" s="88"/>
    </row>
    <row r="98" spans="4:8" ht="15.75">
      <c r="D98" s="88"/>
      <c r="E98" s="88"/>
      <c r="F98" s="88"/>
      <c r="G98" s="88"/>
      <c r="H98" s="88"/>
    </row>
    <row r="99" spans="4:8" ht="15.75">
      <c r="D99" s="88"/>
      <c r="E99" s="88"/>
      <c r="F99" s="88"/>
      <c r="G99" s="88"/>
      <c r="H99" s="88"/>
    </row>
    <row r="100" spans="4:8" ht="15.75">
      <c r="D100" s="88"/>
      <c r="E100" s="88"/>
      <c r="F100" s="88"/>
      <c r="G100" s="88"/>
      <c r="H100" s="88"/>
    </row>
    <row r="101" spans="4:8" ht="15.75">
      <c r="D101" s="88"/>
      <c r="E101" s="88"/>
      <c r="F101" s="88"/>
      <c r="G101" s="88"/>
      <c r="H101" s="88"/>
    </row>
    <row r="102" spans="4:8" ht="15.75">
      <c r="D102" s="88"/>
      <c r="E102" s="88"/>
      <c r="F102" s="88"/>
      <c r="G102" s="88"/>
      <c r="H102" s="88"/>
    </row>
    <row r="103" spans="4:8" ht="15.75">
      <c r="D103" s="88"/>
      <c r="E103" s="88"/>
      <c r="F103" s="88"/>
      <c r="G103" s="88"/>
      <c r="H103" s="88"/>
    </row>
    <row r="104" spans="4:8" ht="15.75">
      <c r="D104" s="88"/>
      <c r="E104" s="88"/>
      <c r="F104" s="88"/>
      <c r="G104" s="88"/>
      <c r="H104" s="88"/>
    </row>
    <row r="105" spans="4:8" ht="15.75">
      <c r="D105" s="88"/>
      <c r="E105" s="88"/>
      <c r="F105" s="88"/>
      <c r="G105" s="88"/>
      <c r="H105" s="88"/>
    </row>
    <row r="106" spans="4:8" ht="15.75">
      <c r="D106" s="88"/>
      <c r="E106" s="88"/>
      <c r="F106" s="88"/>
      <c r="G106" s="88"/>
      <c r="H106" s="88"/>
    </row>
    <row r="107" spans="4:8" ht="15.75">
      <c r="D107" s="88"/>
      <c r="E107" s="88"/>
      <c r="F107" s="88"/>
      <c r="G107" s="88"/>
      <c r="H107" s="88"/>
    </row>
    <row r="108" spans="4:8" ht="15.75">
      <c r="D108" s="88"/>
      <c r="E108" s="88"/>
      <c r="F108" s="88"/>
      <c r="G108" s="88"/>
      <c r="H108" s="88"/>
    </row>
    <row r="109" spans="4:8" ht="15.75">
      <c r="D109" s="88"/>
      <c r="E109" s="88"/>
      <c r="F109" s="88"/>
      <c r="G109" s="88"/>
      <c r="H109" s="88"/>
    </row>
    <row r="110" spans="4:8" ht="15.75">
      <c r="D110" s="88"/>
      <c r="E110" s="88"/>
      <c r="F110" s="88"/>
      <c r="G110" s="88"/>
      <c r="H110" s="88"/>
    </row>
    <row r="111" spans="4:8" ht="15.75">
      <c r="D111" s="88"/>
      <c r="E111" s="88"/>
      <c r="F111" s="88"/>
      <c r="G111" s="88"/>
      <c r="H111" s="88"/>
    </row>
    <row r="112" spans="4:8" ht="15.75">
      <c r="D112" s="88"/>
      <c r="E112" s="88"/>
      <c r="F112" s="88"/>
      <c r="G112" s="88"/>
      <c r="H112" s="88"/>
    </row>
    <row r="113" spans="3:18" ht="15.75">
      <c r="D113" s="88"/>
      <c r="E113" s="88"/>
      <c r="F113" s="88"/>
      <c r="G113" s="88"/>
      <c r="H113" s="88"/>
    </row>
    <row r="114" spans="3:18" ht="15.75">
      <c r="D114" s="88"/>
      <c r="E114" s="88"/>
      <c r="F114" s="88"/>
      <c r="G114" s="88"/>
      <c r="H114" s="88"/>
    </row>
    <row r="115" spans="3:18" ht="15.75">
      <c r="D115" s="88"/>
      <c r="E115" s="88"/>
      <c r="F115" s="88"/>
      <c r="G115" s="88"/>
      <c r="H115" s="88"/>
    </row>
    <row r="116" spans="3:18" ht="15.75">
      <c r="D116" s="88"/>
      <c r="E116" s="88"/>
      <c r="F116" s="88"/>
      <c r="G116" s="88"/>
      <c r="H116" s="88"/>
    </row>
    <row r="117" spans="3:18" ht="15.75">
      <c r="D117" s="88"/>
      <c r="E117" s="88"/>
      <c r="F117" s="88"/>
      <c r="G117" s="88"/>
      <c r="H117" s="88"/>
    </row>
    <row r="118" spans="3:18" ht="15.75">
      <c r="D118" s="88"/>
      <c r="E118" s="88"/>
      <c r="F118" s="88"/>
      <c r="G118" s="88"/>
      <c r="H118" s="88"/>
    </row>
    <row r="119" spans="3:18" ht="15.75">
      <c r="D119" s="88"/>
      <c r="E119" s="88"/>
      <c r="F119" s="88"/>
      <c r="G119" s="88"/>
      <c r="H119" s="88"/>
    </row>
    <row r="120" spans="3:18" ht="15.75">
      <c r="D120" s="88"/>
      <c r="E120" s="88"/>
      <c r="F120" s="88"/>
      <c r="G120" s="88"/>
      <c r="H120" s="88"/>
    </row>
    <row r="121" spans="3:18" ht="15.75">
      <c r="D121" s="88"/>
      <c r="E121" s="88"/>
      <c r="F121" s="88"/>
      <c r="G121" s="88"/>
      <c r="H121" s="88"/>
    </row>
    <row r="122" spans="3:18" ht="15.75">
      <c r="D122" s="88"/>
      <c r="E122" s="88"/>
      <c r="F122" s="88"/>
      <c r="G122" s="88"/>
      <c r="H122" s="88"/>
    </row>
    <row r="123" spans="3:18" ht="15.75">
      <c r="D123" s="88"/>
      <c r="E123" s="88"/>
      <c r="F123" s="88"/>
      <c r="G123" s="88"/>
      <c r="H123" s="88"/>
    </row>
    <row r="124" spans="3:18" ht="15.75">
      <c r="D124" s="88"/>
      <c r="E124" s="88"/>
      <c r="F124" s="88"/>
      <c r="G124" s="88"/>
      <c r="H124" s="88"/>
    </row>
    <row r="125" spans="3:18" ht="15.75">
      <c r="D125" s="88"/>
      <c r="E125" s="88"/>
      <c r="F125" s="88"/>
      <c r="G125" s="88"/>
      <c r="H125" s="88"/>
    </row>
    <row r="126" spans="3:18" ht="15.75">
      <c r="D126" s="88"/>
      <c r="E126" s="88"/>
      <c r="F126" s="88"/>
      <c r="G126" s="88"/>
      <c r="H126" s="88"/>
    </row>
    <row r="127" spans="3:18" ht="15.75">
      <c r="C127" s="50" t="s">
        <v>318</v>
      </c>
      <c r="D127" s="212"/>
      <c r="E127" s="213"/>
      <c r="F127" s="213"/>
      <c r="G127" s="214"/>
      <c r="H127" s="59" t="s">
        <v>7</v>
      </c>
      <c r="I127" s="202" t="s">
        <v>319</v>
      </c>
      <c r="J127" s="203"/>
      <c r="K127" s="203"/>
      <c r="L127" s="203"/>
      <c r="M127" s="203"/>
      <c r="N127" s="203"/>
      <c r="O127" s="203"/>
      <c r="P127" s="203"/>
      <c r="Q127" s="203"/>
      <c r="R127" s="204"/>
    </row>
    <row r="128" spans="3:18" ht="15.75">
      <c r="C128" s="3" t="s">
        <v>320</v>
      </c>
      <c r="D128" s="205"/>
      <c r="E128" s="203"/>
      <c r="F128" s="203"/>
      <c r="G128" s="204"/>
      <c r="H128" s="59" t="s">
        <v>7</v>
      </c>
      <c r="I128" s="89" t="s">
        <v>321</v>
      </c>
      <c r="J128" s="90" t="s">
        <v>322</v>
      </c>
      <c r="K128" s="90" t="s">
        <v>323</v>
      </c>
      <c r="L128" s="90" t="s">
        <v>324</v>
      </c>
      <c r="M128" s="90" t="s">
        <v>325</v>
      </c>
      <c r="N128" s="90" t="s">
        <v>326</v>
      </c>
      <c r="O128" s="90" t="s">
        <v>327</v>
      </c>
      <c r="P128" s="90" t="s">
        <v>328</v>
      </c>
      <c r="Q128" s="90" t="s">
        <v>329</v>
      </c>
      <c r="R128" s="90" t="s">
        <v>330</v>
      </c>
    </row>
    <row r="129" spans="3:18" ht="15.75">
      <c r="C129" s="3" t="s">
        <v>333</v>
      </c>
      <c r="D129" s="205"/>
      <c r="E129" s="203"/>
      <c r="F129" s="203"/>
      <c r="G129" s="204"/>
      <c r="H129" s="59" t="s">
        <v>7</v>
      </c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3:18" ht="15.75">
      <c r="C130" s="22" t="s">
        <v>334</v>
      </c>
      <c r="D130" s="206"/>
      <c r="E130" s="203"/>
      <c r="F130" s="203"/>
      <c r="G130" s="204"/>
      <c r="H130" s="88"/>
      <c r="I130" s="92"/>
      <c r="J130" s="92"/>
      <c r="K130" s="92"/>
      <c r="L130" s="92"/>
      <c r="M130" s="92"/>
      <c r="N130" s="92"/>
      <c r="O130" s="92"/>
      <c r="P130" s="92"/>
      <c r="Q130" s="92"/>
      <c r="R130" s="92"/>
    </row>
    <row r="131" spans="3:18" ht="15.75">
      <c r="C131" s="3" t="s">
        <v>335</v>
      </c>
      <c r="D131" s="207"/>
      <c r="E131" s="203"/>
      <c r="F131" s="203"/>
      <c r="G131" s="204"/>
      <c r="H131" s="59" t="s">
        <v>7</v>
      </c>
      <c r="I131" s="92"/>
      <c r="J131" s="92"/>
      <c r="K131" s="92"/>
      <c r="L131" s="92"/>
      <c r="M131" s="92"/>
      <c r="N131" s="92"/>
      <c r="O131" s="92"/>
      <c r="P131" s="92"/>
      <c r="Q131" s="92"/>
      <c r="R131" s="92"/>
    </row>
    <row r="132" spans="3:18" ht="31.5">
      <c r="C132" s="3" t="s">
        <v>336</v>
      </c>
      <c r="D132" s="205"/>
      <c r="E132" s="203"/>
      <c r="F132" s="203"/>
      <c r="G132" s="204"/>
      <c r="H132" s="88"/>
      <c r="I132" s="92"/>
      <c r="J132" s="92"/>
      <c r="K132" s="92"/>
      <c r="L132" s="92"/>
      <c r="M132" s="92"/>
      <c r="N132" s="92"/>
      <c r="O132" s="92"/>
      <c r="P132" s="92"/>
      <c r="Q132" s="92"/>
      <c r="R132" s="92"/>
    </row>
    <row r="133" spans="3:18" ht="31.5">
      <c r="C133" s="3" t="s">
        <v>337</v>
      </c>
      <c r="D133" s="210"/>
      <c r="E133" s="203"/>
      <c r="F133" s="203"/>
      <c r="G133" s="204"/>
      <c r="H133" s="88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3:18" ht="15.75">
      <c r="D134" s="88"/>
      <c r="E134" s="88"/>
      <c r="F134" s="88"/>
      <c r="G134" s="88"/>
      <c r="H134" s="88"/>
    </row>
    <row r="135" spans="3:18" ht="15.75">
      <c r="D135" s="88"/>
      <c r="E135" s="88"/>
      <c r="F135" s="88"/>
      <c r="G135" s="88"/>
      <c r="H135" s="88"/>
    </row>
    <row r="136" spans="3:18" ht="15.75">
      <c r="D136" s="88"/>
      <c r="E136" s="88"/>
      <c r="F136" s="88"/>
      <c r="G136" s="88"/>
      <c r="H136" s="88"/>
    </row>
    <row r="137" spans="3:18" ht="15.75">
      <c r="D137" s="88"/>
      <c r="E137" s="88"/>
      <c r="F137" s="88"/>
      <c r="G137" s="88"/>
      <c r="H137" s="88"/>
    </row>
    <row r="138" spans="3:18" ht="15.75">
      <c r="D138" s="88"/>
      <c r="E138" s="88"/>
      <c r="F138" s="88"/>
      <c r="G138" s="88"/>
      <c r="H138" s="88"/>
    </row>
    <row r="139" spans="3:18" ht="15.75">
      <c r="D139" s="88"/>
      <c r="E139" s="88"/>
      <c r="F139" s="88"/>
      <c r="G139" s="88"/>
      <c r="H139" s="88"/>
    </row>
    <row r="140" spans="3:18" ht="15.75">
      <c r="D140" s="88"/>
      <c r="E140" s="88"/>
      <c r="F140" s="88"/>
      <c r="G140" s="88"/>
      <c r="H140" s="88"/>
    </row>
    <row r="141" spans="3:18" ht="15.75">
      <c r="D141" s="88"/>
      <c r="E141" s="88"/>
      <c r="F141" s="88"/>
      <c r="G141" s="88"/>
      <c r="H141" s="88"/>
    </row>
    <row r="142" spans="3:18" ht="15.75">
      <c r="D142" s="88"/>
      <c r="E142" s="88"/>
      <c r="F142" s="88"/>
      <c r="G142" s="88"/>
      <c r="H142" s="88"/>
    </row>
    <row r="143" spans="3:18" ht="15.75">
      <c r="D143" s="88"/>
      <c r="E143" s="88"/>
      <c r="F143" s="88"/>
      <c r="G143" s="88"/>
      <c r="H143" s="88"/>
    </row>
    <row r="144" spans="3:18" ht="15.75">
      <c r="D144" s="88"/>
      <c r="E144" s="88"/>
      <c r="F144" s="88"/>
      <c r="G144" s="88"/>
      <c r="H144" s="88"/>
    </row>
    <row r="145" spans="4:8" ht="15.75">
      <c r="D145" s="88"/>
      <c r="E145" s="88"/>
      <c r="F145" s="88"/>
      <c r="G145" s="88"/>
      <c r="H145" s="88"/>
    </row>
    <row r="146" spans="4:8" ht="15.75">
      <c r="D146" s="88"/>
      <c r="E146" s="88"/>
      <c r="F146" s="88"/>
      <c r="G146" s="88"/>
      <c r="H146" s="88"/>
    </row>
    <row r="147" spans="4:8" ht="15.75">
      <c r="D147" s="88"/>
      <c r="E147" s="88"/>
      <c r="F147" s="88"/>
      <c r="G147" s="88"/>
      <c r="H147" s="88"/>
    </row>
    <row r="148" spans="4:8" ht="15.75">
      <c r="D148" s="88"/>
      <c r="E148" s="88"/>
      <c r="F148" s="88"/>
      <c r="G148" s="88"/>
      <c r="H148" s="88"/>
    </row>
    <row r="149" spans="4:8" ht="15.75">
      <c r="D149" s="88"/>
      <c r="E149" s="88"/>
      <c r="F149" s="88"/>
      <c r="G149" s="88"/>
      <c r="H149" s="88"/>
    </row>
    <row r="150" spans="4:8" ht="15.75">
      <c r="D150" s="88"/>
      <c r="E150" s="88"/>
      <c r="F150" s="88"/>
      <c r="G150" s="88"/>
      <c r="H150" s="88"/>
    </row>
    <row r="151" spans="4:8" ht="15.75">
      <c r="D151" s="88"/>
      <c r="E151" s="88"/>
      <c r="F151" s="88"/>
      <c r="G151" s="88"/>
      <c r="H151" s="88"/>
    </row>
    <row r="152" spans="4:8" ht="15.75">
      <c r="D152" s="88"/>
      <c r="E152" s="88"/>
      <c r="F152" s="88"/>
      <c r="G152" s="88"/>
      <c r="H152" s="88"/>
    </row>
    <row r="153" spans="4:8" ht="15.75">
      <c r="D153" s="88"/>
      <c r="E153" s="88"/>
      <c r="F153" s="88"/>
      <c r="G153" s="88"/>
      <c r="H153" s="88"/>
    </row>
    <row r="154" spans="4:8" ht="15.75">
      <c r="D154" s="88"/>
      <c r="E154" s="88"/>
      <c r="F154" s="88"/>
      <c r="G154" s="88"/>
      <c r="H154" s="88"/>
    </row>
    <row r="155" spans="4:8" ht="15.75">
      <c r="D155" s="88"/>
      <c r="E155" s="88"/>
      <c r="F155" s="88"/>
      <c r="G155" s="88"/>
      <c r="H155" s="88"/>
    </row>
    <row r="156" spans="4:8" ht="15.75">
      <c r="D156" s="88"/>
      <c r="E156" s="88"/>
      <c r="F156" s="88"/>
      <c r="G156" s="88"/>
      <c r="H156" s="88"/>
    </row>
    <row r="157" spans="4:8" ht="15.75">
      <c r="D157" s="88"/>
      <c r="E157" s="88"/>
      <c r="F157" s="88"/>
      <c r="G157" s="88"/>
      <c r="H157" s="88"/>
    </row>
    <row r="158" spans="4:8" ht="15.75">
      <c r="D158" s="88"/>
      <c r="E158" s="88"/>
      <c r="F158" s="88"/>
      <c r="G158" s="88"/>
      <c r="H158" s="88"/>
    </row>
    <row r="159" spans="4:8" ht="15.75">
      <c r="D159" s="88"/>
      <c r="E159" s="88"/>
      <c r="F159" s="88"/>
      <c r="G159" s="88"/>
      <c r="H159" s="88"/>
    </row>
    <row r="160" spans="4:8" ht="15.75">
      <c r="D160" s="88"/>
      <c r="E160" s="88"/>
      <c r="F160" s="88"/>
      <c r="G160" s="88"/>
      <c r="H160" s="88"/>
    </row>
    <row r="161" spans="4:8" ht="15.75">
      <c r="D161" s="88"/>
      <c r="E161" s="88"/>
      <c r="F161" s="88"/>
      <c r="G161" s="88"/>
      <c r="H161" s="88"/>
    </row>
    <row r="162" spans="4:8" ht="15.75">
      <c r="D162" s="88"/>
      <c r="E162" s="88"/>
      <c r="F162" s="88"/>
      <c r="G162" s="88"/>
      <c r="H162" s="88"/>
    </row>
    <row r="163" spans="4:8" ht="15.75">
      <c r="D163" s="88"/>
      <c r="E163" s="88"/>
      <c r="F163" s="88"/>
      <c r="G163" s="88"/>
      <c r="H163" s="88"/>
    </row>
    <row r="164" spans="4:8" ht="15.75">
      <c r="D164" s="88"/>
      <c r="E164" s="88"/>
      <c r="F164" s="88"/>
      <c r="G164" s="88"/>
      <c r="H164" s="88"/>
    </row>
    <row r="165" spans="4:8" ht="15.75">
      <c r="D165" s="88"/>
      <c r="E165" s="88"/>
      <c r="F165" s="88"/>
      <c r="G165" s="88"/>
      <c r="H165" s="88"/>
    </row>
    <row r="166" spans="4:8" ht="15.75">
      <c r="D166" s="88"/>
      <c r="E166" s="88"/>
      <c r="F166" s="88"/>
      <c r="G166" s="88"/>
      <c r="H166" s="88"/>
    </row>
    <row r="167" spans="4:8" ht="15.75">
      <c r="D167" s="88"/>
      <c r="E167" s="88"/>
      <c r="F167" s="88"/>
      <c r="G167" s="88"/>
      <c r="H167" s="88"/>
    </row>
    <row r="168" spans="4:8" ht="15.75">
      <c r="D168" s="88"/>
      <c r="E168" s="88"/>
      <c r="F168" s="88"/>
      <c r="G168" s="88"/>
      <c r="H168" s="88"/>
    </row>
    <row r="169" spans="4:8" ht="15.75">
      <c r="D169" s="88"/>
      <c r="E169" s="88"/>
      <c r="F169" s="88"/>
      <c r="G169" s="88"/>
      <c r="H169" s="88"/>
    </row>
    <row r="170" spans="4:8" ht="15.75">
      <c r="D170" s="88"/>
      <c r="E170" s="88"/>
      <c r="F170" s="88"/>
      <c r="G170" s="88"/>
      <c r="H170" s="88"/>
    </row>
    <row r="171" spans="4:8" ht="15.75">
      <c r="D171" s="88"/>
      <c r="E171" s="88"/>
      <c r="F171" s="88"/>
      <c r="G171" s="88"/>
      <c r="H171" s="88"/>
    </row>
    <row r="172" spans="4:8" ht="15.75">
      <c r="D172" s="88"/>
      <c r="E172" s="88"/>
      <c r="F172" s="88"/>
      <c r="G172" s="88"/>
      <c r="H172" s="88"/>
    </row>
    <row r="173" spans="4:8" ht="15.75">
      <c r="D173" s="88"/>
      <c r="E173" s="88"/>
      <c r="F173" s="88"/>
      <c r="G173" s="88"/>
      <c r="H173" s="88"/>
    </row>
    <row r="174" spans="4:8" ht="15.75">
      <c r="D174" s="88"/>
      <c r="E174" s="88"/>
      <c r="F174" s="88"/>
      <c r="G174" s="88"/>
      <c r="H174" s="88"/>
    </row>
    <row r="175" spans="4:8" ht="15.75">
      <c r="D175" s="88"/>
      <c r="E175" s="88"/>
      <c r="F175" s="88"/>
      <c r="G175" s="88"/>
      <c r="H175" s="88"/>
    </row>
    <row r="176" spans="4:8" ht="15.75">
      <c r="D176" s="88"/>
      <c r="E176" s="88"/>
      <c r="F176" s="88"/>
      <c r="G176" s="88"/>
      <c r="H176" s="88"/>
    </row>
    <row r="177" spans="4:8" ht="15.75">
      <c r="D177" s="88"/>
      <c r="E177" s="88"/>
      <c r="F177" s="88"/>
      <c r="G177" s="88"/>
      <c r="H177" s="88"/>
    </row>
    <row r="178" spans="4:8" ht="15.75">
      <c r="D178" s="88"/>
      <c r="E178" s="88"/>
      <c r="F178" s="88"/>
      <c r="G178" s="88"/>
      <c r="H178" s="88"/>
    </row>
    <row r="179" spans="4:8" ht="15.75">
      <c r="D179" s="88"/>
      <c r="E179" s="88"/>
      <c r="F179" s="88"/>
      <c r="G179" s="88"/>
      <c r="H179" s="88"/>
    </row>
    <row r="180" spans="4:8" ht="15.75">
      <c r="D180" s="88"/>
      <c r="E180" s="88"/>
      <c r="F180" s="88"/>
      <c r="G180" s="88"/>
      <c r="H180" s="88"/>
    </row>
    <row r="181" spans="4:8" ht="15.75">
      <c r="D181" s="88"/>
      <c r="E181" s="88"/>
      <c r="F181" s="88"/>
      <c r="G181" s="88"/>
      <c r="H181" s="88"/>
    </row>
    <row r="182" spans="4:8" ht="15.75">
      <c r="D182" s="88"/>
      <c r="E182" s="88"/>
      <c r="F182" s="88"/>
      <c r="G182" s="88"/>
      <c r="H182" s="88"/>
    </row>
    <row r="183" spans="4:8" ht="15.75">
      <c r="D183" s="88"/>
      <c r="E183" s="88"/>
      <c r="F183" s="88"/>
      <c r="G183" s="88"/>
      <c r="H183" s="88"/>
    </row>
    <row r="184" spans="4:8" ht="15.75">
      <c r="D184" s="88"/>
      <c r="E184" s="88"/>
      <c r="F184" s="88"/>
      <c r="G184" s="88"/>
      <c r="H184" s="88"/>
    </row>
    <row r="185" spans="4:8" ht="15.75">
      <c r="D185" s="88"/>
      <c r="E185" s="88"/>
      <c r="F185" s="88"/>
      <c r="G185" s="88"/>
      <c r="H185" s="88"/>
    </row>
    <row r="186" spans="4:8" ht="15.75">
      <c r="D186" s="88"/>
      <c r="E186" s="88"/>
      <c r="F186" s="88"/>
      <c r="G186" s="88"/>
      <c r="H186" s="88"/>
    </row>
    <row r="187" spans="4:8" ht="15.75">
      <c r="D187" s="88"/>
      <c r="E187" s="88"/>
      <c r="F187" s="88"/>
      <c r="G187" s="88"/>
      <c r="H187" s="88"/>
    </row>
    <row r="188" spans="4:8" ht="15.75">
      <c r="D188" s="88"/>
      <c r="E188" s="88"/>
      <c r="F188" s="88"/>
      <c r="G188" s="88"/>
      <c r="H188" s="88"/>
    </row>
    <row r="189" spans="4:8" ht="15.75">
      <c r="D189" s="88"/>
      <c r="E189" s="88"/>
      <c r="F189" s="88"/>
      <c r="G189" s="88"/>
      <c r="H189" s="88"/>
    </row>
    <row r="190" spans="4:8" ht="15.75">
      <c r="D190" s="88"/>
      <c r="E190" s="88"/>
      <c r="F190" s="88"/>
      <c r="G190" s="88"/>
      <c r="H190" s="88"/>
    </row>
    <row r="191" spans="4:8" ht="15.75">
      <c r="D191" s="88"/>
      <c r="E191" s="88"/>
      <c r="F191" s="88"/>
      <c r="G191" s="88"/>
      <c r="H191" s="88"/>
    </row>
    <row r="192" spans="4:8" ht="15.75">
      <c r="D192" s="88"/>
      <c r="E192" s="88"/>
      <c r="F192" s="88"/>
      <c r="G192" s="88"/>
      <c r="H192" s="88"/>
    </row>
    <row r="193" spans="4:8" ht="15.75">
      <c r="D193" s="88"/>
      <c r="E193" s="88"/>
      <c r="F193" s="88"/>
      <c r="G193" s="88"/>
      <c r="H193" s="88"/>
    </row>
    <row r="194" spans="4:8" ht="15.75">
      <c r="D194" s="88"/>
      <c r="E194" s="88"/>
      <c r="F194" s="88"/>
      <c r="G194" s="88"/>
      <c r="H194" s="88"/>
    </row>
    <row r="195" spans="4:8" ht="15.75">
      <c r="D195" s="88"/>
      <c r="E195" s="88"/>
      <c r="F195" s="88"/>
      <c r="G195" s="88"/>
      <c r="H195" s="88"/>
    </row>
    <row r="196" spans="4:8" ht="15.75">
      <c r="D196" s="88"/>
      <c r="E196" s="88"/>
      <c r="F196" s="88"/>
      <c r="G196" s="88"/>
      <c r="H196" s="88"/>
    </row>
    <row r="197" spans="4:8" ht="15.75">
      <c r="D197" s="88"/>
      <c r="E197" s="88"/>
      <c r="F197" s="88"/>
      <c r="G197" s="88"/>
      <c r="H197" s="88"/>
    </row>
    <row r="198" spans="4:8" ht="15.75">
      <c r="D198" s="88"/>
      <c r="E198" s="88"/>
      <c r="F198" s="88"/>
      <c r="G198" s="88"/>
      <c r="H198" s="88"/>
    </row>
    <row r="199" spans="4:8" ht="15.75">
      <c r="D199" s="88"/>
      <c r="E199" s="88"/>
      <c r="F199" s="88"/>
      <c r="G199" s="88"/>
      <c r="H199" s="88"/>
    </row>
    <row r="200" spans="4:8" ht="15.75">
      <c r="D200" s="88"/>
      <c r="E200" s="88"/>
      <c r="F200" s="88"/>
      <c r="G200" s="88"/>
      <c r="H200" s="88"/>
    </row>
    <row r="201" spans="4:8" ht="15.75">
      <c r="D201" s="88"/>
      <c r="E201" s="88"/>
      <c r="F201" s="88"/>
      <c r="G201" s="88"/>
      <c r="H201" s="88"/>
    </row>
    <row r="202" spans="4:8" ht="15.75">
      <c r="D202" s="88"/>
      <c r="E202" s="88"/>
      <c r="F202" s="88"/>
      <c r="G202" s="88"/>
      <c r="H202" s="88"/>
    </row>
    <row r="203" spans="4:8" ht="15.75">
      <c r="D203" s="88"/>
      <c r="E203" s="88"/>
      <c r="F203" s="88"/>
      <c r="G203" s="88"/>
      <c r="H203" s="88"/>
    </row>
    <row r="204" spans="4:8" ht="15.75">
      <c r="D204" s="88"/>
      <c r="E204" s="88"/>
      <c r="F204" s="88"/>
      <c r="G204" s="88"/>
      <c r="H204" s="88"/>
    </row>
    <row r="205" spans="4:8" ht="15.75">
      <c r="D205" s="88"/>
      <c r="E205" s="88"/>
      <c r="F205" s="88"/>
      <c r="G205" s="88"/>
      <c r="H205" s="88"/>
    </row>
    <row r="206" spans="4:8" ht="15.75">
      <c r="D206" s="88"/>
      <c r="E206" s="88"/>
      <c r="F206" s="88"/>
      <c r="G206" s="88"/>
      <c r="H206" s="88"/>
    </row>
    <row r="207" spans="4:8" ht="15.75">
      <c r="D207" s="88"/>
      <c r="E207" s="88"/>
      <c r="F207" s="88"/>
      <c r="G207" s="88"/>
      <c r="H207" s="88"/>
    </row>
    <row r="208" spans="4:8" ht="15.75">
      <c r="D208" s="88"/>
      <c r="E208" s="88"/>
      <c r="F208" s="88"/>
      <c r="G208" s="88"/>
      <c r="H208" s="88"/>
    </row>
    <row r="209" spans="4:8" ht="15.75">
      <c r="D209" s="88"/>
      <c r="E209" s="88"/>
      <c r="F209" s="88"/>
      <c r="G209" s="88"/>
      <c r="H209" s="88"/>
    </row>
    <row r="210" spans="4:8" ht="15.75">
      <c r="D210" s="88"/>
      <c r="E210" s="88"/>
      <c r="F210" s="88"/>
      <c r="G210" s="88"/>
      <c r="H210" s="88"/>
    </row>
    <row r="211" spans="4:8" ht="15.75">
      <c r="D211" s="88"/>
      <c r="E211" s="88"/>
      <c r="F211" s="88"/>
      <c r="G211" s="88"/>
      <c r="H211" s="88"/>
    </row>
    <row r="212" spans="4:8" ht="15.75">
      <c r="D212" s="88"/>
      <c r="E212" s="88"/>
      <c r="F212" s="88"/>
      <c r="G212" s="88"/>
      <c r="H212" s="88"/>
    </row>
    <row r="213" spans="4:8" ht="15.75">
      <c r="D213" s="88"/>
      <c r="E213" s="88"/>
      <c r="F213" s="88"/>
      <c r="G213" s="88"/>
      <c r="H213" s="88"/>
    </row>
    <row r="214" spans="4:8" ht="15.75">
      <c r="D214" s="88"/>
      <c r="E214" s="88"/>
      <c r="F214" s="88"/>
      <c r="G214" s="88"/>
      <c r="H214" s="88"/>
    </row>
    <row r="215" spans="4:8" ht="15.75">
      <c r="D215" s="88"/>
      <c r="E215" s="88"/>
      <c r="F215" s="88"/>
      <c r="G215" s="88"/>
      <c r="H215" s="88"/>
    </row>
    <row r="216" spans="4:8" ht="15.75">
      <c r="D216" s="88"/>
      <c r="E216" s="88"/>
      <c r="F216" s="88"/>
      <c r="G216" s="88"/>
      <c r="H216" s="88"/>
    </row>
    <row r="217" spans="4:8" ht="15.75">
      <c r="D217" s="88"/>
      <c r="E217" s="88"/>
      <c r="F217" s="88"/>
      <c r="G217" s="88"/>
      <c r="H217" s="88"/>
    </row>
    <row r="218" spans="4:8" ht="15.75">
      <c r="D218" s="88"/>
      <c r="E218" s="88"/>
      <c r="F218" s="88"/>
      <c r="G218" s="88"/>
      <c r="H218" s="88"/>
    </row>
    <row r="219" spans="4:8" ht="15.75">
      <c r="D219" s="88"/>
      <c r="E219" s="88"/>
      <c r="F219" s="88"/>
      <c r="G219" s="88"/>
      <c r="H219" s="88"/>
    </row>
    <row r="220" spans="4:8" ht="15.75">
      <c r="D220" s="88"/>
      <c r="E220" s="88"/>
      <c r="F220" s="88"/>
      <c r="G220" s="88"/>
      <c r="H220" s="88"/>
    </row>
    <row r="221" spans="4:8" ht="15.75">
      <c r="D221" s="88"/>
      <c r="E221" s="88"/>
      <c r="F221" s="88"/>
      <c r="G221" s="88"/>
      <c r="H221" s="88"/>
    </row>
    <row r="222" spans="4:8" ht="15.75">
      <c r="D222" s="88"/>
      <c r="E222" s="88"/>
      <c r="F222" s="88"/>
      <c r="G222" s="88"/>
      <c r="H222" s="88"/>
    </row>
    <row r="223" spans="4:8" ht="15.75">
      <c r="D223" s="88"/>
      <c r="E223" s="88"/>
      <c r="F223" s="88"/>
      <c r="G223" s="88"/>
      <c r="H223" s="88"/>
    </row>
    <row r="224" spans="4:8" ht="15.75">
      <c r="D224" s="88"/>
      <c r="E224" s="88"/>
      <c r="F224" s="88"/>
      <c r="G224" s="88"/>
      <c r="H224" s="88"/>
    </row>
    <row r="225" spans="4:8" ht="15.75">
      <c r="D225" s="88"/>
      <c r="E225" s="88"/>
      <c r="F225" s="88"/>
      <c r="G225" s="88"/>
      <c r="H225" s="88"/>
    </row>
    <row r="226" spans="4:8" ht="15.75">
      <c r="D226" s="88"/>
      <c r="E226" s="88"/>
      <c r="F226" s="88"/>
      <c r="G226" s="88"/>
      <c r="H226" s="88"/>
    </row>
    <row r="227" spans="4:8" ht="15.75">
      <c r="D227" s="88"/>
      <c r="E227" s="88"/>
      <c r="F227" s="88"/>
      <c r="G227" s="88"/>
      <c r="H227" s="88"/>
    </row>
    <row r="228" spans="4:8" ht="15.75">
      <c r="D228" s="88"/>
      <c r="E228" s="88"/>
      <c r="F228" s="88"/>
      <c r="G228" s="88"/>
      <c r="H228" s="88"/>
    </row>
    <row r="229" spans="4:8" ht="15.75">
      <c r="D229" s="88"/>
      <c r="E229" s="88"/>
      <c r="F229" s="88"/>
      <c r="G229" s="88"/>
      <c r="H229" s="88"/>
    </row>
    <row r="230" spans="4:8" ht="15.75">
      <c r="D230" s="88"/>
      <c r="E230" s="88"/>
      <c r="F230" s="88"/>
      <c r="G230" s="88"/>
      <c r="H230" s="88"/>
    </row>
    <row r="231" spans="4:8" ht="15.75">
      <c r="D231" s="88"/>
      <c r="E231" s="88"/>
      <c r="F231" s="88"/>
      <c r="G231" s="88"/>
      <c r="H231" s="88"/>
    </row>
    <row r="232" spans="4:8" ht="15.75">
      <c r="D232" s="88"/>
      <c r="E232" s="88"/>
      <c r="F232" s="88"/>
      <c r="G232" s="88"/>
      <c r="H232" s="88"/>
    </row>
    <row r="233" spans="4:8" ht="15.75">
      <c r="D233" s="88"/>
      <c r="E233" s="88"/>
      <c r="F233" s="88"/>
      <c r="G233" s="88"/>
      <c r="H233" s="88"/>
    </row>
    <row r="234" spans="4:8" ht="15.75">
      <c r="D234" s="88"/>
      <c r="E234" s="88"/>
      <c r="F234" s="88"/>
      <c r="G234" s="88"/>
      <c r="H234" s="88"/>
    </row>
    <row r="235" spans="4:8" ht="15.75">
      <c r="D235" s="88"/>
      <c r="E235" s="88"/>
      <c r="F235" s="88"/>
      <c r="G235" s="88"/>
      <c r="H235" s="88"/>
    </row>
    <row r="236" spans="4:8" ht="15.75">
      <c r="D236" s="88"/>
      <c r="E236" s="88"/>
      <c r="F236" s="88"/>
      <c r="G236" s="88"/>
      <c r="H236" s="88"/>
    </row>
    <row r="237" spans="4:8" ht="15.75">
      <c r="D237" s="88"/>
      <c r="E237" s="88"/>
      <c r="F237" s="88"/>
      <c r="G237" s="88"/>
      <c r="H237" s="88"/>
    </row>
    <row r="238" spans="4:8" ht="15.75">
      <c r="D238" s="88"/>
      <c r="E238" s="88"/>
      <c r="F238" s="88"/>
      <c r="G238" s="88"/>
      <c r="H238" s="88"/>
    </row>
    <row r="239" spans="4:8" ht="15.75">
      <c r="D239" s="88"/>
      <c r="E239" s="88"/>
      <c r="F239" s="88"/>
      <c r="G239" s="88"/>
      <c r="H239" s="88"/>
    </row>
    <row r="240" spans="4:8" ht="15.75">
      <c r="D240" s="88"/>
      <c r="E240" s="88"/>
      <c r="F240" s="88"/>
      <c r="G240" s="88"/>
      <c r="H240" s="88"/>
    </row>
    <row r="241" spans="4:8" ht="15.75">
      <c r="D241" s="88"/>
      <c r="E241" s="88"/>
      <c r="F241" s="88"/>
      <c r="G241" s="88"/>
      <c r="H241" s="88"/>
    </row>
    <row r="242" spans="4:8" ht="15.75">
      <c r="D242" s="88"/>
      <c r="E242" s="88"/>
      <c r="F242" s="88"/>
      <c r="G242" s="88"/>
      <c r="H242" s="88"/>
    </row>
    <row r="243" spans="4:8" ht="15.75">
      <c r="D243" s="88"/>
      <c r="E243" s="88"/>
      <c r="F243" s="88"/>
      <c r="G243" s="88"/>
      <c r="H243" s="88"/>
    </row>
    <row r="244" spans="4:8" ht="15.75">
      <c r="D244" s="88"/>
      <c r="E244" s="88"/>
      <c r="F244" s="88"/>
      <c r="G244" s="88"/>
      <c r="H244" s="88"/>
    </row>
    <row r="245" spans="4:8" ht="15.75">
      <c r="D245" s="88"/>
      <c r="E245" s="88"/>
      <c r="F245" s="88"/>
      <c r="G245" s="88"/>
      <c r="H245" s="88"/>
    </row>
    <row r="246" spans="4:8" ht="15.75">
      <c r="D246" s="88"/>
      <c r="E246" s="88"/>
      <c r="F246" s="88"/>
      <c r="G246" s="88"/>
      <c r="H246" s="88"/>
    </row>
    <row r="247" spans="4:8" ht="15.75">
      <c r="D247" s="88"/>
      <c r="E247" s="88"/>
      <c r="F247" s="88"/>
      <c r="G247" s="88"/>
      <c r="H247" s="88"/>
    </row>
    <row r="248" spans="4:8" ht="15.75">
      <c r="D248" s="88"/>
      <c r="E248" s="88"/>
      <c r="F248" s="88"/>
      <c r="G248" s="88"/>
      <c r="H248" s="88"/>
    </row>
    <row r="249" spans="4:8" ht="15.75">
      <c r="D249" s="88"/>
      <c r="E249" s="88"/>
      <c r="F249" s="88"/>
      <c r="G249" s="88"/>
      <c r="H249" s="88"/>
    </row>
    <row r="250" spans="4:8" ht="15.75">
      <c r="D250" s="88"/>
      <c r="E250" s="88"/>
      <c r="F250" s="88"/>
      <c r="G250" s="88"/>
      <c r="H250" s="88"/>
    </row>
    <row r="251" spans="4:8" ht="15.75">
      <c r="D251" s="88"/>
      <c r="E251" s="88"/>
      <c r="F251" s="88"/>
      <c r="G251" s="88"/>
      <c r="H251" s="88"/>
    </row>
    <row r="252" spans="4:8" ht="15.75">
      <c r="D252" s="88"/>
      <c r="E252" s="88"/>
      <c r="F252" s="88"/>
      <c r="G252" s="88"/>
      <c r="H252" s="88"/>
    </row>
    <row r="253" spans="4:8" ht="15.75">
      <c r="D253" s="88"/>
      <c r="E253" s="88"/>
      <c r="F253" s="88"/>
      <c r="G253" s="88"/>
      <c r="H253" s="88"/>
    </row>
    <row r="254" spans="4:8" ht="15.75">
      <c r="D254" s="88"/>
      <c r="E254" s="88"/>
      <c r="F254" s="88"/>
      <c r="G254" s="88"/>
      <c r="H254" s="88"/>
    </row>
    <row r="255" spans="4:8" ht="15.75">
      <c r="D255" s="88"/>
      <c r="E255" s="88"/>
      <c r="F255" s="88"/>
      <c r="G255" s="88"/>
      <c r="H255" s="88"/>
    </row>
    <row r="256" spans="4:8" ht="15.75">
      <c r="D256" s="88"/>
      <c r="E256" s="88"/>
      <c r="F256" s="88"/>
      <c r="G256" s="88"/>
      <c r="H256" s="88"/>
    </row>
    <row r="257" spans="4:8" ht="15.75">
      <c r="D257" s="88"/>
      <c r="E257" s="88"/>
      <c r="F257" s="88"/>
      <c r="G257" s="88"/>
      <c r="H257" s="88"/>
    </row>
    <row r="258" spans="4:8" ht="15.75">
      <c r="D258" s="88"/>
      <c r="E258" s="88"/>
      <c r="F258" s="88"/>
      <c r="G258" s="88"/>
      <c r="H258" s="88"/>
    </row>
    <row r="259" spans="4:8" ht="15.75">
      <c r="D259" s="88"/>
      <c r="E259" s="88"/>
      <c r="F259" s="88"/>
      <c r="G259" s="88"/>
      <c r="H259" s="88"/>
    </row>
    <row r="260" spans="4:8" ht="15.75">
      <c r="D260" s="88"/>
      <c r="E260" s="88"/>
      <c r="F260" s="88"/>
      <c r="G260" s="88"/>
      <c r="H260" s="88"/>
    </row>
    <row r="261" spans="4:8" ht="15.75">
      <c r="D261" s="88"/>
      <c r="E261" s="88"/>
      <c r="F261" s="88"/>
      <c r="G261" s="88"/>
      <c r="H261" s="88"/>
    </row>
    <row r="262" spans="4:8" ht="15.75">
      <c r="D262" s="88"/>
      <c r="E262" s="88"/>
      <c r="F262" s="88"/>
      <c r="G262" s="88"/>
      <c r="H262" s="88"/>
    </row>
    <row r="263" spans="4:8" ht="15.75">
      <c r="D263" s="88"/>
      <c r="E263" s="88"/>
      <c r="F263" s="88"/>
      <c r="G263" s="88"/>
      <c r="H263" s="88"/>
    </row>
    <row r="264" spans="4:8" ht="15.75">
      <c r="D264" s="88"/>
      <c r="E264" s="88"/>
      <c r="F264" s="88"/>
      <c r="G264" s="88"/>
      <c r="H264" s="88"/>
    </row>
    <row r="265" spans="4:8" ht="15.75">
      <c r="D265" s="88"/>
      <c r="E265" s="88"/>
      <c r="F265" s="88"/>
      <c r="G265" s="88"/>
      <c r="H265" s="88"/>
    </row>
    <row r="266" spans="4:8" ht="15.75">
      <c r="D266" s="88"/>
      <c r="E266" s="88"/>
      <c r="F266" s="88"/>
      <c r="G266" s="88"/>
      <c r="H266" s="88"/>
    </row>
    <row r="267" spans="4:8" ht="15.75">
      <c r="D267" s="88"/>
      <c r="E267" s="88"/>
      <c r="F267" s="88"/>
      <c r="G267" s="88"/>
      <c r="H267" s="88"/>
    </row>
    <row r="268" spans="4:8" ht="15.75">
      <c r="D268" s="88"/>
      <c r="E268" s="88"/>
      <c r="F268" s="88"/>
      <c r="G268" s="88"/>
      <c r="H268" s="88"/>
    </row>
    <row r="269" spans="4:8" ht="15.75">
      <c r="D269" s="88"/>
      <c r="E269" s="88"/>
      <c r="F269" s="88"/>
      <c r="G269" s="88"/>
      <c r="H269" s="88"/>
    </row>
    <row r="270" spans="4:8" ht="15.75">
      <c r="D270" s="88"/>
      <c r="E270" s="88"/>
      <c r="F270" s="88"/>
      <c r="G270" s="88"/>
      <c r="H270" s="88"/>
    </row>
    <row r="271" spans="4:8" ht="15.75">
      <c r="D271" s="88"/>
      <c r="E271" s="88"/>
      <c r="F271" s="88"/>
      <c r="G271" s="88"/>
      <c r="H271" s="88"/>
    </row>
    <row r="272" spans="4:8" ht="15.75">
      <c r="D272" s="88"/>
      <c r="E272" s="88"/>
      <c r="F272" s="88"/>
      <c r="G272" s="88"/>
      <c r="H272" s="88"/>
    </row>
    <row r="273" spans="4:8" ht="15.75">
      <c r="D273" s="88"/>
      <c r="E273" s="88"/>
      <c r="F273" s="88"/>
      <c r="G273" s="88"/>
      <c r="H273" s="88"/>
    </row>
    <row r="274" spans="4:8" ht="15.75">
      <c r="D274" s="88"/>
      <c r="E274" s="88"/>
      <c r="F274" s="88"/>
      <c r="G274" s="88"/>
      <c r="H274" s="88"/>
    </row>
    <row r="275" spans="4:8" ht="15.75">
      <c r="D275" s="88"/>
      <c r="E275" s="88"/>
      <c r="F275" s="88"/>
      <c r="G275" s="88"/>
      <c r="H275" s="88"/>
    </row>
    <row r="276" spans="4:8" ht="15.75">
      <c r="D276" s="88"/>
      <c r="E276" s="88"/>
      <c r="F276" s="88"/>
      <c r="G276" s="88"/>
      <c r="H276" s="88"/>
    </row>
    <row r="277" spans="4:8" ht="15.75">
      <c r="D277" s="88"/>
      <c r="E277" s="88"/>
      <c r="F277" s="88"/>
      <c r="G277" s="88"/>
      <c r="H277" s="88"/>
    </row>
    <row r="278" spans="4:8" ht="15.75">
      <c r="D278" s="88"/>
      <c r="E278" s="88"/>
      <c r="F278" s="88"/>
      <c r="G278" s="88"/>
      <c r="H278" s="88"/>
    </row>
    <row r="279" spans="4:8" ht="15.75">
      <c r="D279" s="88"/>
      <c r="E279" s="88"/>
      <c r="F279" s="88"/>
      <c r="G279" s="88"/>
      <c r="H279" s="88"/>
    </row>
    <row r="280" spans="4:8" ht="15.75">
      <c r="D280" s="88"/>
      <c r="E280" s="88"/>
      <c r="F280" s="88"/>
      <c r="G280" s="88"/>
      <c r="H280" s="88"/>
    </row>
    <row r="281" spans="4:8" ht="15.75">
      <c r="D281" s="88"/>
      <c r="E281" s="88"/>
      <c r="F281" s="88"/>
      <c r="G281" s="88"/>
      <c r="H281" s="88"/>
    </row>
    <row r="282" spans="4:8" ht="15.75">
      <c r="D282" s="88"/>
      <c r="E282" s="88"/>
      <c r="F282" s="88"/>
      <c r="G282" s="88"/>
      <c r="H282" s="88"/>
    </row>
    <row r="283" spans="4:8" ht="15.75">
      <c r="D283" s="88"/>
      <c r="E283" s="88"/>
      <c r="F283" s="88"/>
      <c r="G283" s="88"/>
      <c r="H283" s="88"/>
    </row>
    <row r="284" spans="4:8" ht="15.75">
      <c r="D284" s="88"/>
      <c r="E284" s="88"/>
      <c r="F284" s="88"/>
      <c r="G284" s="88"/>
      <c r="H284" s="88"/>
    </row>
    <row r="285" spans="4:8" ht="15.75">
      <c r="D285" s="88"/>
      <c r="E285" s="88"/>
      <c r="F285" s="88"/>
      <c r="G285" s="88"/>
      <c r="H285" s="88"/>
    </row>
    <row r="286" spans="4:8" ht="15.75">
      <c r="D286" s="88"/>
      <c r="E286" s="88"/>
      <c r="F286" s="88"/>
      <c r="G286" s="88"/>
      <c r="H286" s="88"/>
    </row>
    <row r="287" spans="4:8" ht="15.75">
      <c r="D287" s="88"/>
      <c r="E287" s="88"/>
      <c r="F287" s="88"/>
      <c r="G287" s="88"/>
      <c r="H287" s="88"/>
    </row>
    <row r="288" spans="4:8" ht="15.75">
      <c r="D288" s="88"/>
      <c r="E288" s="88"/>
      <c r="F288" s="88"/>
      <c r="G288" s="88"/>
      <c r="H288" s="88"/>
    </row>
    <row r="289" spans="4:8" ht="15.75">
      <c r="D289" s="88"/>
      <c r="E289" s="88"/>
      <c r="F289" s="88"/>
      <c r="G289" s="88"/>
      <c r="H289" s="88"/>
    </row>
    <row r="290" spans="4:8" ht="15.75">
      <c r="D290" s="88"/>
      <c r="E290" s="88"/>
      <c r="F290" s="88"/>
      <c r="G290" s="88"/>
      <c r="H290" s="88"/>
    </row>
    <row r="291" spans="4:8" ht="15.75">
      <c r="D291" s="88"/>
      <c r="E291" s="88"/>
      <c r="F291" s="88"/>
      <c r="G291" s="88"/>
      <c r="H291" s="88"/>
    </row>
    <row r="292" spans="4:8" ht="15.75">
      <c r="D292" s="88"/>
      <c r="E292" s="88"/>
      <c r="F292" s="88"/>
      <c r="G292" s="88"/>
      <c r="H292" s="88"/>
    </row>
    <row r="293" spans="4:8" ht="15.75">
      <c r="D293" s="88"/>
      <c r="E293" s="88"/>
      <c r="F293" s="88"/>
      <c r="G293" s="88"/>
      <c r="H293" s="88"/>
    </row>
    <row r="294" spans="4:8" ht="15.75">
      <c r="D294" s="88"/>
      <c r="E294" s="88"/>
      <c r="F294" s="88"/>
      <c r="G294" s="88"/>
      <c r="H294" s="88"/>
    </row>
    <row r="295" spans="4:8" ht="15.75">
      <c r="D295" s="88"/>
      <c r="E295" s="88"/>
      <c r="F295" s="88"/>
      <c r="G295" s="88"/>
      <c r="H295" s="88"/>
    </row>
    <row r="296" spans="4:8" ht="15.75">
      <c r="D296" s="88"/>
      <c r="E296" s="88"/>
      <c r="F296" s="88"/>
      <c r="G296" s="88"/>
      <c r="H296" s="88"/>
    </row>
    <row r="297" spans="4:8" ht="15.75">
      <c r="D297" s="88"/>
      <c r="E297" s="88"/>
      <c r="F297" s="88"/>
      <c r="G297" s="88"/>
      <c r="H297" s="88"/>
    </row>
    <row r="298" spans="4:8" ht="15.75">
      <c r="D298" s="88"/>
      <c r="E298" s="88"/>
      <c r="F298" s="88"/>
      <c r="G298" s="88"/>
      <c r="H298" s="88"/>
    </row>
    <row r="299" spans="4:8" ht="15.75">
      <c r="D299" s="88"/>
      <c r="E299" s="88"/>
      <c r="F299" s="88"/>
      <c r="G299" s="88"/>
      <c r="H299" s="88"/>
    </row>
    <row r="300" spans="4:8" ht="15.75">
      <c r="D300" s="88"/>
      <c r="E300" s="88"/>
      <c r="F300" s="88"/>
      <c r="G300" s="88"/>
      <c r="H300" s="88"/>
    </row>
    <row r="301" spans="4:8" ht="15.75">
      <c r="D301" s="88"/>
      <c r="E301" s="88"/>
      <c r="F301" s="88"/>
      <c r="G301" s="88"/>
      <c r="H301" s="88"/>
    </row>
    <row r="302" spans="4:8" ht="15.75">
      <c r="D302" s="88"/>
      <c r="E302" s="88"/>
      <c r="F302" s="88"/>
      <c r="G302" s="88"/>
      <c r="H302" s="88"/>
    </row>
    <row r="303" spans="4:8" ht="15.75">
      <c r="D303" s="88"/>
      <c r="E303" s="88"/>
      <c r="F303" s="88"/>
      <c r="G303" s="88"/>
      <c r="H303" s="88"/>
    </row>
    <row r="304" spans="4:8" ht="15.75">
      <c r="D304" s="88"/>
      <c r="E304" s="88"/>
      <c r="F304" s="88"/>
      <c r="G304" s="88"/>
      <c r="H304" s="88"/>
    </row>
    <row r="305" spans="4:8" ht="15.75">
      <c r="D305" s="88"/>
      <c r="E305" s="88"/>
      <c r="F305" s="88"/>
      <c r="G305" s="88"/>
      <c r="H305" s="88"/>
    </row>
    <row r="306" spans="4:8" ht="15.75">
      <c r="D306" s="88"/>
      <c r="E306" s="88"/>
      <c r="F306" s="88"/>
      <c r="G306" s="88"/>
      <c r="H306" s="88"/>
    </row>
    <row r="307" spans="4:8" ht="15.75">
      <c r="D307" s="88"/>
      <c r="E307" s="88"/>
      <c r="F307" s="88"/>
      <c r="G307" s="88"/>
      <c r="H307" s="88"/>
    </row>
    <row r="308" spans="4:8" ht="15.75">
      <c r="D308" s="88"/>
      <c r="E308" s="88"/>
      <c r="F308" s="88"/>
      <c r="G308" s="88"/>
      <c r="H308" s="88"/>
    </row>
    <row r="309" spans="4:8" ht="15.75">
      <c r="D309" s="88"/>
      <c r="E309" s="88"/>
      <c r="F309" s="88"/>
      <c r="G309" s="88"/>
      <c r="H309" s="88"/>
    </row>
    <row r="310" spans="4:8" ht="15.75">
      <c r="D310" s="88"/>
      <c r="E310" s="88"/>
      <c r="F310" s="88"/>
      <c r="G310" s="88"/>
      <c r="H310" s="88"/>
    </row>
    <row r="311" spans="4:8" ht="15.75">
      <c r="D311" s="88"/>
      <c r="E311" s="88"/>
      <c r="F311" s="88"/>
      <c r="G311" s="88"/>
      <c r="H311" s="88"/>
    </row>
    <row r="312" spans="4:8" ht="15.75">
      <c r="D312" s="88"/>
      <c r="E312" s="88"/>
      <c r="F312" s="88"/>
      <c r="G312" s="88"/>
      <c r="H312" s="88"/>
    </row>
    <row r="313" spans="4:8" ht="15.75">
      <c r="D313" s="88"/>
      <c r="E313" s="88"/>
      <c r="F313" s="88"/>
      <c r="G313" s="88"/>
      <c r="H313" s="88"/>
    </row>
    <row r="314" spans="4:8" ht="15.75">
      <c r="D314" s="88"/>
      <c r="E314" s="88"/>
      <c r="F314" s="88"/>
      <c r="G314" s="88"/>
      <c r="H314" s="88"/>
    </row>
    <row r="315" spans="4:8" ht="15.75">
      <c r="D315" s="88"/>
      <c r="E315" s="88"/>
      <c r="F315" s="88"/>
      <c r="G315" s="88"/>
      <c r="H315" s="88"/>
    </row>
    <row r="316" spans="4:8" ht="15.75">
      <c r="D316" s="88"/>
      <c r="E316" s="88"/>
      <c r="F316" s="88"/>
      <c r="G316" s="88"/>
      <c r="H316" s="88"/>
    </row>
    <row r="317" spans="4:8" ht="15.75">
      <c r="D317" s="88"/>
      <c r="E317" s="88"/>
      <c r="F317" s="88"/>
      <c r="G317" s="88"/>
      <c r="H317" s="88"/>
    </row>
    <row r="318" spans="4:8" ht="15.75">
      <c r="D318" s="88"/>
      <c r="E318" s="88"/>
      <c r="F318" s="88"/>
      <c r="G318" s="88"/>
      <c r="H318" s="88"/>
    </row>
    <row r="319" spans="4:8" ht="15.75">
      <c r="D319" s="88"/>
      <c r="E319" s="88"/>
      <c r="F319" s="88"/>
      <c r="G319" s="88"/>
      <c r="H319" s="88"/>
    </row>
    <row r="320" spans="4:8" ht="15.75">
      <c r="D320" s="88"/>
      <c r="E320" s="88"/>
      <c r="F320" s="88"/>
      <c r="G320" s="88"/>
      <c r="H320" s="88"/>
    </row>
    <row r="321" spans="4:8" ht="15.75">
      <c r="D321" s="88"/>
      <c r="E321" s="88"/>
      <c r="F321" s="88"/>
      <c r="G321" s="88"/>
      <c r="H321" s="88"/>
    </row>
    <row r="322" spans="4:8" ht="15.75">
      <c r="D322" s="88"/>
      <c r="E322" s="88"/>
      <c r="F322" s="88"/>
      <c r="G322" s="88"/>
      <c r="H322" s="88"/>
    </row>
    <row r="323" spans="4:8" ht="15.75">
      <c r="D323" s="88"/>
      <c r="E323" s="88"/>
      <c r="F323" s="88"/>
      <c r="G323" s="88"/>
      <c r="H323" s="88"/>
    </row>
    <row r="324" spans="4:8" ht="15.75">
      <c r="D324" s="88"/>
      <c r="E324" s="88"/>
      <c r="F324" s="88"/>
      <c r="G324" s="88"/>
      <c r="H324" s="88"/>
    </row>
    <row r="325" spans="4:8" ht="15.75">
      <c r="D325" s="88"/>
      <c r="E325" s="88"/>
      <c r="F325" s="88"/>
      <c r="G325" s="88"/>
      <c r="H325" s="88"/>
    </row>
    <row r="326" spans="4:8" ht="15.75">
      <c r="D326" s="88"/>
      <c r="E326" s="88"/>
      <c r="F326" s="88"/>
      <c r="G326" s="88"/>
      <c r="H326" s="88"/>
    </row>
    <row r="327" spans="4:8" ht="15.75">
      <c r="D327" s="88"/>
      <c r="E327" s="88"/>
      <c r="F327" s="88"/>
      <c r="G327" s="88"/>
      <c r="H327" s="88"/>
    </row>
    <row r="328" spans="4:8" ht="15.75">
      <c r="D328" s="88"/>
      <c r="E328" s="88"/>
      <c r="F328" s="88"/>
      <c r="G328" s="88"/>
      <c r="H328" s="88"/>
    </row>
    <row r="329" spans="4:8" ht="15.75">
      <c r="D329" s="88"/>
      <c r="E329" s="88"/>
      <c r="F329" s="88"/>
      <c r="G329" s="88"/>
      <c r="H329" s="88"/>
    </row>
    <row r="330" spans="4:8" ht="15.75">
      <c r="D330" s="88"/>
      <c r="E330" s="88"/>
      <c r="F330" s="88"/>
      <c r="G330" s="88"/>
      <c r="H330" s="88"/>
    </row>
    <row r="331" spans="4:8" ht="15.75">
      <c r="D331" s="88"/>
      <c r="E331" s="88"/>
      <c r="F331" s="88"/>
      <c r="G331" s="88"/>
      <c r="H331" s="88"/>
    </row>
    <row r="332" spans="4:8" ht="15.75">
      <c r="D332" s="88"/>
      <c r="E332" s="88"/>
      <c r="F332" s="88"/>
      <c r="G332" s="88"/>
      <c r="H332" s="88"/>
    </row>
    <row r="333" spans="4:8" ht="15.75">
      <c r="D333" s="88"/>
      <c r="E333" s="88"/>
      <c r="F333" s="88"/>
      <c r="G333" s="88"/>
      <c r="H333" s="88"/>
    </row>
    <row r="334" spans="4:8" ht="15.75">
      <c r="D334" s="88"/>
      <c r="E334" s="88"/>
      <c r="F334" s="88"/>
      <c r="G334" s="88"/>
      <c r="H334" s="88"/>
    </row>
    <row r="335" spans="4:8" ht="15.75">
      <c r="D335" s="88"/>
      <c r="E335" s="88"/>
      <c r="F335" s="88"/>
      <c r="G335" s="88"/>
      <c r="H335" s="88"/>
    </row>
    <row r="336" spans="4:8" ht="15.75">
      <c r="D336" s="88"/>
      <c r="E336" s="88"/>
      <c r="F336" s="88"/>
      <c r="G336" s="88"/>
      <c r="H336" s="88"/>
    </row>
    <row r="337" spans="4:8" ht="15.75">
      <c r="D337" s="88"/>
      <c r="E337" s="88"/>
      <c r="F337" s="88"/>
      <c r="G337" s="88"/>
      <c r="H337" s="88"/>
    </row>
    <row r="338" spans="4:8" ht="15.75">
      <c r="D338" s="88"/>
      <c r="E338" s="88"/>
      <c r="F338" s="88"/>
      <c r="G338" s="88"/>
      <c r="H338" s="88"/>
    </row>
    <row r="339" spans="4:8" ht="15.75">
      <c r="D339" s="88"/>
      <c r="E339" s="88"/>
      <c r="F339" s="88"/>
      <c r="G339" s="88"/>
      <c r="H339" s="88"/>
    </row>
    <row r="340" spans="4:8" ht="15.75">
      <c r="D340" s="88"/>
      <c r="E340" s="88"/>
      <c r="F340" s="88"/>
      <c r="G340" s="88"/>
      <c r="H340" s="88"/>
    </row>
    <row r="341" spans="4:8" ht="15.75">
      <c r="D341" s="88"/>
      <c r="E341" s="88"/>
      <c r="F341" s="88"/>
      <c r="G341" s="88"/>
      <c r="H341" s="88"/>
    </row>
    <row r="342" spans="4:8" ht="15.75">
      <c r="D342" s="88"/>
      <c r="E342" s="88"/>
      <c r="F342" s="88"/>
      <c r="G342" s="88"/>
      <c r="H342" s="88"/>
    </row>
    <row r="343" spans="4:8" ht="15.75">
      <c r="D343" s="88"/>
      <c r="E343" s="88"/>
      <c r="F343" s="88"/>
      <c r="G343" s="88"/>
      <c r="H343" s="88"/>
    </row>
    <row r="344" spans="4:8" ht="15.75">
      <c r="D344" s="88"/>
      <c r="E344" s="88"/>
      <c r="F344" s="88"/>
      <c r="G344" s="88"/>
      <c r="H344" s="88"/>
    </row>
    <row r="345" spans="4:8" ht="15.75">
      <c r="D345" s="88"/>
      <c r="E345" s="88"/>
      <c r="F345" s="88"/>
      <c r="G345" s="88"/>
      <c r="H345" s="88"/>
    </row>
    <row r="346" spans="4:8" ht="15.75">
      <c r="D346" s="88"/>
      <c r="E346" s="88"/>
      <c r="F346" s="88"/>
      <c r="G346" s="88"/>
      <c r="H346" s="88"/>
    </row>
    <row r="347" spans="4:8" ht="15.75">
      <c r="D347" s="88"/>
      <c r="E347" s="88"/>
      <c r="F347" s="88"/>
      <c r="G347" s="88"/>
      <c r="H347" s="88"/>
    </row>
    <row r="348" spans="4:8" ht="15.75">
      <c r="D348" s="88"/>
      <c r="E348" s="88"/>
      <c r="F348" s="88"/>
      <c r="G348" s="88"/>
      <c r="H348" s="88"/>
    </row>
    <row r="349" spans="4:8" ht="15.75">
      <c r="D349" s="88"/>
      <c r="E349" s="88"/>
      <c r="F349" s="88"/>
      <c r="G349" s="88"/>
      <c r="H349" s="88"/>
    </row>
    <row r="350" spans="4:8" ht="15.75">
      <c r="D350" s="88"/>
      <c r="E350" s="88"/>
      <c r="F350" s="88"/>
      <c r="G350" s="88"/>
      <c r="H350" s="88"/>
    </row>
    <row r="351" spans="4:8" ht="15.75">
      <c r="D351" s="88"/>
      <c r="E351" s="88"/>
      <c r="F351" s="88"/>
      <c r="G351" s="88"/>
      <c r="H351" s="88"/>
    </row>
    <row r="352" spans="4:8" ht="15.75">
      <c r="D352" s="88"/>
      <c r="E352" s="88"/>
      <c r="F352" s="88"/>
      <c r="G352" s="88"/>
      <c r="H352" s="88"/>
    </row>
    <row r="353" spans="4:8" ht="15.75">
      <c r="D353" s="88"/>
      <c r="E353" s="88"/>
      <c r="F353" s="88"/>
      <c r="G353" s="88"/>
      <c r="H353" s="88"/>
    </row>
    <row r="354" spans="4:8" ht="15.75">
      <c r="D354" s="88"/>
      <c r="E354" s="88"/>
      <c r="F354" s="88"/>
      <c r="G354" s="88"/>
      <c r="H354" s="88"/>
    </row>
    <row r="355" spans="4:8" ht="15.75">
      <c r="D355" s="88"/>
      <c r="E355" s="88"/>
      <c r="F355" s="88"/>
      <c r="G355" s="88"/>
      <c r="H355" s="88"/>
    </row>
    <row r="356" spans="4:8" ht="15.75">
      <c r="D356" s="88"/>
      <c r="E356" s="88"/>
      <c r="F356" s="88"/>
      <c r="G356" s="88"/>
      <c r="H356" s="88"/>
    </row>
    <row r="357" spans="4:8" ht="15.75">
      <c r="D357" s="88"/>
      <c r="E357" s="88"/>
      <c r="F357" s="88"/>
      <c r="G357" s="88"/>
      <c r="H357" s="88"/>
    </row>
    <row r="358" spans="4:8" ht="15.75">
      <c r="D358" s="88"/>
      <c r="E358" s="88"/>
      <c r="F358" s="88"/>
      <c r="G358" s="88"/>
      <c r="H358" s="88"/>
    </row>
    <row r="359" spans="4:8" ht="15.75">
      <c r="D359" s="88"/>
      <c r="E359" s="88"/>
      <c r="F359" s="88"/>
      <c r="G359" s="88"/>
      <c r="H359" s="88"/>
    </row>
    <row r="360" spans="4:8" ht="15.75">
      <c r="D360" s="88"/>
      <c r="E360" s="88"/>
      <c r="F360" s="88"/>
      <c r="G360" s="88"/>
      <c r="H360" s="88"/>
    </row>
    <row r="361" spans="4:8" ht="15.75">
      <c r="D361" s="88"/>
      <c r="E361" s="88"/>
      <c r="F361" s="88"/>
      <c r="G361" s="88"/>
      <c r="H361" s="88"/>
    </row>
    <row r="362" spans="4:8" ht="15.75">
      <c r="D362" s="88"/>
      <c r="E362" s="88"/>
      <c r="F362" s="88"/>
      <c r="G362" s="88"/>
      <c r="H362" s="88"/>
    </row>
    <row r="363" spans="4:8" ht="15.75">
      <c r="D363" s="88"/>
      <c r="E363" s="88"/>
      <c r="F363" s="88"/>
      <c r="G363" s="88"/>
      <c r="H363" s="88"/>
    </row>
    <row r="364" spans="4:8" ht="15.75">
      <c r="D364" s="88"/>
      <c r="E364" s="88"/>
      <c r="F364" s="88"/>
      <c r="G364" s="88"/>
      <c r="H364" s="88"/>
    </row>
    <row r="365" spans="4:8" ht="15.75">
      <c r="D365" s="88"/>
      <c r="E365" s="88"/>
      <c r="F365" s="88"/>
      <c r="G365" s="88"/>
      <c r="H365" s="88"/>
    </row>
    <row r="366" spans="4:8" ht="15.75">
      <c r="D366" s="88"/>
      <c r="E366" s="88"/>
      <c r="F366" s="88"/>
      <c r="G366" s="88"/>
      <c r="H366" s="88"/>
    </row>
    <row r="367" spans="4:8" ht="15.75">
      <c r="D367" s="88"/>
      <c r="E367" s="88"/>
      <c r="F367" s="88"/>
      <c r="G367" s="88"/>
      <c r="H367" s="88"/>
    </row>
    <row r="368" spans="4:8" ht="15.75">
      <c r="D368" s="88"/>
      <c r="E368" s="88"/>
      <c r="F368" s="88"/>
      <c r="G368" s="88"/>
      <c r="H368" s="88"/>
    </row>
    <row r="369" spans="4:8" ht="15.75">
      <c r="D369" s="88"/>
      <c r="E369" s="88"/>
      <c r="F369" s="88"/>
      <c r="G369" s="88"/>
      <c r="H369" s="88"/>
    </row>
    <row r="370" spans="4:8" ht="15.75">
      <c r="D370" s="88"/>
      <c r="E370" s="88"/>
      <c r="F370" s="88"/>
      <c r="G370" s="88"/>
      <c r="H370" s="88"/>
    </row>
    <row r="371" spans="4:8" ht="15.75">
      <c r="D371" s="88"/>
      <c r="E371" s="88"/>
      <c r="F371" s="88"/>
      <c r="G371" s="88"/>
      <c r="H371" s="88"/>
    </row>
    <row r="372" spans="4:8" ht="15.75">
      <c r="D372" s="88"/>
      <c r="E372" s="88"/>
      <c r="F372" s="88"/>
      <c r="G372" s="88"/>
      <c r="H372" s="88"/>
    </row>
    <row r="373" spans="4:8" ht="15.75">
      <c r="D373" s="88"/>
      <c r="E373" s="88"/>
      <c r="F373" s="88"/>
      <c r="G373" s="88"/>
      <c r="H373" s="88"/>
    </row>
    <row r="374" spans="4:8" ht="15.75">
      <c r="D374" s="88"/>
      <c r="E374" s="88"/>
      <c r="F374" s="88"/>
      <c r="G374" s="88"/>
      <c r="H374" s="88"/>
    </row>
    <row r="375" spans="4:8" ht="15.75">
      <c r="D375" s="88"/>
      <c r="E375" s="88"/>
      <c r="F375" s="88"/>
      <c r="G375" s="88"/>
      <c r="H375" s="88"/>
    </row>
    <row r="376" spans="4:8" ht="15.75">
      <c r="D376" s="88"/>
      <c r="E376" s="88"/>
      <c r="F376" s="88"/>
      <c r="G376" s="88"/>
      <c r="H376" s="88"/>
    </row>
    <row r="377" spans="4:8" ht="15.75">
      <c r="D377" s="88"/>
      <c r="E377" s="88"/>
      <c r="F377" s="88"/>
      <c r="G377" s="88"/>
      <c r="H377" s="88"/>
    </row>
    <row r="378" spans="4:8" ht="15.75">
      <c r="D378" s="88"/>
      <c r="E378" s="88"/>
      <c r="F378" s="88"/>
      <c r="G378" s="88"/>
      <c r="H378" s="88"/>
    </row>
    <row r="379" spans="4:8" ht="15.75">
      <c r="D379" s="88"/>
      <c r="E379" s="88"/>
      <c r="F379" s="88"/>
      <c r="G379" s="88"/>
      <c r="H379" s="88"/>
    </row>
    <row r="380" spans="4:8" ht="15.75">
      <c r="D380" s="88"/>
      <c r="E380" s="88"/>
      <c r="F380" s="88"/>
      <c r="G380" s="88"/>
      <c r="H380" s="88"/>
    </row>
    <row r="381" spans="4:8" ht="15.75">
      <c r="D381" s="88"/>
      <c r="E381" s="88"/>
      <c r="F381" s="88"/>
      <c r="G381" s="88"/>
      <c r="H381" s="88"/>
    </row>
    <row r="382" spans="4:8" ht="15.75">
      <c r="D382" s="88"/>
      <c r="E382" s="88"/>
      <c r="F382" s="88"/>
      <c r="G382" s="88"/>
      <c r="H382" s="88"/>
    </row>
    <row r="383" spans="4:8" ht="15.75">
      <c r="D383" s="88"/>
      <c r="E383" s="88"/>
      <c r="F383" s="88"/>
      <c r="G383" s="88"/>
      <c r="H383" s="88"/>
    </row>
    <row r="384" spans="4:8" ht="15.75">
      <c r="D384" s="88"/>
      <c r="E384" s="88"/>
      <c r="F384" s="88"/>
      <c r="G384" s="88"/>
      <c r="H384" s="88"/>
    </row>
    <row r="385" spans="4:8" ht="15.75">
      <c r="D385" s="88"/>
      <c r="E385" s="88"/>
      <c r="F385" s="88"/>
      <c r="G385" s="88"/>
      <c r="H385" s="88"/>
    </row>
    <row r="386" spans="4:8" ht="15.75">
      <c r="D386" s="88"/>
      <c r="E386" s="88"/>
      <c r="F386" s="88"/>
      <c r="G386" s="88"/>
      <c r="H386" s="88"/>
    </row>
    <row r="387" spans="4:8" ht="15.75">
      <c r="D387" s="88"/>
      <c r="E387" s="88"/>
      <c r="F387" s="88"/>
      <c r="G387" s="88"/>
      <c r="H387" s="88"/>
    </row>
    <row r="388" spans="4:8" ht="15.75">
      <c r="D388" s="88"/>
      <c r="E388" s="88"/>
      <c r="F388" s="88"/>
      <c r="G388" s="88"/>
      <c r="H388" s="88"/>
    </row>
    <row r="389" spans="4:8" ht="15.75">
      <c r="D389" s="88"/>
      <c r="E389" s="88"/>
      <c r="F389" s="88"/>
      <c r="G389" s="88"/>
      <c r="H389" s="88"/>
    </row>
    <row r="390" spans="4:8" ht="15.75">
      <c r="D390" s="88"/>
      <c r="E390" s="88"/>
      <c r="F390" s="88"/>
      <c r="G390" s="88"/>
      <c r="H390" s="88"/>
    </row>
    <row r="391" spans="4:8" ht="15.75">
      <c r="D391" s="88"/>
      <c r="E391" s="88"/>
      <c r="F391" s="88"/>
      <c r="G391" s="88"/>
      <c r="H391" s="88"/>
    </row>
    <row r="392" spans="4:8" ht="15.75">
      <c r="D392" s="88"/>
      <c r="E392" s="88"/>
      <c r="F392" s="88"/>
      <c r="G392" s="88"/>
      <c r="H392" s="88"/>
    </row>
    <row r="393" spans="4:8" ht="15.75">
      <c r="D393" s="88"/>
      <c r="E393" s="88"/>
      <c r="F393" s="88"/>
      <c r="G393" s="88"/>
      <c r="H393" s="88"/>
    </row>
    <row r="394" spans="4:8" ht="15.75">
      <c r="D394" s="88"/>
      <c r="E394" s="88"/>
      <c r="F394" s="88"/>
      <c r="G394" s="88"/>
      <c r="H394" s="88"/>
    </row>
    <row r="395" spans="4:8" ht="15.75">
      <c r="D395" s="88"/>
      <c r="E395" s="88"/>
      <c r="F395" s="88"/>
      <c r="G395" s="88"/>
      <c r="H395" s="88"/>
    </row>
    <row r="396" spans="4:8" ht="15.75">
      <c r="D396" s="88"/>
      <c r="E396" s="88"/>
      <c r="F396" s="88"/>
      <c r="G396" s="88"/>
      <c r="H396" s="88"/>
    </row>
    <row r="397" spans="4:8" ht="15.75">
      <c r="D397" s="88"/>
      <c r="E397" s="88"/>
      <c r="F397" s="88"/>
      <c r="G397" s="88"/>
      <c r="H397" s="88"/>
    </row>
    <row r="398" spans="4:8" ht="15.75">
      <c r="D398" s="88"/>
      <c r="E398" s="88"/>
      <c r="F398" s="88"/>
      <c r="G398" s="88"/>
      <c r="H398" s="88"/>
    </row>
    <row r="399" spans="4:8" ht="15.75">
      <c r="D399" s="88"/>
      <c r="E399" s="88"/>
      <c r="F399" s="88"/>
      <c r="G399" s="88"/>
      <c r="H399" s="88"/>
    </row>
    <row r="400" spans="4:8" ht="15.75">
      <c r="D400" s="88"/>
      <c r="E400" s="88"/>
      <c r="F400" s="88"/>
      <c r="G400" s="88"/>
      <c r="H400" s="88"/>
    </row>
    <row r="401" spans="4:8" ht="15.75">
      <c r="D401" s="88"/>
      <c r="E401" s="88"/>
      <c r="F401" s="88"/>
      <c r="G401" s="88"/>
      <c r="H401" s="88"/>
    </row>
    <row r="402" spans="4:8" ht="15.75">
      <c r="D402" s="88"/>
      <c r="E402" s="88"/>
      <c r="F402" s="88"/>
      <c r="G402" s="88"/>
      <c r="H402" s="88"/>
    </row>
    <row r="403" spans="4:8" ht="15.75">
      <c r="D403" s="88"/>
      <c r="E403" s="88"/>
      <c r="F403" s="88"/>
      <c r="G403" s="88"/>
      <c r="H403" s="88"/>
    </row>
    <row r="404" spans="4:8" ht="15.75">
      <c r="D404" s="88"/>
      <c r="E404" s="88"/>
      <c r="F404" s="88"/>
      <c r="G404" s="88"/>
      <c r="H404" s="88"/>
    </row>
    <row r="405" spans="4:8" ht="15.75">
      <c r="D405" s="88"/>
      <c r="E405" s="88"/>
      <c r="F405" s="88"/>
      <c r="G405" s="88"/>
      <c r="H405" s="88"/>
    </row>
    <row r="406" spans="4:8" ht="15.75">
      <c r="D406" s="88"/>
      <c r="E406" s="88"/>
      <c r="F406" s="88"/>
      <c r="G406" s="88"/>
      <c r="H406" s="88"/>
    </row>
    <row r="407" spans="4:8" ht="15.75">
      <c r="D407" s="88"/>
      <c r="E407" s="88"/>
      <c r="F407" s="88"/>
      <c r="G407" s="88"/>
      <c r="H407" s="88"/>
    </row>
    <row r="408" spans="4:8" ht="15.75">
      <c r="D408" s="88"/>
      <c r="E408" s="88"/>
      <c r="F408" s="88"/>
      <c r="G408" s="88"/>
      <c r="H408" s="88"/>
    </row>
    <row r="409" spans="4:8" ht="15.75">
      <c r="D409" s="88"/>
      <c r="E409" s="88"/>
      <c r="F409" s="88"/>
      <c r="G409" s="88"/>
      <c r="H409" s="88"/>
    </row>
    <row r="410" spans="4:8" ht="15.75">
      <c r="D410" s="88"/>
      <c r="E410" s="88"/>
      <c r="F410" s="88"/>
      <c r="G410" s="88"/>
      <c r="H410" s="88"/>
    </row>
    <row r="411" spans="4:8" ht="15.75">
      <c r="D411" s="88"/>
      <c r="E411" s="88"/>
      <c r="F411" s="88"/>
      <c r="G411" s="88"/>
      <c r="H411" s="88"/>
    </row>
    <row r="412" spans="4:8" ht="15.75">
      <c r="D412" s="88"/>
      <c r="E412" s="88"/>
      <c r="F412" s="88"/>
      <c r="G412" s="88"/>
      <c r="H412" s="88"/>
    </row>
    <row r="413" spans="4:8" ht="15.75">
      <c r="D413" s="88"/>
      <c r="E413" s="88"/>
      <c r="F413" s="88"/>
      <c r="G413" s="88"/>
      <c r="H413" s="88"/>
    </row>
    <row r="414" spans="4:8" ht="15.75">
      <c r="D414" s="88"/>
      <c r="E414" s="88"/>
      <c r="F414" s="88"/>
      <c r="G414" s="88"/>
      <c r="H414" s="88"/>
    </row>
    <row r="415" spans="4:8" ht="15.75">
      <c r="D415" s="88"/>
      <c r="E415" s="88"/>
      <c r="F415" s="88"/>
      <c r="G415" s="88"/>
      <c r="H415" s="88"/>
    </row>
    <row r="416" spans="4:8" ht="15.75">
      <c r="D416" s="88"/>
      <c r="E416" s="88"/>
      <c r="F416" s="88"/>
      <c r="G416" s="88"/>
      <c r="H416" s="88"/>
    </row>
    <row r="417" spans="4:8" ht="15.75">
      <c r="D417" s="88"/>
      <c r="E417" s="88"/>
      <c r="F417" s="88"/>
      <c r="G417" s="88"/>
      <c r="H417" s="88"/>
    </row>
    <row r="418" spans="4:8" ht="15.75">
      <c r="D418" s="88"/>
      <c r="E418" s="88"/>
      <c r="F418" s="88"/>
      <c r="G418" s="88"/>
      <c r="H418" s="88"/>
    </row>
    <row r="419" spans="4:8" ht="15.75">
      <c r="D419" s="88"/>
      <c r="E419" s="88"/>
      <c r="F419" s="88"/>
      <c r="G419" s="88"/>
      <c r="H419" s="88"/>
    </row>
    <row r="420" spans="4:8" ht="15.75">
      <c r="D420" s="88"/>
      <c r="E420" s="88"/>
      <c r="F420" s="88"/>
      <c r="G420" s="88"/>
      <c r="H420" s="88"/>
    </row>
    <row r="421" spans="4:8" ht="15.75">
      <c r="D421" s="88"/>
      <c r="E421" s="88"/>
      <c r="F421" s="88"/>
      <c r="G421" s="88"/>
      <c r="H421" s="88"/>
    </row>
    <row r="422" spans="4:8" ht="15.75">
      <c r="D422" s="88"/>
      <c r="E422" s="88"/>
      <c r="F422" s="88"/>
      <c r="G422" s="88"/>
      <c r="H422" s="88"/>
    </row>
    <row r="423" spans="4:8" ht="15.75">
      <c r="D423" s="88"/>
      <c r="E423" s="88"/>
      <c r="F423" s="88"/>
      <c r="G423" s="88"/>
      <c r="H423" s="88"/>
    </row>
    <row r="424" spans="4:8" ht="15.75">
      <c r="D424" s="88"/>
      <c r="E424" s="88"/>
      <c r="F424" s="88"/>
      <c r="G424" s="88"/>
      <c r="H424" s="88"/>
    </row>
    <row r="425" spans="4:8" ht="15.75">
      <c r="D425" s="88"/>
      <c r="E425" s="88"/>
      <c r="F425" s="88"/>
      <c r="G425" s="88"/>
      <c r="H425" s="88"/>
    </row>
    <row r="426" spans="4:8" ht="15.75">
      <c r="D426" s="88"/>
      <c r="E426" s="88"/>
      <c r="F426" s="88"/>
      <c r="G426" s="88"/>
      <c r="H426" s="88"/>
    </row>
    <row r="427" spans="4:8" ht="15.75">
      <c r="D427" s="88"/>
      <c r="E427" s="88"/>
      <c r="F427" s="88"/>
      <c r="G427" s="88"/>
      <c r="H427" s="88"/>
    </row>
    <row r="428" spans="4:8" ht="15.75">
      <c r="D428" s="88"/>
      <c r="E428" s="88"/>
      <c r="F428" s="88"/>
      <c r="G428" s="88"/>
      <c r="H428" s="88"/>
    </row>
    <row r="429" spans="4:8" ht="15.75">
      <c r="D429" s="88"/>
      <c r="E429" s="88"/>
      <c r="F429" s="88"/>
      <c r="G429" s="88"/>
      <c r="H429" s="88"/>
    </row>
    <row r="430" spans="4:8" ht="15.75">
      <c r="D430" s="88"/>
      <c r="E430" s="88"/>
      <c r="F430" s="88"/>
      <c r="G430" s="88"/>
      <c r="H430" s="88"/>
    </row>
    <row r="431" spans="4:8" ht="15.75">
      <c r="D431" s="88"/>
      <c r="E431" s="88"/>
      <c r="F431" s="88"/>
      <c r="G431" s="88"/>
      <c r="H431" s="88"/>
    </row>
    <row r="432" spans="4:8" ht="15.75">
      <c r="D432" s="88"/>
      <c r="E432" s="88"/>
      <c r="F432" s="88"/>
      <c r="G432" s="88"/>
      <c r="H432" s="88"/>
    </row>
    <row r="433" spans="4:8" ht="15.75">
      <c r="D433" s="88"/>
      <c r="E433" s="88"/>
      <c r="F433" s="88"/>
      <c r="G433" s="88"/>
      <c r="H433" s="88"/>
    </row>
    <row r="434" spans="4:8" ht="15.75">
      <c r="D434" s="88"/>
      <c r="E434" s="88"/>
      <c r="F434" s="88"/>
      <c r="G434" s="88"/>
      <c r="H434" s="88"/>
    </row>
    <row r="435" spans="4:8" ht="15.75">
      <c r="D435" s="88"/>
      <c r="E435" s="88"/>
      <c r="F435" s="88"/>
      <c r="G435" s="88"/>
      <c r="H435" s="88"/>
    </row>
    <row r="436" spans="4:8" ht="15.75">
      <c r="D436" s="88"/>
      <c r="E436" s="88"/>
      <c r="F436" s="88"/>
      <c r="G436" s="88"/>
      <c r="H436" s="88"/>
    </row>
    <row r="437" spans="4:8" ht="15.75">
      <c r="D437" s="88"/>
      <c r="E437" s="88"/>
      <c r="F437" s="88"/>
      <c r="G437" s="88"/>
      <c r="H437" s="88"/>
    </row>
    <row r="438" spans="4:8" ht="15.75">
      <c r="D438" s="88"/>
      <c r="E438" s="88"/>
      <c r="F438" s="88"/>
      <c r="G438" s="88"/>
      <c r="H438" s="88"/>
    </row>
    <row r="439" spans="4:8" ht="15.75">
      <c r="D439" s="88"/>
      <c r="E439" s="88"/>
      <c r="F439" s="88"/>
      <c r="G439" s="88"/>
      <c r="H439" s="88"/>
    </row>
    <row r="440" spans="4:8" ht="15.75">
      <c r="D440" s="88"/>
      <c r="E440" s="88"/>
      <c r="F440" s="88"/>
      <c r="G440" s="88"/>
      <c r="H440" s="88"/>
    </row>
    <row r="441" spans="4:8" ht="15.75">
      <c r="D441" s="88"/>
      <c r="E441" s="88"/>
      <c r="F441" s="88"/>
      <c r="G441" s="88"/>
      <c r="H441" s="88"/>
    </row>
    <row r="442" spans="4:8" ht="15.75">
      <c r="D442" s="88"/>
      <c r="E442" s="88"/>
      <c r="F442" s="88"/>
      <c r="G442" s="88"/>
      <c r="H442" s="88"/>
    </row>
    <row r="443" spans="4:8" ht="15.75">
      <c r="D443" s="88"/>
      <c r="E443" s="88"/>
      <c r="F443" s="88"/>
      <c r="G443" s="88"/>
      <c r="H443" s="88"/>
    </row>
    <row r="444" spans="4:8" ht="15.75">
      <c r="D444" s="88"/>
      <c r="E444" s="88"/>
      <c r="F444" s="88"/>
      <c r="G444" s="88"/>
      <c r="H444" s="88"/>
    </row>
    <row r="445" spans="4:8" ht="15.75">
      <c r="D445" s="88"/>
      <c r="E445" s="88"/>
      <c r="F445" s="88"/>
      <c r="G445" s="88"/>
      <c r="H445" s="88"/>
    </row>
    <row r="446" spans="4:8" ht="15.75">
      <c r="D446" s="88"/>
      <c r="E446" s="88"/>
      <c r="F446" s="88"/>
      <c r="G446" s="88"/>
      <c r="H446" s="88"/>
    </row>
    <row r="447" spans="4:8" ht="15.75">
      <c r="D447" s="88"/>
      <c r="E447" s="88"/>
      <c r="F447" s="88"/>
      <c r="G447" s="88"/>
      <c r="H447" s="88"/>
    </row>
    <row r="448" spans="4:8" ht="15.75">
      <c r="D448" s="88"/>
      <c r="E448" s="88"/>
      <c r="F448" s="88"/>
      <c r="G448" s="88"/>
      <c r="H448" s="88"/>
    </row>
    <row r="449" spans="4:8" ht="15.75">
      <c r="D449" s="88"/>
      <c r="E449" s="88"/>
      <c r="F449" s="88"/>
      <c r="G449" s="88"/>
      <c r="H449" s="88"/>
    </row>
    <row r="450" spans="4:8" ht="15.75">
      <c r="D450" s="88"/>
      <c r="E450" s="88"/>
      <c r="F450" s="88"/>
      <c r="G450" s="88"/>
      <c r="H450" s="88"/>
    </row>
    <row r="451" spans="4:8" ht="15.75">
      <c r="D451" s="88"/>
      <c r="E451" s="88"/>
      <c r="F451" s="88"/>
      <c r="G451" s="88"/>
      <c r="H451" s="88"/>
    </row>
    <row r="452" spans="4:8" ht="15.75">
      <c r="D452" s="88"/>
      <c r="E452" s="88"/>
      <c r="F452" s="88"/>
      <c r="G452" s="88"/>
      <c r="H452" s="88"/>
    </row>
    <row r="453" spans="4:8" ht="15.75">
      <c r="D453" s="88"/>
      <c r="E453" s="88"/>
      <c r="F453" s="88"/>
      <c r="G453" s="88"/>
      <c r="H453" s="88"/>
    </row>
    <row r="454" spans="4:8" ht="15.75">
      <c r="D454" s="88"/>
      <c r="E454" s="88"/>
      <c r="F454" s="88"/>
      <c r="G454" s="88"/>
      <c r="H454" s="88"/>
    </row>
    <row r="455" spans="4:8" ht="15.75">
      <c r="D455" s="88"/>
      <c r="E455" s="88"/>
      <c r="F455" s="88"/>
      <c r="G455" s="88"/>
      <c r="H455" s="88"/>
    </row>
    <row r="456" spans="4:8" ht="15.75">
      <c r="D456" s="88"/>
      <c r="E456" s="88"/>
      <c r="F456" s="88"/>
      <c r="G456" s="88"/>
      <c r="H456" s="88"/>
    </row>
    <row r="457" spans="4:8" ht="15.75">
      <c r="D457" s="88"/>
      <c r="E457" s="88"/>
      <c r="F457" s="88"/>
      <c r="G457" s="88"/>
      <c r="H457" s="88"/>
    </row>
    <row r="458" spans="4:8" ht="15.75">
      <c r="D458" s="88"/>
      <c r="E458" s="88"/>
      <c r="F458" s="88"/>
      <c r="G458" s="88"/>
      <c r="H458" s="88"/>
    </row>
    <row r="459" spans="4:8" ht="15.75">
      <c r="D459" s="88"/>
      <c r="E459" s="88"/>
      <c r="F459" s="88"/>
      <c r="G459" s="88"/>
      <c r="H459" s="88"/>
    </row>
    <row r="460" spans="4:8" ht="15.75">
      <c r="D460" s="88"/>
      <c r="E460" s="88"/>
      <c r="F460" s="88"/>
      <c r="G460" s="88"/>
      <c r="H460" s="88"/>
    </row>
    <row r="461" spans="4:8" ht="15.75">
      <c r="D461" s="88"/>
      <c r="E461" s="88"/>
      <c r="F461" s="88"/>
      <c r="G461" s="88"/>
      <c r="H461" s="88"/>
    </row>
    <row r="462" spans="4:8" ht="15.75">
      <c r="D462" s="88"/>
      <c r="E462" s="88"/>
      <c r="F462" s="88"/>
      <c r="G462" s="88"/>
      <c r="H462" s="88"/>
    </row>
    <row r="463" spans="4:8" ht="15.75">
      <c r="D463" s="88"/>
      <c r="E463" s="88"/>
      <c r="F463" s="88"/>
      <c r="G463" s="88"/>
      <c r="H463" s="88"/>
    </row>
    <row r="464" spans="4:8" ht="15.75">
      <c r="D464" s="88"/>
      <c r="E464" s="88"/>
      <c r="F464" s="88"/>
      <c r="G464" s="88"/>
      <c r="H464" s="88"/>
    </row>
    <row r="465" spans="4:8" ht="15.75">
      <c r="D465" s="88"/>
      <c r="E465" s="88"/>
      <c r="F465" s="88"/>
      <c r="G465" s="88"/>
      <c r="H465" s="88"/>
    </row>
    <row r="466" spans="4:8" ht="15.75">
      <c r="D466" s="88"/>
      <c r="E466" s="88"/>
      <c r="F466" s="88"/>
      <c r="G466" s="88"/>
      <c r="H466" s="88"/>
    </row>
    <row r="467" spans="4:8" ht="15.75">
      <c r="D467" s="88"/>
      <c r="E467" s="88"/>
      <c r="F467" s="88"/>
      <c r="G467" s="88"/>
      <c r="H467" s="88"/>
    </row>
    <row r="468" spans="4:8" ht="15.75">
      <c r="D468" s="88"/>
      <c r="E468" s="88"/>
      <c r="F468" s="88"/>
      <c r="G468" s="88"/>
      <c r="H468" s="88"/>
    </row>
    <row r="469" spans="4:8" ht="15.75">
      <c r="D469" s="88"/>
      <c r="E469" s="88"/>
      <c r="F469" s="88"/>
      <c r="G469" s="88"/>
      <c r="H469" s="88"/>
    </row>
    <row r="470" spans="4:8" ht="15.75">
      <c r="D470" s="88"/>
      <c r="E470" s="88"/>
      <c r="F470" s="88"/>
      <c r="G470" s="88"/>
      <c r="H470" s="88"/>
    </row>
    <row r="471" spans="4:8" ht="15.75">
      <c r="D471" s="88"/>
      <c r="E471" s="88"/>
      <c r="F471" s="88"/>
      <c r="G471" s="88"/>
      <c r="H471" s="88"/>
    </row>
    <row r="472" spans="4:8" ht="15.75">
      <c r="D472" s="88"/>
      <c r="E472" s="88"/>
      <c r="F472" s="88"/>
      <c r="G472" s="88"/>
      <c r="H472" s="88"/>
    </row>
    <row r="473" spans="4:8" ht="15.75">
      <c r="D473" s="88"/>
      <c r="E473" s="88"/>
      <c r="F473" s="88"/>
      <c r="G473" s="88"/>
      <c r="H473" s="88"/>
    </row>
    <row r="474" spans="4:8" ht="15.75">
      <c r="D474" s="88"/>
      <c r="E474" s="88"/>
      <c r="F474" s="88"/>
      <c r="G474" s="88"/>
      <c r="H474" s="88"/>
    </row>
    <row r="475" spans="4:8" ht="15.75">
      <c r="D475" s="88"/>
      <c r="E475" s="88"/>
      <c r="F475" s="88"/>
      <c r="G475" s="88"/>
      <c r="H475" s="88"/>
    </row>
    <row r="476" spans="4:8" ht="15.75">
      <c r="D476" s="88"/>
      <c r="E476" s="88"/>
      <c r="F476" s="88"/>
      <c r="G476" s="88"/>
      <c r="H476" s="88"/>
    </row>
    <row r="477" spans="4:8" ht="15.75">
      <c r="D477" s="88"/>
      <c r="E477" s="88"/>
      <c r="F477" s="88"/>
      <c r="G477" s="88"/>
      <c r="H477" s="88"/>
    </row>
    <row r="478" spans="4:8" ht="15.75">
      <c r="D478" s="88"/>
      <c r="E478" s="88"/>
      <c r="F478" s="88"/>
      <c r="G478" s="88"/>
      <c r="H478" s="88"/>
    </row>
    <row r="479" spans="4:8" ht="15.75">
      <c r="D479" s="88"/>
      <c r="E479" s="88"/>
      <c r="F479" s="88"/>
      <c r="G479" s="88"/>
      <c r="H479" s="88"/>
    </row>
    <row r="480" spans="4:8" ht="15.75">
      <c r="D480" s="88"/>
      <c r="E480" s="88"/>
      <c r="F480" s="88"/>
      <c r="G480" s="88"/>
      <c r="H480" s="88"/>
    </row>
    <row r="481" spans="4:8" ht="15.75">
      <c r="D481" s="88"/>
      <c r="E481" s="88"/>
      <c r="F481" s="88"/>
      <c r="G481" s="88"/>
      <c r="H481" s="88"/>
    </row>
    <row r="482" spans="4:8" ht="15.75">
      <c r="D482" s="88"/>
      <c r="E482" s="88"/>
      <c r="F482" s="88"/>
      <c r="G482" s="88"/>
      <c r="H482" s="88"/>
    </row>
    <row r="483" spans="4:8" ht="15.75">
      <c r="D483" s="88"/>
      <c r="E483" s="88"/>
      <c r="F483" s="88"/>
      <c r="G483" s="88"/>
      <c r="H483" s="88"/>
    </row>
    <row r="484" spans="4:8" ht="15.75">
      <c r="D484" s="88"/>
      <c r="E484" s="88"/>
      <c r="F484" s="88"/>
      <c r="G484" s="88"/>
      <c r="H484" s="88"/>
    </row>
    <row r="485" spans="4:8" ht="15.75">
      <c r="D485" s="88"/>
      <c r="E485" s="88"/>
      <c r="F485" s="88"/>
      <c r="G485" s="88"/>
      <c r="H485" s="88"/>
    </row>
    <row r="486" spans="4:8" ht="15.75">
      <c r="D486" s="88"/>
      <c r="E486" s="88"/>
      <c r="F486" s="88"/>
      <c r="G486" s="88"/>
      <c r="H486" s="88"/>
    </row>
    <row r="487" spans="4:8" ht="15.75">
      <c r="D487" s="88"/>
      <c r="E487" s="88"/>
      <c r="F487" s="88"/>
      <c r="G487" s="88"/>
      <c r="H487" s="88"/>
    </row>
    <row r="488" spans="4:8" ht="15.75">
      <c r="D488" s="88"/>
      <c r="E488" s="88"/>
      <c r="F488" s="88"/>
      <c r="G488" s="88"/>
      <c r="H488" s="88"/>
    </row>
    <row r="489" spans="4:8" ht="15.75">
      <c r="D489" s="88"/>
      <c r="E489" s="88"/>
      <c r="F489" s="88"/>
      <c r="G489" s="88"/>
      <c r="H489" s="88"/>
    </row>
    <row r="490" spans="4:8" ht="15.75">
      <c r="D490" s="88"/>
      <c r="E490" s="88"/>
      <c r="F490" s="88"/>
      <c r="G490" s="88"/>
      <c r="H490" s="88"/>
    </row>
    <row r="491" spans="4:8" ht="15.75">
      <c r="D491" s="88"/>
      <c r="E491" s="88"/>
      <c r="F491" s="88"/>
      <c r="G491" s="88"/>
      <c r="H491" s="88"/>
    </row>
    <row r="492" spans="4:8" ht="15.75">
      <c r="D492" s="88"/>
      <c r="E492" s="88"/>
      <c r="F492" s="88"/>
      <c r="G492" s="88"/>
      <c r="H492" s="88"/>
    </row>
    <row r="493" spans="4:8" ht="15.75">
      <c r="D493" s="88"/>
      <c r="E493" s="88"/>
      <c r="F493" s="88"/>
      <c r="G493" s="88"/>
      <c r="H493" s="88"/>
    </row>
    <row r="494" spans="4:8" ht="15.75">
      <c r="D494" s="88"/>
      <c r="E494" s="88"/>
      <c r="F494" s="88"/>
      <c r="G494" s="88"/>
      <c r="H494" s="88"/>
    </row>
    <row r="495" spans="4:8" ht="15.75">
      <c r="D495" s="88"/>
      <c r="E495" s="88"/>
      <c r="F495" s="88"/>
      <c r="G495" s="88"/>
      <c r="H495" s="88"/>
    </row>
    <row r="496" spans="4:8" ht="15.75">
      <c r="D496" s="88"/>
      <c r="E496" s="88"/>
      <c r="F496" s="88"/>
      <c r="G496" s="88"/>
      <c r="H496" s="88"/>
    </row>
    <row r="497" spans="4:8" ht="15.75">
      <c r="D497" s="88"/>
      <c r="E497" s="88"/>
      <c r="F497" s="88"/>
      <c r="G497" s="88"/>
      <c r="H497" s="88"/>
    </row>
    <row r="498" spans="4:8" ht="15.75">
      <c r="D498" s="88"/>
      <c r="E498" s="88"/>
      <c r="F498" s="88"/>
      <c r="G498" s="88"/>
      <c r="H498" s="88"/>
    </row>
    <row r="499" spans="4:8" ht="15.75">
      <c r="D499" s="88"/>
      <c r="E499" s="88"/>
      <c r="F499" s="88"/>
      <c r="G499" s="88"/>
      <c r="H499" s="88"/>
    </row>
    <row r="500" spans="4:8" ht="15.75">
      <c r="D500" s="88"/>
      <c r="E500" s="88"/>
      <c r="F500" s="88"/>
      <c r="G500" s="88"/>
      <c r="H500" s="88"/>
    </row>
    <row r="501" spans="4:8" ht="15.75">
      <c r="D501" s="88"/>
      <c r="E501" s="88"/>
      <c r="F501" s="88"/>
      <c r="G501" s="88"/>
      <c r="H501" s="88"/>
    </row>
    <row r="502" spans="4:8" ht="15.75">
      <c r="D502" s="88"/>
      <c r="E502" s="88"/>
      <c r="F502" s="88"/>
      <c r="G502" s="88"/>
      <c r="H502" s="88"/>
    </row>
    <row r="503" spans="4:8" ht="15.75">
      <c r="D503" s="88"/>
      <c r="E503" s="88"/>
      <c r="F503" s="88"/>
      <c r="G503" s="88"/>
      <c r="H503" s="88"/>
    </row>
    <row r="504" spans="4:8" ht="15.75">
      <c r="D504" s="88"/>
      <c r="E504" s="88"/>
      <c r="F504" s="88"/>
      <c r="G504" s="88"/>
      <c r="H504" s="88"/>
    </row>
    <row r="505" spans="4:8" ht="15.75">
      <c r="D505" s="88"/>
      <c r="E505" s="88"/>
      <c r="F505" s="88"/>
      <c r="G505" s="88"/>
      <c r="H505" s="88"/>
    </row>
    <row r="506" spans="4:8" ht="15.75">
      <c r="D506" s="88"/>
      <c r="E506" s="88"/>
      <c r="F506" s="88"/>
      <c r="G506" s="88"/>
      <c r="H506" s="88"/>
    </row>
    <row r="507" spans="4:8" ht="15.75">
      <c r="D507" s="88"/>
      <c r="E507" s="88"/>
      <c r="F507" s="88"/>
      <c r="G507" s="88"/>
      <c r="H507" s="88"/>
    </row>
    <row r="508" spans="4:8" ht="15.75">
      <c r="D508" s="88"/>
      <c r="E508" s="88"/>
      <c r="F508" s="88"/>
      <c r="G508" s="88"/>
      <c r="H508" s="88"/>
    </row>
    <row r="509" spans="4:8" ht="15.75">
      <c r="D509" s="88"/>
      <c r="E509" s="88"/>
      <c r="F509" s="88"/>
      <c r="G509" s="88"/>
      <c r="H509" s="88"/>
    </row>
    <row r="510" spans="4:8" ht="15.75">
      <c r="D510" s="88"/>
      <c r="E510" s="88"/>
      <c r="F510" s="88"/>
      <c r="G510" s="88"/>
      <c r="H510" s="88"/>
    </row>
    <row r="511" spans="4:8" ht="15.75">
      <c r="D511" s="88"/>
      <c r="E511" s="88"/>
      <c r="F511" s="88"/>
      <c r="G511" s="88"/>
      <c r="H511" s="88"/>
    </row>
    <row r="512" spans="4:8" ht="15.75">
      <c r="D512" s="88"/>
      <c r="E512" s="88"/>
      <c r="F512" s="88"/>
      <c r="G512" s="88"/>
      <c r="H512" s="88"/>
    </row>
    <row r="513" spans="4:8" ht="15.75">
      <c r="D513" s="88"/>
      <c r="E513" s="88"/>
      <c r="F513" s="88"/>
      <c r="G513" s="88"/>
      <c r="H513" s="88"/>
    </row>
    <row r="514" spans="4:8" ht="15.75">
      <c r="D514" s="88"/>
      <c r="E514" s="88"/>
      <c r="F514" s="88"/>
      <c r="G514" s="88"/>
      <c r="H514" s="88"/>
    </row>
    <row r="515" spans="4:8" ht="15.75">
      <c r="D515" s="88"/>
      <c r="E515" s="88"/>
      <c r="F515" s="88"/>
      <c r="G515" s="88"/>
      <c r="H515" s="88"/>
    </row>
    <row r="516" spans="4:8" ht="15.75">
      <c r="D516" s="88"/>
      <c r="E516" s="88"/>
      <c r="F516" s="88"/>
      <c r="G516" s="88"/>
      <c r="H516" s="88"/>
    </row>
    <row r="517" spans="4:8" ht="15.75">
      <c r="D517" s="88"/>
      <c r="E517" s="88"/>
      <c r="F517" s="88"/>
      <c r="G517" s="88"/>
      <c r="H517" s="88"/>
    </row>
    <row r="518" spans="4:8" ht="15.75">
      <c r="D518" s="88"/>
      <c r="E518" s="88"/>
      <c r="F518" s="88"/>
      <c r="G518" s="88"/>
      <c r="H518" s="88"/>
    </row>
    <row r="519" spans="4:8" ht="15.75">
      <c r="D519" s="88"/>
      <c r="E519" s="88"/>
      <c r="F519" s="88"/>
      <c r="G519" s="88"/>
      <c r="H519" s="88"/>
    </row>
    <row r="520" spans="4:8" ht="15.75">
      <c r="D520" s="88"/>
      <c r="E520" s="88"/>
      <c r="F520" s="88"/>
      <c r="G520" s="88"/>
      <c r="H520" s="88"/>
    </row>
    <row r="521" spans="4:8" ht="15.75">
      <c r="D521" s="88"/>
      <c r="E521" s="88"/>
      <c r="F521" s="88"/>
      <c r="G521" s="88"/>
      <c r="H521" s="88"/>
    </row>
    <row r="522" spans="4:8" ht="15.75">
      <c r="D522" s="88"/>
      <c r="E522" s="88"/>
      <c r="F522" s="88"/>
      <c r="G522" s="88"/>
      <c r="H522" s="88"/>
    </row>
    <row r="523" spans="4:8" ht="15.75">
      <c r="D523" s="88"/>
      <c r="E523" s="88"/>
      <c r="F523" s="88"/>
      <c r="G523" s="88"/>
      <c r="H523" s="88"/>
    </row>
    <row r="524" spans="4:8" ht="15.75">
      <c r="D524" s="88"/>
      <c r="E524" s="88"/>
      <c r="F524" s="88"/>
      <c r="G524" s="88"/>
      <c r="H524" s="88"/>
    </row>
    <row r="525" spans="4:8" ht="15.75">
      <c r="D525" s="88"/>
      <c r="E525" s="88"/>
      <c r="F525" s="88"/>
      <c r="G525" s="88"/>
      <c r="H525" s="88"/>
    </row>
    <row r="526" spans="4:8" ht="15.75">
      <c r="D526" s="88"/>
      <c r="E526" s="88"/>
      <c r="F526" s="88"/>
      <c r="G526" s="88"/>
      <c r="H526" s="88"/>
    </row>
    <row r="527" spans="4:8" ht="15.75">
      <c r="D527" s="88"/>
      <c r="E527" s="88"/>
      <c r="F527" s="88"/>
      <c r="G527" s="88"/>
      <c r="H527" s="88"/>
    </row>
    <row r="528" spans="4:8" ht="15.75">
      <c r="D528" s="88"/>
      <c r="E528" s="88"/>
      <c r="F528" s="88"/>
      <c r="G528" s="88"/>
      <c r="H528" s="88"/>
    </row>
    <row r="529" spans="4:8" ht="15.75">
      <c r="D529" s="88"/>
      <c r="E529" s="88"/>
      <c r="F529" s="88"/>
      <c r="G529" s="88"/>
      <c r="H529" s="88"/>
    </row>
    <row r="530" spans="4:8" ht="15.75">
      <c r="D530" s="88"/>
      <c r="E530" s="88"/>
      <c r="F530" s="88"/>
      <c r="G530" s="88"/>
      <c r="H530" s="88"/>
    </row>
    <row r="531" spans="4:8" ht="15.75">
      <c r="D531" s="88"/>
      <c r="E531" s="88"/>
      <c r="F531" s="88"/>
      <c r="G531" s="88"/>
      <c r="H531" s="88"/>
    </row>
    <row r="532" spans="4:8" ht="15.75">
      <c r="D532" s="88"/>
      <c r="E532" s="88"/>
      <c r="F532" s="88"/>
      <c r="G532" s="88"/>
      <c r="H532" s="88"/>
    </row>
    <row r="533" spans="4:8" ht="15.75">
      <c r="D533" s="88"/>
      <c r="E533" s="88"/>
      <c r="F533" s="88"/>
      <c r="G533" s="88"/>
      <c r="H533" s="88"/>
    </row>
    <row r="534" spans="4:8" ht="15.75">
      <c r="D534" s="88"/>
      <c r="E534" s="88"/>
      <c r="F534" s="88"/>
      <c r="G534" s="88"/>
      <c r="H534" s="88"/>
    </row>
    <row r="535" spans="4:8" ht="15.75">
      <c r="D535" s="88"/>
      <c r="E535" s="88"/>
      <c r="F535" s="88"/>
      <c r="G535" s="88"/>
      <c r="H535" s="88"/>
    </row>
    <row r="536" spans="4:8" ht="15.75">
      <c r="D536" s="88"/>
      <c r="E536" s="88"/>
      <c r="F536" s="88"/>
      <c r="G536" s="88"/>
      <c r="H536" s="88"/>
    </row>
    <row r="537" spans="4:8" ht="15.75">
      <c r="D537" s="88"/>
      <c r="E537" s="88"/>
      <c r="F537" s="88"/>
      <c r="G537" s="88"/>
      <c r="H537" s="88"/>
    </row>
    <row r="538" spans="4:8" ht="15.75">
      <c r="D538" s="88"/>
      <c r="E538" s="88"/>
      <c r="F538" s="88"/>
      <c r="G538" s="88"/>
      <c r="H538" s="88"/>
    </row>
    <row r="539" spans="4:8" ht="15.75">
      <c r="D539" s="88"/>
      <c r="E539" s="88"/>
      <c r="F539" s="88"/>
      <c r="G539" s="88"/>
      <c r="H539" s="88"/>
    </row>
    <row r="540" spans="4:8" ht="15.75">
      <c r="D540" s="88"/>
      <c r="E540" s="88"/>
      <c r="F540" s="88"/>
      <c r="G540" s="88"/>
      <c r="H540" s="88"/>
    </row>
    <row r="541" spans="4:8" ht="15.75">
      <c r="D541" s="88"/>
      <c r="E541" s="88"/>
      <c r="F541" s="88"/>
      <c r="G541" s="88"/>
      <c r="H541" s="88"/>
    </row>
    <row r="542" spans="4:8" ht="15.75">
      <c r="D542" s="88"/>
      <c r="E542" s="88"/>
      <c r="F542" s="88"/>
      <c r="G542" s="88"/>
      <c r="H542" s="88"/>
    </row>
    <row r="543" spans="4:8" ht="15.75">
      <c r="D543" s="88"/>
      <c r="E543" s="88"/>
      <c r="F543" s="88"/>
      <c r="G543" s="88"/>
      <c r="H543" s="88"/>
    </row>
    <row r="544" spans="4:8" ht="15.75">
      <c r="D544" s="88"/>
      <c r="E544" s="88"/>
      <c r="F544" s="88"/>
      <c r="G544" s="88"/>
      <c r="H544" s="88"/>
    </row>
    <row r="545" spans="4:8" ht="15.75">
      <c r="D545" s="88"/>
      <c r="E545" s="88"/>
      <c r="F545" s="88"/>
      <c r="G545" s="88"/>
      <c r="H545" s="88"/>
    </row>
    <row r="546" spans="4:8" ht="15.75">
      <c r="D546" s="88"/>
      <c r="E546" s="88"/>
      <c r="F546" s="88"/>
      <c r="G546" s="88"/>
      <c r="H546" s="88"/>
    </row>
    <row r="547" spans="4:8" ht="15.75">
      <c r="D547" s="88"/>
      <c r="E547" s="88"/>
      <c r="F547" s="88"/>
      <c r="G547" s="88"/>
      <c r="H547" s="88"/>
    </row>
    <row r="548" spans="4:8" ht="15.75">
      <c r="D548" s="88"/>
      <c r="E548" s="88"/>
      <c r="F548" s="88"/>
      <c r="G548" s="88"/>
      <c r="H548" s="88"/>
    </row>
    <row r="549" spans="4:8" ht="15.75">
      <c r="D549" s="88"/>
      <c r="E549" s="88"/>
      <c r="F549" s="88"/>
      <c r="G549" s="88"/>
      <c r="H549" s="88"/>
    </row>
    <row r="550" spans="4:8" ht="15.75">
      <c r="D550" s="88"/>
      <c r="E550" s="88"/>
      <c r="F550" s="88"/>
      <c r="G550" s="88"/>
      <c r="H550" s="88"/>
    </row>
    <row r="551" spans="4:8" ht="15.75">
      <c r="D551" s="88"/>
      <c r="E551" s="88"/>
      <c r="F551" s="88"/>
      <c r="G551" s="88"/>
      <c r="H551" s="88"/>
    </row>
    <row r="552" spans="4:8" ht="15.75">
      <c r="D552" s="88"/>
      <c r="E552" s="88"/>
      <c r="F552" s="88"/>
      <c r="G552" s="88"/>
      <c r="H552" s="88"/>
    </row>
    <row r="553" spans="4:8" ht="15.75">
      <c r="D553" s="88"/>
      <c r="E553" s="88"/>
      <c r="F553" s="88"/>
      <c r="G553" s="88"/>
      <c r="H553" s="88"/>
    </row>
    <row r="554" spans="4:8" ht="15.75">
      <c r="D554" s="88"/>
      <c r="E554" s="88"/>
      <c r="F554" s="88"/>
      <c r="G554" s="88"/>
      <c r="H554" s="88"/>
    </row>
    <row r="555" spans="4:8" ht="15.75">
      <c r="D555" s="88"/>
      <c r="E555" s="88"/>
      <c r="F555" s="88"/>
      <c r="G555" s="88"/>
      <c r="H555" s="88"/>
    </row>
    <row r="556" spans="4:8" ht="15.75">
      <c r="D556" s="88"/>
      <c r="E556" s="88"/>
      <c r="F556" s="88"/>
      <c r="G556" s="88"/>
      <c r="H556" s="88"/>
    </row>
    <row r="557" spans="4:8" ht="15.75">
      <c r="D557" s="88"/>
      <c r="E557" s="88"/>
      <c r="F557" s="88"/>
      <c r="G557" s="88"/>
      <c r="H557" s="88"/>
    </row>
    <row r="558" spans="4:8" ht="15.75">
      <c r="D558" s="88"/>
      <c r="E558" s="88"/>
      <c r="F558" s="88"/>
      <c r="G558" s="88"/>
      <c r="H558" s="88"/>
    </row>
    <row r="559" spans="4:8" ht="15.75">
      <c r="D559" s="88"/>
      <c r="E559" s="88"/>
      <c r="F559" s="88"/>
      <c r="G559" s="88"/>
      <c r="H559" s="88"/>
    </row>
    <row r="560" spans="4:8" ht="15.75">
      <c r="D560" s="88"/>
      <c r="E560" s="88"/>
      <c r="F560" s="88"/>
      <c r="G560" s="88"/>
      <c r="H560" s="88"/>
    </row>
    <row r="561" spans="4:8" ht="15.75">
      <c r="D561" s="88"/>
      <c r="E561" s="88"/>
      <c r="F561" s="88"/>
      <c r="G561" s="88"/>
      <c r="H561" s="88"/>
    </row>
    <row r="562" spans="4:8" ht="15.75">
      <c r="D562" s="88"/>
      <c r="E562" s="88"/>
      <c r="F562" s="88"/>
      <c r="G562" s="88"/>
      <c r="H562" s="88"/>
    </row>
    <row r="563" spans="4:8" ht="15.75">
      <c r="D563" s="88"/>
      <c r="E563" s="88"/>
      <c r="F563" s="88"/>
      <c r="G563" s="88"/>
      <c r="H563" s="88"/>
    </row>
    <row r="564" spans="4:8" ht="15.75">
      <c r="D564" s="88"/>
      <c r="E564" s="88"/>
      <c r="F564" s="88"/>
      <c r="G564" s="88"/>
      <c r="H564" s="88"/>
    </row>
    <row r="565" spans="4:8" ht="15.75">
      <c r="D565" s="88"/>
      <c r="E565" s="88"/>
      <c r="F565" s="88"/>
      <c r="G565" s="88"/>
      <c r="H565" s="88"/>
    </row>
    <row r="566" spans="4:8" ht="15.75">
      <c r="D566" s="88"/>
      <c r="E566" s="88"/>
      <c r="F566" s="88"/>
      <c r="G566" s="88"/>
      <c r="H566" s="88"/>
    </row>
    <row r="567" spans="4:8" ht="15.75">
      <c r="D567" s="88"/>
      <c r="E567" s="88"/>
      <c r="F567" s="88"/>
      <c r="G567" s="88"/>
      <c r="H567" s="88"/>
    </row>
    <row r="568" spans="4:8" ht="15.75">
      <c r="D568" s="88"/>
      <c r="E568" s="88"/>
      <c r="F568" s="88"/>
      <c r="G568" s="88"/>
      <c r="H568" s="88"/>
    </row>
    <row r="569" spans="4:8" ht="15.75">
      <c r="D569" s="88"/>
      <c r="E569" s="88"/>
      <c r="F569" s="88"/>
      <c r="G569" s="88"/>
      <c r="H569" s="88"/>
    </row>
    <row r="570" spans="4:8" ht="15.75">
      <c r="D570" s="88"/>
      <c r="E570" s="88"/>
      <c r="F570" s="88"/>
      <c r="G570" s="88"/>
      <c r="H570" s="88"/>
    </row>
    <row r="571" spans="4:8" ht="15.75">
      <c r="D571" s="88"/>
      <c r="E571" s="88"/>
      <c r="F571" s="88"/>
      <c r="G571" s="88"/>
      <c r="H571" s="88"/>
    </row>
    <row r="572" spans="4:8" ht="15.75">
      <c r="D572" s="88"/>
      <c r="E572" s="88"/>
      <c r="F572" s="88"/>
      <c r="G572" s="88"/>
      <c r="H572" s="88"/>
    </row>
    <row r="573" spans="4:8" ht="15.75">
      <c r="D573" s="88"/>
      <c r="E573" s="88"/>
      <c r="F573" s="88"/>
      <c r="G573" s="88"/>
      <c r="H573" s="88"/>
    </row>
    <row r="574" spans="4:8" ht="15.75">
      <c r="D574" s="88"/>
      <c r="E574" s="88"/>
      <c r="F574" s="88"/>
      <c r="G574" s="88"/>
      <c r="H574" s="88"/>
    </row>
    <row r="575" spans="4:8" ht="15.75">
      <c r="D575" s="88"/>
      <c r="E575" s="88"/>
      <c r="F575" s="88"/>
      <c r="G575" s="88"/>
      <c r="H575" s="88"/>
    </row>
    <row r="576" spans="4:8" ht="15.75">
      <c r="D576" s="88"/>
      <c r="E576" s="88"/>
      <c r="F576" s="88"/>
      <c r="G576" s="88"/>
      <c r="H576" s="88"/>
    </row>
    <row r="577" spans="4:8" ht="15.75">
      <c r="D577" s="88"/>
      <c r="E577" s="88"/>
      <c r="F577" s="88"/>
      <c r="G577" s="88"/>
      <c r="H577" s="88"/>
    </row>
    <row r="578" spans="4:8" ht="15.75">
      <c r="D578" s="88"/>
      <c r="E578" s="88"/>
      <c r="F578" s="88"/>
      <c r="G578" s="88"/>
      <c r="H578" s="88"/>
    </row>
    <row r="579" spans="4:8" ht="15.75">
      <c r="D579" s="88"/>
      <c r="E579" s="88"/>
      <c r="F579" s="88"/>
      <c r="G579" s="88"/>
      <c r="H579" s="88"/>
    </row>
    <row r="580" spans="4:8" ht="15.75">
      <c r="D580" s="88"/>
      <c r="E580" s="88"/>
      <c r="F580" s="88"/>
      <c r="G580" s="88"/>
      <c r="H580" s="88"/>
    </row>
    <row r="581" spans="4:8" ht="15.75">
      <c r="D581" s="88"/>
      <c r="E581" s="88"/>
      <c r="F581" s="88"/>
      <c r="G581" s="88"/>
      <c r="H581" s="88"/>
    </row>
    <row r="582" spans="4:8" ht="15.75">
      <c r="D582" s="88"/>
      <c r="E582" s="88"/>
      <c r="F582" s="88"/>
      <c r="G582" s="88"/>
      <c r="H582" s="88"/>
    </row>
    <row r="583" spans="4:8" ht="15.75">
      <c r="D583" s="88"/>
      <c r="E583" s="88"/>
      <c r="F583" s="88"/>
      <c r="G583" s="88"/>
      <c r="H583" s="88"/>
    </row>
    <row r="584" spans="4:8" ht="15.75">
      <c r="D584" s="88"/>
      <c r="E584" s="88"/>
      <c r="F584" s="88"/>
      <c r="G584" s="88"/>
      <c r="H584" s="88"/>
    </row>
    <row r="585" spans="4:8" ht="15.75">
      <c r="D585" s="88"/>
      <c r="E585" s="88"/>
      <c r="F585" s="88"/>
      <c r="G585" s="88"/>
      <c r="H585" s="88"/>
    </row>
    <row r="586" spans="4:8" ht="15.75">
      <c r="D586" s="88"/>
      <c r="E586" s="88"/>
      <c r="F586" s="88"/>
      <c r="G586" s="88"/>
      <c r="H586" s="88"/>
    </row>
    <row r="587" spans="4:8" ht="15.75">
      <c r="D587" s="88"/>
      <c r="E587" s="88"/>
      <c r="F587" s="88"/>
      <c r="G587" s="88"/>
      <c r="H587" s="88"/>
    </row>
    <row r="588" spans="4:8" ht="15.75">
      <c r="D588" s="88"/>
      <c r="E588" s="88"/>
      <c r="F588" s="88"/>
      <c r="G588" s="88"/>
      <c r="H588" s="88"/>
    </row>
    <row r="589" spans="4:8" ht="15.75">
      <c r="D589" s="88"/>
      <c r="E589" s="88"/>
      <c r="F589" s="88"/>
      <c r="G589" s="88"/>
      <c r="H589" s="88"/>
    </row>
    <row r="590" spans="4:8" ht="15.75">
      <c r="D590" s="88"/>
      <c r="E590" s="88"/>
      <c r="F590" s="88"/>
      <c r="G590" s="88"/>
      <c r="H590" s="88"/>
    </row>
    <row r="591" spans="4:8" ht="15.75">
      <c r="D591" s="88"/>
      <c r="E591" s="88"/>
      <c r="F591" s="88"/>
      <c r="G591" s="88"/>
      <c r="H591" s="88"/>
    </row>
    <row r="592" spans="4:8" ht="15.75">
      <c r="D592" s="88"/>
      <c r="E592" s="88"/>
      <c r="F592" s="88"/>
      <c r="G592" s="88"/>
      <c r="H592" s="88"/>
    </row>
    <row r="593" spans="4:8" ht="15.75">
      <c r="D593" s="88"/>
      <c r="E593" s="88"/>
      <c r="F593" s="88"/>
      <c r="G593" s="88"/>
      <c r="H593" s="88"/>
    </row>
    <row r="594" spans="4:8" ht="15.75">
      <c r="D594" s="88"/>
      <c r="E594" s="88"/>
      <c r="F594" s="88"/>
      <c r="G594" s="88"/>
      <c r="H594" s="88"/>
    </row>
    <row r="595" spans="4:8" ht="15.75">
      <c r="D595" s="88"/>
      <c r="E595" s="88"/>
      <c r="F595" s="88"/>
      <c r="G595" s="88"/>
      <c r="H595" s="88"/>
    </row>
    <row r="596" spans="4:8" ht="15.75">
      <c r="D596" s="88"/>
      <c r="E596" s="88"/>
      <c r="F596" s="88"/>
      <c r="G596" s="88"/>
      <c r="H596" s="88"/>
    </row>
    <row r="597" spans="4:8" ht="15.75">
      <c r="D597" s="88"/>
      <c r="E597" s="88"/>
      <c r="F597" s="88"/>
      <c r="G597" s="88"/>
      <c r="H597" s="88"/>
    </row>
    <row r="598" spans="4:8" ht="15.75">
      <c r="D598" s="88"/>
      <c r="E598" s="88"/>
      <c r="F598" s="88"/>
      <c r="G598" s="88"/>
      <c r="H598" s="88"/>
    </row>
    <row r="599" spans="4:8" ht="15.75">
      <c r="D599" s="88"/>
      <c r="E599" s="88"/>
      <c r="F599" s="88"/>
      <c r="G599" s="88"/>
      <c r="H599" s="88"/>
    </row>
    <row r="600" spans="4:8" ht="15.75">
      <c r="D600" s="88"/>
      <c r="E600" s="88"/>
      <c r="F600" s="88"/>
      <c r="G600" s="88"/>
      <c r="H600" s="88"/>
    </row>
    <row r="601" spans="4:8" ht="15.75">
      <c r="D601" s="88"/>
      <c r="E601" s="88"/>
      <c r="F601" s="88"/>
      <c r="G601" s="88"/>
      <c r="H601" s="88"/>
    </row>
    <row r="602" spans="4:8" ht="15.75">
      <c r="D602" s="88"/>
      <c r="E602" s="88"/>
      <c r="F602" s="88"/>
      <c r="G602" s="88"/>
      <c r="H602" s="88"/>
    </row>
    <row r="603" spans="4:8" ht="15.75">
      <c r="D603" s="88"/>
      <c r="E603" s="88"/>
      <c r="F603" s="88"/>
      <c r="G603" s="88"/>
      <c r="H603" s="88"/>
    </row>
    <row r="604" spans="4:8" ht="15.75">
      <c r="D604" s="88"/>
      <c r="E604" s="88"/>
      <c r="F604" s="88"/>
      <c r="G604" s="88"/>
      <c r="H604" s="88"/>
    </row>
    <row r="605" spans="4:8" ht="15.75">
      <c r="D605" s="88"/>
      <c r="E605" s="88"/>
      <c r="F605" s="88"/>
      <c r="G605" s="88"/>
      <c r="H605" s="88"/>
    </row>
    <row r="606" spans="4:8" ht="15.75">
      <c r="D606" s="88"/>
      <c r="E606" s="88"/>
      <c r="F606" s="88"/>
      <c r="G606" s="88"/>
      <c r="H606" s="88"/>
    </row>
    <row r="607" spans="4:8" ht="15.75">
      <c r="D607" s="88"/>
      <c r="E607" s="88"/>
      <c r="F607" s="88"/>
      <c r="G607" s="88"/>
      <c r="H607" s="88"/>
    </row>
    <row r="608" spans="4:8" ht="15.75">
      <c r="D608" s="88"/>
      <c r="E608" s="88"/>
      <c r="F608" s="88"/>
      <c r="G608" s="88"/>
      <c r="H608" s="88"/>
    </row>
    <row r="609" spans="4:8" ht="15.75">
      <c r="D609" s="88"/>
      <c r="E609" s="88"/>
      <c r="F609" s="88"/>
      <c r="G609" s="88"/>
      <c r="H609" s="88"/>
    </row>
    <row r="610" spans="4:8" ht="15.75">
      <c r="D610" s="88"/>
      <c r="E610" s="88"/>
      <c r="F610" s="88"/>
      <c r="G610" s="88"/>
      <c r="H610" s="88"/>
    </row>
    <row r="611" spans="4:8" ht="15.75">
      <c r="D611" s="88"/>
      <c r="E611" s="88"/>
      <c r="F611" s="88"/>
      <c r="G611" s="88"/>
      <c r="H611" s="88"/>
    </row>
    <row r="612" spans="4:8" ht="15.75">
      <c r="D612" s="88"/>
      <c r="E612" s="88"/>
      <c r="F612" s="88"/>
      <c r="G612" s="88"/>
      <c r="H612" s="88"/>
    </row>
    <row r="613" spans="4:8" ht="15.75">
      <c r="D613" s="88"/>
      <c r="E613" s="88"/>
      <c r="F613" s="88"/>
      <c r="G613" s="88"/>
      <c r="H613" s="88"/>
    </row>
    <row r="614" spans="4:8" ht="15.75">
      <c r="D614" s="88"/>
      <c r="E614" s="88"/>
      <c r="F614" s="88"/>
      <c r="G614" s="88"/>
      <c r="H614" s="88"/>
    </row>
    <row r="615" spans="4:8" ht="15.75">
      <c r="D615" s="88"/>
      <c r="E615" s="88"/>
      <c r="F615" s="88"/>
      <c r="G615" s="88"/>
      <c r="H615" s="88"/>
    </row>
    <row r="616" spans="4:8" ht="15.75">
      <c r="D616" s="88"/>
      <c r="E616" s="88"/>
      <c r="F616" s="88"/>
      <c r="G616" s="88"/>
      <c r="H616" s="88"/>
    </row>
    <row r="617" spans="4:8" ht="15.75">
      <c r="D617" s="88"/>
      <c r="E617" s="88"/>
      <c r="F617" s="88"/>
      <c r="G617" s="88"/>
      <c r="H617" s="88"/>
    </row>
    <row r="618" spans="4:8" ht="15.75">
      <c r="D618" s="88"/>
      <c r="E618" s="88"/>
      <c r="F618" s="88"/>
      <c r="G618" s="88"/>
      <c r="H618" s="88"/>
    </row>
    <row r="619" spans="4:8" ht="15.75">
      <c r="D619" s="88"/>
      <c r="E619" s="88"/>
      <c r="F619" s="88"/>
      <c r="G619" s="88"/>
      <c r="H619" s="88"/>
    </row>
    <row r="620" spans="4:8" ht="15.75">
      <c r="D620" s="88"/>
      <c r="E620" s="88"/>
      <c r="F620" s="88"/>
      <c r="G620" s="88"/>
      <c r="H620" s="88"/>
    </row>
    <row r="621" spans="4:8" ht="15.75">
      <c r="D621" s="88"/>
      <c r="E621" s="88"/>
      <c r="F621" s="88"/>
      <c r="G621" s="88"/>
      <c r="H621" s="88"/>
    </row>
    <row r="622" spans="4:8" ht="15.75">
      <c r="D622" s="88"/>
      <c r="E622" s="88"/>
      <c r="F622" s="88"/>
      <c r="G622" s="88"/>
      <c r="H622" s="88"/>
    </row>
    <row r="623" spans="4:8" ht="15.75">
      <c r="D623" s="88"/>
      <c r="E623" s="88"/>
      <c r="F623" s="88"/>
      <c r="G623" s="88"/>
      <c r="H623" s="88"/>
    </row>
    <row r="624" spans="4:8" ht="15.75">
      <c r="D624" s="88"/>
      <c r="E624" s="88"/>
      <c r="F624" s="88"/>
      <c r="G624" s="88"/>
      <c r="H624" s="88"/>
    </row>
    <row r="625" spans="4:8" ht="15.75">
      <c r="D625" s="88"/>
      <c r="E625" s="88"/>
      <c r="F625" s="88"/>
      <c r="G625" s="88"/>
      <c r="H625" s="88"/>
    </row>
    <row r="626" spans="4:8" ht="15.75">
      <c r="D626" s="88"/>
      <c r="E626" s="88"/>
      <c r="F626" s="88"/>
      <c r="G626" s="88"/>
      <c r="H626" s="88"/>
    </row>
    <row r="627" spans="4:8" ht="15.75">
      <c r="D627" s="88"/>
      <c r="E627" s="88"/>
      <c r="F627" s="88"/>
      <c r="G627" s="88"/>
      <c r="H627" s="88"/>
    </row>
    <row r="628" spans="4:8" ht="15.75">
      <c r="D628" s="88"/>
      <c r="E628" s="88"/>
      <c r="F628" s="88"/>
      <c r="G628" s="88"/>
      <c r="H628" s="88"/>
    </row>
    <row r="629" spans="4:8" ht="15.75">
      <c r="D629" s="88"/>
      <c r="E629" s="88"/>
      <c r="F629" s="88"/>
      <c r="G629" s="88"/>
      <c r="H629" s="88"/>
    </row>
    <row r="630" spans="4:8" ht="15.75">
      <c r="D630" s="88"/>
      <c r="E630" s="88"/>
      <c r="F630" s="88"/>
      <c r="G630" s="88"/>
      <c r="H630" s="88"/>
    </row>
    <row r="631" spans="4:8" ht="15.75">
      <c r="D631" s="88"/>
      <c r="E631" s="88"/>
      <c r="F631" s="88"/>
      <c r="G631" s="88"/>
      <c r="H631" s="88"/>
    </row>
    <row r="632" spans="4:8" ht="15.75">
      <c r="D632" s="88"/>
      <c r="E632" s="88"/>
      <c r="F632" s="88"/>
      <c r="G632" s="88"/>
      <c r="H632" s="88"/>
    </row>
    <row r="633" spans="4:8" ht="15.75">
      <c r="D633" s="88"/>
      <c r="E633" s="88"/>
      <c r="F633" s="88"/>
      <c r="G633" s="88"/>
      <c r="H633" s="88"/>
    </row>
    <row r="634" spans="4:8" ht="15.75">
      <c r="D634" s="88"/>
      <c r="E634" s="88"/>
      <c r="F634" s="88"/>
      <c r="G634" s="88"/>
      <c r="H634" s="88"/>
    </row>
    <row r="635" spans="4:8" ht="15.75">
      <c r="D635" s="88"/>
      <c r="E635" s="88"/>
      <c r="F635" s="88"/>
      <c r="G635" s="88"/>
      <c r="H635" s="88"/>
    </row>
    <row r="636" spans="4:8" ht="15.75">
      <c r="D636" s="88"/>
      <c r="E636" s="88"/>
      <c r="F636" s="88"/>
      <c r="G636" s="88"/>
      <c r="H636" s="88"/>
    </row>
    <row r="637" spans="4:8" ht="15.75">
      <c r="D637" s="88"/>
      <c r="E637" s="88"/>
      <c r="F637" s="88"/>
      <c r="G637" s="88"/>
      <c r="H637" s="88"/>
    </row>
    <row r="638" spans="4:8" ht="15.75">
      <c r="D638" s="88"/>
      <c r="E638" s="88"/>
      <c r="F638" s="88"/>
      <c r="G638" s="88"/>
      <c r="H638" s="88"/>
    </row>
    <row r="639" spans="4:8" ht="15.75">
      <c r="D639" s="88"/>
      <c r="E639" s="88"/>
      <c r="F639" s="88"/>
      <c r="G639" s="88"/>
      <c r="H639" s="88"/>
    </row>
    <row r="640" spans="4:8" ht="15.75">
      <c r="D640" s="88"/>
      <c r="E640" s="88"/>
      <c r="F640" s="88"/>
      <c r="G640" s="88"/>
      <c r="H640" s="88"/>
    </row>
    <row r="641" spans="4:8" ht="15.75">
      <c r="D641" s="88"/>
      <c r="E641" s="88"/>
      <c r="F641" s="88"/>
      <c r="G641" s="88"/>
      <c r="H641" s="88"/>
    </row>
    <row r="642" spans="4:8" ht="15.75">
      <c r="D642" s="88"/>
      <c r="E642" s="88"/>
      <c r="F642" s="88"/>
      <c r="G642" s="88"/>
      <c r="H642" s="88"/>
    </row>
    <row r="643" spans="4:8" ht="15.75">
      <c r="D643" s="88"/>
      <c r="E643" s="88"/>
      <c r="F643" s="88"/>
      <c r="G643" s="88"/>
      <c r="H643" s="88"/>
    </row>
    <row r="644" spans="4:8" ht="15.75">
      <c r="D644" s="88"/>
      <c r="E644" s="88"/>
      <c r="F644" s="88"/>
      <c r="G644" s="88"/>
      <c r="H644" s="88"/>
    </row>
    <row r="645" spans="4:8" ht="15.75">
      <c r="D645" s="88"/>
      <c r="E645" s="88"/>
      <c r="F645" s="88"/>
      <c r="G645" s="88"/>
      <c r="H645" s="88"/>
    </row>
    <row r="646" spans="4:8" ht="15.75">
      <c r="D646" s="88"/>
      <c r="E646" s="88"/>
      <c r="F646" s="88"/>
      <c r="G646" s="88"/>
      <c r="H646" s="88"/>
    </row>
    <row r="647" spans="4:8" ht="15.75">
      <c r="D647" s="88"/>
      <c r="E647" s="88"/>
      <c r="F647" s="88"/>
      <c r="G647" s="88"/>
      <c r="H647" s="88"/>
    </row>
    <row r="648" spans="4:8" ht="15.75">
      <c r="D648" s="88"/>
      <c r="E648" s="88"/>
      <c r="F648" s="88"/>
      <c r="G648" s="88"/>
      <c r="H648" s="88"/>
    </row>
    <row r="649" spans="4:8" ht="15.75">
      <c r="D649" s="88"/>
      <c r="E649" s="88"/>
      <c r="F649" s="88"/>
      <c r="G649" s="88"/>
      <c r="H649" s="88"/>
    </row>
    <row r="650" spans="4:8" ht="15.75">
      <c r="D650" s="88"/>
      <c r="E650" s="88"/>
      <c r="F650" s="88"/>
      <c r="G650" s="88"/>
      <c r="H650" s="88"/>
    </row>
    <row r="651" spans="4:8" ht="15.75">
      <c r="D651" s="88"/>
      <c r="E651" s="88"/>
      <c r="F651" s="88"/>
      <c r="G651" s="88"/>
      <c r="H651" s="88"/>
    </row>
    <row r="652" spans="4:8" ht="15.75">
      <c r="D652" s="88"/>
      <c r="E652" s="88"/>
      <c r="F652" s="88"/>
      <c r="G652" s="88"/>
      <c r="H652" s="88"/>
    </row>
    <row r="653" spans="4:8" ht="15.75">
      <c r="D653" s="88"/>
      <c r="E653" s="88"/>
      <c r="F653" s="88"/>
      <c r="G653" s="88"/>
      <c r="H653" s="88"/>
    </row>
    <row r="654" spans="4:8" ht="15.75">
      <c r="D654" s="88"/>
      <c r="E654" s="88"/>
      <c r="F654" s="88"/>
      <c r="G654" s="88"/>
      <c r="H654" s="88"/>
    </row>
    <row r="655" spans="4:8" ht="15.75">
      <c r="D655" s="88"/>
      <c r="E655" s="88"/>
      <c r="F655" s="88"/>
      <c r="G655" s="88"/>
      <c r="H655" s="88"/>
    </row>
    <row r="656" spans="4:8" ht="15.75">
      <c r="D656" s="88"/>
      <c r="E656" s="88"/>
      <c r="F656" s="88"/>
      <c r="G656" s="88"/>
      <c r="H656" s="88"/>
    </row>
    <row r="657" spans="4:8" ht="15.75">
      <c r="D657" s="88"/>
      <c r="E657" s="88"/>
      <c r="F657" s="88"/>
      <c r="G657" s="88"/>
      <c r="H657" s="88"/>
    </row>
    <row r="658" spans="4:8" ht="15.75">
      <c r="D658" s="88"/>
      <c r="E658" s="88"/>
      <c r="F658" s="88"/>
      <c r="G658" s="88"/>
      <c r="H658" s="88"/>
    </row>
    <row r="659" spans="4:8" ht="15.75">
      <c r="D659" s="88"/>
      <c r="E659" s="88"/>
      <c r="F659" s="88"/>
      <c r="G659" s="88"/>
      <c r="H659" s="88"/>
    </row>
    <row r="660" spans="4:8" ht="15.75">
      <c r="D660" s="88"/>
      <c r="E660" s="88"/>
      <c r="F660" s="88"/>
      <c r="G660" s="88"/>
      <c r="H660" s="88"/>
    </row>
    <row r="661" spans="4:8" ht="15.75">
      <c r="D661" s="88"/>
      <c r="E661" s="88"/>
      <c r="F661" s="88"/>
      <c r="G661" s="88"/>
      <c r="H661" s="88"/>
    </row>
    <row r="662" spans="4:8" ht="15.75">
      <c r="D662" s="88"/>
      <c r="E662" s="88"/>
      <c r="F662" s="88"/>
      <c r="G662" s="88"/>
      <c r="H662" s="88"/>
    </row>
    <row r="663" spans="4:8" ht="15.75">
      <c r="D663" s="88"/>
      <c r="E663" s="88"/>
      <c r="F663" s="88"/>
      <c r="G663" s="88"/>
      <c r="H663" s="88"/>
    </row>
    <row r="664" spans="4:8" ht="15.75">
      <c r="D664" s="88"/>
      <c r="E664" s="88"/>
      <c r="F664" s="88"/>
      <c r="G664" s="88"/>
      <c r="H664" s="88"/>
    </row>
    <row r="665" spans="4:8" ht="15.75">
      <c r="D665" s="88"/>
      <c r="E665" s="88"/>
      <c r="F665" s="88"/>
      <c r="G665" s="88"/>
      <c r="H665" s="88"/>
    </row>
    <row r="666" spans="4:8" ht="15.75">
      <c r="D666" s="88"/>
      <c r="E666" s="88"/>
      <c r="F666" s="88"/>
      <c r="G666" s="88"/>
      <c r="H666" s="88"/>
    </row>
    <row r="667" spans="4:8" ht="15.75">
      <c r="D667" s="88"/>
      <c r="E667" s="88"/>
      <c r="F667" s="88"/>
      <c r="G667" s="88"/>
      <c r="H667" s="88"/>
    </row>
    <row r="668" spans="4:8" ht="15.75">
      <c r="D668" s="88"/>
      <c r="E668" s="88"/>
      <c r="F668" s="88"/>
      <c r="G668" s="88"/>
      <c r="H668" s="88"/>
    </row>
    <row r="669" spans="4:8" ht="15.75">
      <c r="D669" s="88"/>
      <c r="E669" s="88"/>
      <c r="F669" s="88"/>
      <c r="G669" s="88"/>
      <c r="H669" s="88"/>
    </row>
    <row r="670" spans="4:8" ht="15.75">
      <c r="D670" s="88"/>
      <c r="E670" s="88"/>
      <c r="F670" s="88"/>
      <c r="G670" s="88"/>
      <c r="H670" s="88"/>
    </row>
    <row r="671" spans="4:8" ht="15.75">
      <c r="D671" s="88"/>
      <c r="E671" s="88"/>
      <c r="F671" s="88"/>
      <c r="G671" s="88"/>
      <c r="H671" s="88"/>
    </row>
    <row r="672" spans="4:8" ht="15.75">
      <c r="D672" s="88"/>
      <c r="E672" s="88"/>
      <c r="F672" s="88"/>
      <c r="G672" s="88"/>
      <c r="H672" s="88"/>
    </row>
    <row r="673" spans="4:8" ht="15.75">
      <c r="D673" s="88"/>
      <c r="E673" s="88"/>
      <c r="F673" s="88"/>
      <c r="G673" s="88"/>
      <c r="H673" s="88"/>
    </row>
    <row r="674" spans="4:8" ht="15.75">
      <c r="D674" s="88"/>
      <c r="E674" s="88"/>
      <c r="F674" s="88"/>
      <c r="G674" s="88"/>
      <c r="H674" s="88"/>
    </row>
    <row r="675" spans="4:8" ht="15.75">
      <c r="D675" s="88"/>
      <c r="E675" s="88"/>
      <c r="F675" s="88"/>
      <c r="G675" s="88"/>
      <c r="H675" s="88"/>
    </row>
    <row r="676" spans="4:8" ht="15.75">
      <c r="D676" s="88"/>
      <c r="E676" s="88"/>
      <c r="F676" s="88"/>
      <c r="G676" s="88"/>
      <c r="H676" s="88"/>
    </row>
    <row r="677" spans="4:8" ht="15.75">
      <c r="D677" s="88"/>
      <c r="E677" s="88"/>
      <c r="F677" s="88"/>
      <c r="G677" s="88"/>
      <c r="H677" s="88"/>
    </row>
    <row r="678" spans="4:8" ht="15.75">
      <c r="D678" s="88"/>
      <c r="E678" s="88"/>
      <c r="F678" s="88"/>
      <c r="G678" s="88"/>
      <c r="H678" s="88"/>
    </row>
    <row r="679" spans="4:8" ht="15.75">
      <c r="D679" s="88"/>
      <c r="E679" s="88"/>
      <c r="F679" s="88"/>
      <c r="G679" s="88"/>
      <c r="H679" s="88"/>
    </row>
    <row r="680" spans="4:8" ht="15.75">
      <c r="D680" s="88"/>
      <c r="E680" s="88"/>
      <c r="F680" s="88"/>
      <c r="G680" s="88"/>
      <c r="H680" s="88"/>
    </row>
    <row r="681" spans="4:8" ht="15.75">
      <c r="D681" s="88"/>
      <c r="E681" s="88"/>
      <c r="F681" s="88"/>
      <c r="G681" s="88"/>
      <c r="H681" s="88"/>
    </row>
    <row r="682" spans="4:8" ht="15.75">
      <c r="D682" s="88"/>
      <c r="E682" s="88"/>
      <c r="F682" s="88"/>
      <c r="G682" s="88"/>
      <c r="H682" s="88"/>
    </row>
    <row r="683" spans="4:8" ht="15.75">
      <c r="D683" s="88"/>
      <c r="E683" s="88"/>
      <c r="F683" s="88"/>
      <c r="G683" s="88"/>
      <c r="H683" s="88"/>
    </row>
    <row r="684" spans="4:8" ht="15.75">
      <c r="D684" s="88"/>
      <c r="E684" s="88"/>
      <c r="F684" s="88"/>
      <c r="G684" s="88"/>
      <c r="H684" s="88"/>
    </row>
    <row r="685" spans="4:8" ht="15.75">
      <c r="D685" s="88"/>
      <c r="E685" s="88"/>
      <c r="F685" s="88"/>
      <c r="G685" s="88"/>
      <c r="H685" s="88"/>
    </row>
    <row r="686" spans="4:8" ht="15.75">
      <c r="D686" s="88"/>
      <c r="E686" s="88"/>
      <c r="F686" s="88"/>
      <c r="G686" s="88"/>
      <c r="H686" s="88"/>
    </row>
    <row r="687" spans="4:8" ht="15.75">
      <c r="D687" s="88"/>
      <c r="E687" s="88"/>
      <c r="F687" s="88"/>
      <c r="G687" s="88"/>
      <c r="H687" s="88"/>
    </row>
    <row r="688" spans="4:8" ht="15.75">
      <c r="D688" s="88"/>
      <c r="E688" s="88"/>
      <c r="F688" s="88"/>
      <c r="G688" s="88"/>
      <c r="H688" s="88"/>
    </row>
    <row r="689" spans="4:8" ht="15.75">
      <c r="D689" s="88"/>
      <c r="E689" s="88"/>
      <c r="F689" s="88"/>
      <c r="G689" s="88"/>
      <c r="H689" s="88"/>
    </row>
    <row r="690" spans="4:8" ht="15.75">
      <c r="D690" s="88"/>
      <c r="E690" s="88"/>
      <c r="F690" s="88"/>
      <c r="G690" s="88"/>
      <c r="H690" s="88"/>
    </row>
    <row r="691" spans="4:8" ht="15.75">
      <c r="D691" s="88"/>
      <c r="E691" s="88"/>
      <c r="F691" s="88"/>
      <c r="G691" s="88"/>
      <c r="H691" s="88"/>
    </row>
    <row r="692" spans="4:8" ht="15.75">
      <c r="D692" s="88"/>
      <c r="E692" s="88"/>
      <c r="F692" s="88"/>
      <c r="G692" s="88"/>
      <c r="H692" s="88"/>
    </row>
    <row r="693" spans="4:8" ht="15.75">
      <c r="D693" s="88"/>
      <c r="E693" s="88"/>
      <c r="F693" s="88"/>
      <c r="G693" s="88"/>
      <c r="H693" s="88"/>
    </row>
    <row r="694" spans="4:8" ht="15.75">
      <c r="D694" s="88"/>
      <c r="E694" s="88"/>
      <c r="F694" s="88"/>
      <c r="G694" s="88"/>
      <c r="H694" s="88"/>
    </row>
    <row r="695" spans="4:8" ht="15.75">
      <c r="D695" s="88"/>
      <c r="E695" s="88"/>
      <c r="F695" s="88"/>
      <c r="G695" s="88"/>
      <c r="H695" s="88"/>
    </row>
    <row r="696" spans="4:8" ht="15.75">
      <c r="D696" s="88"/>
      <c r="E696" s="88"/>
      <c r="F696" s="88"/>
      <c r="G696" s="88"/>
      <c r="H696" s="88"/>
    </row>
    <row r="697" spans="4:8" ht="15.75">
      <c r="D697" s="88"/>
      <c r="E697" s="88"/>
      <c r="F697" s="88"/>
      <c r="G697" s="88"/>
      <c r="H697" s="88"/>
    </row>
    <row r="698" spans="4:8" ht="15.75">
      <c r="D698" s="88"/>
      <c r="E698" s="88"/>
      <c r="F698" s="88"/>
      <c r="G698" s="88"/>
      <c r="H698" s="88"/>
    </row>
    <row r="699" spans="4:8" ht="15.75">
      <c r="D699" s="88"/>
      <c r="E699" s="88"/>
      <c r="F699" s="88"/>
      <c r="G699" s="88"/>
      <c r="H699" s="88"/>
    </row>
    <row r="700" spans="4:8" ht="15.75">
      <c r="D700" s="88"/>
      <c r="E700" s="88"/>
      <c r="F700" s="88"/>
      <c r="G700" s="88"/>
      <c r="H700" s="88"/>
    </row>
    <row r="701" spans="4:8" ht="15.75">
      <c r="D701" s="88"/>
      <c r="E701" s="88"/>
      <c r="F701" s="88"/>
      <c r="G701" s="88"/>
      <c r="H701" s="88"/>
    </row>
    <row r="702" spans="4:8" ht="15.75">
      <c r="D702" s="88"/>
      <c r="E702" s="88"/>
      <c r="F702" s="88"/>
      <c r="G702" s="88"/>
      <c r="H702" s="88"/>
    </row>
    <row r="703" spans="4:8" ht="15.75">
      <c r="D703" s="88"/>
      <c r="E703" s="88"/>
      <c r="F703" s="88"/>
      <c r="G703" s="88"/>
      <c r="H703" s="88"/>
    </row>
    <row r="704" spans="4:8" ht="15.75">
      <c r="D704" s="88"/>
      <c r="E704" s="88"/>
      <c r="F704" s="88"/>
      <c r="G704" s="88"/>
      <c r="H704" s="88"/>
    </row>
    <row r="705" spans="4:8" ht="15.75">
      <c r="D705" s="88"/>
      <c r="E705" s="88"/>
      <c r="F705" s="88"/>
      <c r="G705" s="88"/>
      <c r="H705" s="88"/>
    </row>
    <row r="706" spans="4:8" ht="15.75">
      <c r="D706" s="88"/>
      <c r="E706" s="88"/>
      <c r="F706" s="88"/>
      <c r="G706" s="88"/>
      <c r="H706" s="88"/>
    </row>
    <row r="707" spans="4:8" ht="15.75">
      <c r="D707" s="88"/>
      <c r="E707" s="88"/>
      <c r="F707" s="88"/>
      <c r="G707" s="88"/>
      <c r="H707" s="88"/>
    </row>
    <row r="708" spans="4:8" ht="15.75">
      <c r="D708" s="88"/>
      <c r="E708" s="88"/>
      <c r="F708" s="88"/>
      <c r="G708" s="88"/>
      <c r="H708" s="88"/>
    </row>
    <row r="709" spans="4:8" ht="15.75">
      <c r="D709" s="88"/>
      <c r="E709" s="88"/>
      <c r="F709" s="88"/>
      <c r="G709" s="88"/>
      <c r="H709" s="88"/>
    </row>
    <row r="710" spans="4:8" ht="15.75">
      <c r="D710" s="88"/>
      <c r="E710" s="88"/>
      <c r="F710" s="88"/>
      <c r="G710" s="88"/>
      <c r="H710" s="88"/>
    </row>
    <row r="711" spans="4:8" ht="15.75">
      <c r="D711" s="88"/>
      <c r="E711" s="88"/>
      <c r="F711" s="88"/>
      <c r="G711" s="88"/>
      <c r="H711" s="88"/>
    </row>
    <row r="712" spans="4:8" ht="15.75">
      <c r="D712" s="88"/>
      <c r="E712" s="88"/>
      <c r="F712" s="88"/>
      <c r="G712" s="88"/>
      <c r="H712" s="88"/>
    </row>
    <row r="713" spans="4:8" ht="15.75">
      <c r="D713" s="88"/>
      <c r="E713" s="88"/>
      <c r="F713" s="88"/>
      <c r="G713" s="88"/>
      <c r="H713" s="88"/>
    </row>
    <row r="714" spans="4:8" ht="15.75">
      <c r="D714" s="88"/>
      <c r="E714" s="88"/>
      <c r="F714" s="88"/>
      <c r="G714" s="88"/>
      <c r="H714" s="88"/>
    </row>
    <row r="715" spans="4:8" ht="15.75">
      <c r="D715" s="88"/>
      <c r="E715" s="88"/>
      <c r="F715" s="88"/>
      <c r="G715" s="88"/>
      <c r="H715" s="88"/>
    </row>
    <row r="716" spans="4:8" ht="15.75">
      <c r="D716" s="88"/>
      <c r="E716" s="88"/>
      <c r="F716" s="88"/>
      <c r="G716" s="88"/>
      <c r="H716" s="88"/>
    </row>
    <row r="717" spans="4:8" ht="15.75">
      <c r="D717" s="88"/>
      <c r="E717" s="88"/>
      <c r="F717" s="88"/>
      <c r="G717" s="88"/>
      <c r="H717" s="88"/>
    </row>
    <row r="718" spans="4:8" ht="15.75">
      <c r="D718" s="88"/>
      <c r="E718" s="88"/>
      <c r="F718" s="88"/>
      <c r="G718" s="88"/>
      <c r="H718" s="88"/>
    </row>
    <row r="719" spans="4:8" ht="15.75">
      <c r="D719" s="88"/>
      <c r="E719" s="88"/>
      <c r="F719" s="88"/>
      <c r="G719" s="88"/>
      <c r="H719" s="88"/>
    </row>
    <row r="720" spans="4:8" ht="15.75">
      <c r="D720" s="88"/>
      <c r="E720" s="88"/>
      <c r="F720" s="88"/>
      <c r="G720" s="88"/>
      <c r="H720" s="88"/>
    </row>
    <row r="721" spans="4:8" ht="15.75">
      <c r="D721" s="88"/>
      <c r="E721" s="88"/>
      <c r="F721" s="88"/>
      <c r="G721" s="88"/>
      <c r="H721" s="88"/>
    </row>
    <row r="722" spans="4:8" ht="15.75">
      <c r="D722" s="88"/>
      <c r="E722" s="88"/>
      <c r="F722" s="88"/>
      <c r="G722" s="88"/>
      <c r="H722" s="88"/>
    </row>
    <row r="723" spans="4:8" ht="15.75">
      <c r="D723" s="88"/>
      <c r="E723" s="88"/>
      <c r="F723" s="88"/>
      <c r="G723" s="88"/>
      <c r="H723" s="88"/>
    </row>
    <row r="724" spans="4:8" ht="15.75">
      <c r="D724" s="88"/>
      <c r="E724" s="88"/>
      <c r="F724" s="88"/>
      <c r="G724" s="88"/>
      <c r="H724" s="88"/>
    </row>
    <row r="725" spans="4:8" ht="15.75">
      <c r="D725" s="88"/>
      <c r="E725" s="88"/>
      <c r="F725" s="88"/>
      <c r="G725" s="88"/>
      <c r="H725" s="88"/>
    </row>
    <row r="726" spans="4:8" ht="15.75">
      <c r="D726" s="88"/>
      <c r="E726" s="88"/>
      <c r="F726" s="88"/>
      <c r="G726" s="88"/>
      <c r="H726" s="88"/>
    </row>
    <row r="727" spans="4:8" ht="15.75">
      <c r="D727" s="88"/>
      <c r="E727" s="88"/>
      <c r="F727" s="88"/>
      <c r="G727" s="88"/>
      <c r="H727" s="88"/>
    </row>
    <row r="728" spans="4:8" ht="15.75">
      <c r="D728" s="88"/>
      <c r="E728" s="88"/>
      <c r="F728" s="88"/>
      <c r="G728" s="88"/>
      <c r="H728" s="88"/>
    </row>
    <row r="729" spans="4:8" ht="15.75">
      <c r="D729" s="88"/>
      <c r="E729" s="88"/>
      <c r="F729" s="88"/>
      <c r="G729" s="88"/>
      <c r="H729" s="88"/>
    </row>
    <row r="730" spans="4:8" ht="15.75">
      <c r="D730" s="88"/>
      <c r="E730" s="88"/>
      <c r="F730" s="88"/>
      <c r="G730" s="88"/>
      <c r="H730" s="88"/>
    </row>
    <row r="731" spans="4:8" ht="15.75">
      <c r="D731" s="88"/>
      <c r="E731" s="88"/>
      <c r="F731" s="88"/>
      <c r="G731" s="88"/>
      <c r="H731" s="88"/>
    </row>
    <row r="732" spans="4:8" ht="15.75">
      <c r="D732" s="88"/>
      <c r="E732" s="88"/>
      <c r="F732" s="88"/>
      <c r="G732" s="88"/>
      <c r="H732" s="88"/>
    </row>
    <row r="733" spans="4:8" ht="15.75">
      <c r="D733" s="88"/>
      <c r="E733" s="88"/>
      <c r="F733" s="88"/>
      <c r="G733" s="88"/>
      <c r="H733" s="88"/>
    </row>
    <row r="734" spans="4:8" ht="15.75">
      <c r="D734" s="88"/>
      <c r="E734" s="88"/>
      <c r="F734" s="88"/>
      <c r="G734" s="88"/>
      <c r="H734" s="88"/>
    </row>
    <row r="735" spans="4:8" ht="15.75">
      <c r="D735" s="88"/>
      <c r="E735" s="88"/>
      <c r="F735" s="88"/>
      <c r="G735" s="88"/>
      <c r="H735" s="88"/>
    </row>
    <row r="736" spans="4:8" ht="15.75">
      <c r="D736" s="88"/>
      <c r="E736" s="88"/>
      <c r="F736" s="88"/>
      <c r="G736" s="88"/>
      <c r="H736" s="88"/>
    </row>
    <row r="737" spans="4:8" ht="15.75">
      <c r="D737" s="88"/>
      <c r="E737" s="88"/>
      <c r="F737" s="88"/>
      <c r="G737" s="88"/>
      <c r="H737" s="88"/>
    </row>
    <row r="738" spans="4:8" ht="15.75">
      <c r="D738" s="88"/>
      <c r="E738" s="88"/>
      <c r="F738" s="88"/>
      <c r="G738" s="88"/>
      <c r="H738" s="88"/>
    </row>
    <row r="739" spans="4:8" ht="15.75">
      <c r="D739" s="88"/>
      <c r="E739" s="88"/>
      <c r="F739" s="88"/>
      <c r="G739" s="88"/>
      <c r="H739" s="88"/>
    </row>
    <row r="740" spans="4:8" ht="15.75">
      <c r="D740" s="88"/>
      <c r="E740" s="88"/>
      <c r="F740" s="88"/>
      <c r="G740" s="88"/>
      <c r="H740" s="88"/>
    </row>
    <row r="741" spans="4:8" ht="15.75">
      <c r="D741" s="88"/>
      <c r="E741" s="88"/>
      <c r="F741" s="88"/>
      <c r="G741" s="88"/>
      <c r="H741" s="88"/>
    </row>
    <row r="742" spans="4:8" ht="15.75">
      <c r="D742" s="88"/>
      <c r="E742" s="88"/>
      <c r="F742" s="88"/>
      <c r="G742" s="88"/>
      <c r="H742" s="88"/>
    </row>
    <row r="743" spans="4:8" ht="15.75">
      <c r="D743" s="88"/>
      <c r="E743" s="88"/>
      <c r="F743" s="88"/>
      <c r="G743" s="88"/>
      <c r="H743" s="88"/>
    </row>
    <row r="744" spans="4:8" ht="15.75">
      <c r="D744" s="88"/>
      <c r="E744" s="88"/>
      <c r="F744" s="88"/>
      <c r="G744" s="88"/>
      <c r="H744" s="88"/>
    </row>
    <row r="745" spans="4:8" ht="15.75">
      <c r="D745" s="88"/>
      <c r="E745" s="88"/>
      <c r="F745" s="88"/>
      <c r="G745" s="88"/>
      <c r="H745" s="88"/>
    </row>
    <row r="746" spans="4:8" ht="15.75">
      <c r="D746" s="88"/>
      <c r="E746" s="88"/>
      <c r="F746" s="88"/>
      <c r="G746" s="88"/>
      <c r="H746" s="88"/>
    </row>
    <row r="747" spans="4:8" ht="15.75">
      <c r="D747" s="88"/>
      <c r="E747" s="88"/>
      <c r="F747" s="88"/>
      <c r="G747" s="88"/>
      <c r="H747" s="88"/>
    </row>
    <row r="748" spans="4:8" ht="15.75">
      <c r="D748" s="88"/>
      <c r="E748" s="88"/>
      <c r="F748" s="88"/>
      <c r="G748" s="88"/>
      <c r="H748" s="88"/>
    </row>
    <row r="749" spans="4:8" ht="15.75">
      <c r="D749" s="88"/>
      <c r="E749" s="88"/>
      <c r="F749" s="88"/>
      <c r="G749" s="88"/>
      <c r="H749" s="88"/>
    </row>
    <row r="750" spans="4:8" ht="15.75">
      <c r="D750" s="88"/>
      <c r="E750" s="88"/>
      <c r="F750" s="88"/>
      <c r="G750" s="88"/>
      <c r="H750" s="88"/>
    </row>
    <row r="751" spans="4:8" ht="15.75">
      <c r="D751" s="88"/>
      <c r="E751" s="88"/>
      <c r="F751" s="88"/>
      <c r="G751" s="88"/>
      <c r="H751" s="88"/>
    </row>
    <row r="752" spans="4:8" ht="15.75">
      <c r="D752" s="88"/>
      <c r="E752" s="88"/>
      <c r="F752" s="88"/>
      <c r="G752" s="88"/>
      <c r="H752" s="88"/>
    </row>
    <row r="753" spans="4:8" ht="15.75">
      <c r="D753" s="88"/>
      <c r="E753" s="88"/>
      <c r="F753" s="88"/>
      <c r="G753" s="88"/>
      <c r="H753" s="88"/>
    </row>
    <row r="754" spans="4:8" ht="15.75">
      <c r="D754" s="88"/>
      <c r="E754" s="88"/>
      <c r="F754" s="88"/>
      <c r="G754" s="88"/>
      <c r="H754" s="88"/>
    </row>
    <row r="755" spans="4:8" ht="15.75">
      <c r="D755" s="88"/>
      <c r="E755" s="88"/>
      <c r="F755" s="88"/>
      <c r="G755" s="88"/>
      <c r="H755" s="88"/>
    </row>
    <row r="756" spans="4:8" ht="15.75">
      <c r="D756" s="88"/>
      <c r="E756" s="88"/>
      <c r="F756" s="88"/>
      <c r="G756" s="88"/>
      <c r="H756" s="88"/>
    </row>
    <row r="757" spans="4:8" ht="15.75">
      <c r="D757" s="88"/>
      <c r="E757" s="88"/>
      <c r="F757" s="88"/>
      <c r="G757" s="88"/>
      <c r="H757" s="88"/>
    </row>
    <row r="758" spans="4:8" ht="15.75">
      <c r="D758" s="88"/>
      <c r="E758" s="88"/>
      <c r="F758" s="88"/>
      <c r="G758" s="88"/>
      <c r="H758" s="88"/>
    </row>
    <row r="759" spans="4:8" ht="15.75">
      <c r="D759" s="88"/>
      <c r="E759" s="88"/>
      <c r="F759" s="88"/>
      <c r="G759" s="88"/>
      <c r="H759" s="88"/>
    </row>
    <row r="760" spans="4:8" ht="15.75">
      <c r="D760" s="88"/>
      <c r="E760" s="88"/>
      <c r="F760" s="88"/>
      <c r="G760" s="88"/>
      <c r="H760" s="88"/>
    </row>
    <row r="761" spans="4:8" ht="15.75">
      <c r="D761" s="88"/>
      <c r="E761" s="88"/>
      <c r="F761" s="88"/>
      <c r="G761" s="88"/>
      <c r="H761" s="88"/>
    </row>
    <row r="762" spans="4:8" ht="15.75">
      <c r="D762" s="88"/>
      <c r="E762" s="88"/>
      <c r="F762" s="88"/>
      <c r="G762" s="88"/>
      <c r="H762" s="88"/>
    </row>
    <row r="763" spans="4:8" ht="15.75">
      <c r="D763" s="88"/>
      <c r="E763" s="88"/>
      <c r="F763" s="88"/>
      <c r="G763" s="88"/>
      <c r="H763" s="88"/>
    </row>
    <row r="764" spans="4:8" ht="15.75">
      <c r="D764" s="88"/>
      <c r="E764" s="88"/>
      <c r="F764" s="88"/>
      <c r="G764" s="88"/>
      <c r="H764" s="88"/>
    </row>
    <row r="765" spans="4:8" ht="15.75">
      <c r="D765" s="88"/>
      <c r="E765" s="88"/>
      <c r="F765" s="88"/>
      <c r="G765" s="88"/>
      <c r="H765" s="88"/>
    </row>
    <row r="766" spans="4:8" ht="15.75">
      <c r="D766" s="88"/>
      <c r="E766" s="88"/>
      <c r="F766" s="88"/>
      <c r="G766" s="88"/>
      <c r="H766" s="88"/>
    </row>
    <row r="767" spans="4:8" ht="15.75">
      <c r="D767" s="88"/>
      <c r="E767" s="88"/>
      <c r="F767" s="88"/>
      <c r="G767" s="88"/>
      <c r="H767" s="88"/>
    </row>
    <row r="768" spans="4:8" ht="15.75">
      <c r="D768" s="88"/>
      <c r="E768" s="88"/>
      <c r="F768" s="88"/>
      <c r="G768" s="88"/>
      <c r="H768" s="88"/>
    </row>
    <row r="769" spans="4:8" ht="15.75">
      <c r="D769" s="88"/>
      <c r="E769" s="88"/>
      <c r="F769" s="88"/>
      <c r="G769" s="88"/>
      <c r="H769" s="88"/>
    </row>
    <row r="770" spans="4:8" ht="15.75">
      <c r="D770" s="88"/>
      <c r="E770" s="88"/>
      <c r="F770" s="88"/>
      <c r="G770" s="88"/>
      <c r="H770" s="88"/>
    </row>
    <row r="771" spans="4:8" ht="15.75">
      <c r="D771" s="88"/>
      <c r="E771" s="88"/>
      <c r="F771" s="88"/>
      <c r="G771" s="88"/>
      <c r="H771" s="88"/>
    </row>
    <row r="772" spans="4:8" ht="15.75">
      <c r="D772" s="88"/>
      <c r="E772" s="88"/>
      <c r="F772" s="88"/>
      <c r="G772" s="88"/>
      <c r="H772" s="88"/>
    </row>
    <row r="773" spans="4:8" ht="15.75">
      <c r="D773" s="88"/>
      <c r="E773" s="88"/>
      <c r="F773" s="88"/>
      <c r="G773" s="88"/>
      <c r="H773" s="88"/>
    </row>
    <row r="774" spans="4:8" ht="15.75">
      <c r="D774" s="88"/>
      <c r="E774" s="88"/>
      <c r="F774" s="88"/>
      <c r="G774" s="88"/>
      <c r="H774" s="88"/>
    </row>
    <row r="775" spans="4:8" ht="15.75">
      <c r="D775" s="88"/>
      <c r="E775" s="88"/>
      <c r="F775" s="88"/>
      <c r="G775" s="88"/>
      <c r="H775" s="88"/>
    </row>
    <row r="776" spans="4:8" ht="15.75">
      <c r="D776" s="88"/>
      <c r="E776" s="88"/>
      <c r="F776" s="88"/>
      <c r="G776" s="88"/>
      <c r="H776" s="88"/>
    </row>
    <row r="777" spans="4:8" ht="15.75">
      <c r="D777" s="88"/>
      <c r="E777" s="88"/>
      <c r="F777" s="88"/>
      <c r="G777" s="88"/>
      <c r="H777" s="88"/>
    </row>
    <row r="778" spans="4:8" ht="15.75">
      <c r="D778" s="88"/>
      <c r="E778" s="88"/>
      <c r="F778" s="88"/>
      <c r="G778" s="88"/>
      <c r="H778" s="88"/>
    </row>
    <row r="779" spans="4:8" ht="15.75">
      <c r="D779" s="88"/>
      <c r="E779" s="88"/>
      <c r="F779" s="88"/>
      <c r="G779" s="88"/>
      <c r="H779" s="88"/>
    </row>
    <row r="780" spans="4:8" ht="15.75">
      <c r="D780" s="88"/>
      <c r="E780" s="88"/>
      <c r="F780" s="88"/>
      <c r="G780" s="88"/>
      <c r="H780" s="88"/>
    </row>
    <row r="781" spans="4:8" ht="15.75">
      <c r="D781" s="88"/>
      <c r="E781" s="88"/>
      <c r="F781" s="88"/>
      <c r="G781" s="88"/>
      <c r="H781" s="88"/>
    </row>
    <row r="782" spans="4:8" ht="15.75">
      <c r="D782" s="88"/>
      <c r="E782" s="88"/>
      <c r="F782" s="88"/>
      <c r="G782" s="88"/>
      <c r="H782" s="88"/>
    </row>
    <row r="783" spans="4:8" ht="15.75">
      <c r="D783" s="88"/>
      <c r="E783" s="88"/>
      <c r="F783" s="88"/>
      <c r="G783" s="88"/>
      <c r="H783" s="88"/>
    </row>
    <row r="784" spans="4:8" ht="15.75">
      <c r="D784" s="88"/>
      <c r="E784" s="88"/>
      <c r="F784" s="88"/>
      <c r="G784" s="88"/>
      <c r="H784" s="88"/>
    </row>
    <row r="785" spans="4:8" ht="15.75">
      <c r="D785" s="88"/>
      <c r="E785" s="88"/>
      <c r="F785" s="88"/>
      <c r="G785" s="88"/>
      <c r="H785" s="88"/>
    </row>
    <row r="786" spans="4:8" ht="15.75">
      <c r="D786" s="88"/>
      <c r="E786" s="88"/>
      <c r="F786" s="88"/>
      <c r="G786" s="88"/>
      <c r="H786" s="88"/>
    </row>
    <row r="787" spans="4:8" ht="15.75">
      <c r="D787" s="88"/>
      <c r="E787" s="88"/>
      <c r="F787" s="88"/>
      <c r="G787" s="88"/>
      <c r="H787" s="88"/>
    </row>
    <row r="788" spans="4:8" ht="15.75">
      <c r="D788" s="88"/>
      <c r="E788" s="88"/>
      <c r="F788" s="88"/>
      <c r="G788" s="88"/>
      <c r="H788" s="88"/>
    </row>
    <row r="789" spans="4:8" ht="15.75">
      <c r="D789" s="88"/>
      <c r="E789" s="88"/>
      <c r="F789" s="88"/>
      <c r="G789" s="88"/>
      <c r="H789" s="88"/>
    </row>
    <row r="790" spans="4:8" ht="15.75">
      <c r="D790" s="88"/>
      <c r="E790" s="88"/>
      <c r="F790" s="88"/>
      <c r="G790" s="88"/>
      <c r="H790" s="88"/>
    </row>
    <row r="791" spans="4:8" ht="15.75">
      <c r="D791" s="88"/>
      <c r="E791" s="88"/>
      <c r="F791" s="88"/>
      <c r="G791" s="88"/>
      <c r="H791" s="88"/>
    </row>
    <row r="792" spans="4:8" ht="15.75">
      <c r="D792" s="88"/>
      <c r="E792" s="88"/>
      <c r="F792" s="88"/>
      <c r="G792" s="88"/>
      <c r="H792" s="88"/>
    </row>
    <row r="793" spans="4:8" ht="15.75">
      <c r="D793" s="88"/>
      <c r="E793" s="88"/>
      <c r="F793" s="88"/>
      <c r="G793" s="88"/>
      <c r="H793" s="88"/>
    </row>
    <row r="794" spans="4:8" ht="15.75">
      <c r="D794" s="88"/>
      <c r="E794" s="88"/>
      <c r="F794" s="88"/>
      <c r="G794" s="88"/>
      <c r="H794" s="88"/>
    </row>
    <row r="795" spans="4:8" ht="15.75">
      <c r="D795" s="88"/>
      <c r="E795" s="88"/>
      <c r="F795" s="88"/>
      <c r="G795" s="88"/>
      <c r="H795" s="88"/>
    </row>
    <row r="796" spans="4:8" ht="15.75">
      <c r="D796" s="88"/>
      <c r="E796" s="88"/>
      <c r="F796" s="88"/>
      <c r="G796" s="88"/>
      <c r="H796" s="88"/>
    </row>
    <row r="797" spans="4:8" ht="15.75">
      <c r="D797" s="88"/>
      <c r="E797" s="88"/>
      <c r="F797" s="88"/>
      <c r="G797" s="88"/>
      <c r="H797" s="88"/>
    </row>
    <row r="798" spans="4:8" ht="15.75">
      <c r="D798" s="88"/>
      <c r="E798" s="88"/>
      <c r="F798" s="88"/>
      <c r="G798" s="88"/>
      <c r="H798" s="88"/>
    </row>
    <row r="799" spans="4:8" ht="15.75">
      <c r="D799" s="88"/>
      <c r="E799" s="88"/>
      <c r="F799" s="88"/>
      <c r="G799" s="88"/>
      <c r="H799" s="88"/>
    </row>
    <row r="800" spans="4:8" ht="15.75">
      <c r="D800" s="88"/>
      <c r="E800" s="88"/>
      <c r="F800" s="88"/>
      <c r="G800" s="88"/>
      <c r="H800" s="88"/>
    </row>
    <row r="801" spans="4:8" ht="15.75">
      <c r="D801" s="88"/>
      <c r="E801" s="88"/>
      <c r="F801" s="88"/>
      <c r="G801" s="88"/>
      <c r="H801" s="88"/>
    </row>
    <row r="802" spans="4:8" ht="15.75">
      <c r="D802" s="88"/>
      <c r="E802" s="88"/>
      <c r="F802" s="88"/>
      <c r="G802" s="88"/>
      <c r="H802" s="88"/>
    </row>
    <row r="803" spans="4:8" ht="15.75">
      <c r="D803" s="88"/>
      <c r="E803" s="88"/>
      <c r="F803" s="88"/>
      <c r="G803" s="88"/>
      <c r="H803" s="88"/>
    </row>
    <row r="804" spans="4:8" ht="15.75">
      <c r="D804" s="88"/>
      <c r="E804" s="88"/>
      <c r="F804" s="88"/>
      <c r="G804" s="88"/>
      <c r="H804" s="88"/>
    </row>
    <row r="805" spans="4:8" ht="15.75">
      <c r="D805" s="88"/>
      <c r="E805" s="88"/>
      <c r="F805" s="88"/>
      <c r="G805" s="88"/>
      <c r="H805" s="88"/>
    </row>
    <row r="806" spans="4:8" ht="15.75">
      <c r="D806" s="88"/>
      <c r="E806" s="88"/>
      <c r="F806" s="88"/>
      <c r="G806" s="88"/>
      <c r="H806" s="88"/>
    </row>
    <row r="807" spans="4:8" ht="15.75">
      <c r="D807" s="88"/>
      <c r="E807" s="88"/>
      <c r="F807" s="88"/>
      <c r="G807" s="88"/>
      <c r="H807" s="88"/>
    </row>
    <row r="808" spans="4:8" ht="15.75">
      <c r="D808" s="88"/>
      <c r="E808" s="88"/>
      <c r="F808" s="88"/>
      <c r="G808" s="88"/>
      <c r="H808" s="88"/>
    </row>
    <row r="809" spans="4:8" ht="15.75">
      <c r="D809" s="88"/>
      <c r="E809" s="88"/>
      <c r="F809" s="88"/>
      <c r="G809" s="88"/>
      <c r="H809" s="88"/>
    </row>
    <row r="810" spans="4:8" ht="15.75">
      <c r="D810" s="88"/>
      <c r="E810" s="88"/>
      <c r="F810" s="88"/>
      <c r="G810" s="88"/>
      <c r="H810" s="88"/>
    </row>
    <row r="811" spans="4:8" ht="15.75">
      <c r="D811" s="88"/>
      <c r="E811" s="88"/>
      <c r="F811" s="88"/>
      <c r="G811" s="88"/>
      <c r="H811" s="88"/>
    </row>
    <row r="812" spans="4:8" ht="15.75">
      <c r="D812" s="88"/>
      <c r="E812" s="88"/>
      <c r="F812" s="88"/>
      <c r="G812" s="88"/>
      <c r="H812" s="88"/>
    </row>
    <row r="813" spans="4:8" ht="15.75">
      <c r="D813" s="88"/>
      <c r="E813" s="88"/>
      <c r="F813" s="88"/>
      <c r="G813" s="88"/>
      <c r="H813" s="88"/>
    </row>
    <row r="814" spans="4:8" ht="15.75">
      <c r="D814" s="88"/>
      <c r="E814" s="88"/>
      <c r="F814" s="88"/>
      <c r="G814" s="88"/>
      <c r="H814" s="88"/>
    </row>
    <row r="815" spans="4:8" ht="15.75">
      <c r="D815" s="88"/>
      <c r="E815" s="88"/>
      <c r="F815" s="88"/>
      <c r="G815" s="88"/>
      <c r="H815" s="88"/>
    </row>
    <row r="816" spans="4:8" ht="15.75">
      <c r="D816" s="88"/>
      <c r="E816" s="88"/>
      <c r="F816" s="88"/>
      <c r="G816" s="88"/>
      <c r="H816" s="88"/>
    </row>
    <row r="817" spans="4:8" ht="15.75">
      <c r="D817" s="88"/>
      <c r="E817" s="88"/>
      <c r="F817" s="88"/>
      <c r="G817" s="88"/>
      <c r="H817" s="88"/>
    </row>
    <row r="818" spans="4:8" ht="15.75">
      <c r="D818" s="88"/>
      <c r="E818" s="88"/>
      <c r="F818" s="88"/>
      <c r="G818" s="88"/>
      <c r="H818" s="88"/>
    </row>
    <row r="819" spans="4:8" ht="15.75">
      <c r="D819" s="88"/>
      <c r="E819" s="88"/>
      <c r="F819" s="88"/>
      <c r="G819" s="88"/>
      <c r="H819" s="88"/>
    </row>
    <row r="820" spans="4:8" ht="15.75">
      <c r="D820" s="88"/>
      <c r="E820" s="88"/>
      <c r="F820" s="88"/>
      <c r="G820" s="88"/>
      <c r="H820" s="88"/>
    </row>
    <row r="821" spans="4:8" ht="15.75">
      <c r="D821" s="88"/>
      <c r="E821" s="88"/>
      <c r="F821" s="88"/>
      <c r="G821" s="88"/>
      <c r="H821" s="88"/>
    </row>
    <row r="822" spans="4:8" ht="15.75">
      <c r="D822" s="88"/>
      <c r="E822" s="88"/>
      <c r="F822" s="88"/>
      <c r="G822" s="88"/>
      <c r="H822" s="88"/>
    </row>
    <row r="823" spans="4:8" ht="15.75">
      <c r="D823" s="88"/>
      <c r="E823" s="88"/>
      <c r="F823" s="88"/>
      <c r="G823" s="88"/>
      <c r="H823" s="88"/>
    </row>
    <row r="824" spans="4:8" ht="15.75">
      <c r="D824" s="88"/>
      <c r="E824" s="88"/>
      <c r="F824" s="88"/>
      <c r="G824" s="88"/>
      <c r="H824" s="88"/>
    </row>
    <row r="825" spans="4:8" ht="15.75">
      <c r="D825" s="88"/>
      <c r="E825" s="88"/>
      <c r="F825" s="88"/>
      <c r="G825" s="88"/>
      <c r="H825" s="88"/>
    </row>
    <row r="826" spans="4:8" ht="15.75">
      <c r="D826" s="88"/>
      <c r="E826" s="88"/>
      <c r="F826" s="88"/>
      <c r="G826" s="88"/>
      <c r="H826" s="88"/>
    </row>
    <row r="827" spans="4:8" ht="15.75">
      <c r="D827" s="88"/>
      <c r="E827" s="88"/>
      <c r="F827" s="88"/>
      <c r="G827" s="88"/>
      <c r="H827" s="88"/>
    </row>
    <row r="828" spans="4:8" ht="15.75">
      <c r="D828" s="88"/>
      <c r="E828" s="88"/>
      <c r="F828" s="88"/>
      <c r="G828" s="88"/>
      <c r="H828" s="88"/>
    </row>
    <row r="829" spans="4:8" ht="15.75">
      <c r="D829" s="88"/>
      <c r="E829" s="88"/>
      <c r="F829" s="88"/>
      <c r="G829" s="88"/>
      <c r="H829" s="88"/>
    </row>
    <row r="830" spans="4:8" ht="15.75">
      <c r="D830" s="88"/>
      <c r="E830" s="88"/>
      <c r="F830" s="88"/>
      <c r="G830" s="88"/>
      <c r="H830" s="88"/>
    </row>
    <row r="831" spans="4:8" ht="15.75">
      <c r="D831" s="88"/>
      <c r="E831" s="88"/>
      <c r="F831" s="88"/>
      <c r="G831" s="88"/>
      <c r="H831" s="88"/>
    </row>
    <row r="832" spans="4:8" ht="15.75">
      <c r="D832" s="88"/>
      <c r="E832" s="88"/>
      <c r="F832" s="88"/>
      <c r="G832" s="88"/>
      <c r="H832" s="88"/>
    </row>
    <row r="833" spans="4:8" ht="15.75">
      <c r="D833" s="88"/>
      <c r="E833" s="88"/>
      <c r="F833" s="88"/>
      <c r="G833" s="88"/>
      <c r="H833" s="88"/>
    </row>
    <row r="834" spans="4:8" ht="15.75">
      <c r="D834" s="88"/>
      <c r="E834" s="88"/>
      <c r="F834" s="88"/>
      <c r="G834" s="88"/>
      <c r="H834" s="88"/>
    </row>
    <row r="835" spans="4:8" ht="15.75">
      <c r="D835" s="88"/>
      <c r="E835" s="88"/>
      <c r="F835" s="88"/>
      <c r="G835" s="88"/>
      <c r="H835" s="88"/>
    </row>
    <row r="836" spans="4:8" ht="15.75">
      <c r="D836" s="88"/>
      <c r="E836" s="88"/>
      <c r="F836" s="88"/>
      <c r="G836" s="88"/>
      <c r="H836" s="88"/>
    </row>
    <row r="837" spans="4:8" ht="15.75">
      <c r="D837" s="88"/>
      <c r="E837" s="88"/>
      <c r="F837" s="88"/>
      <c r="G837" s="88"/>
      <c r="H837" s="88"/>
    </row>
    <row r="838" spans="4:8" ht="15.75">
      <c r="D838" s="88"/>
      <c r="E838" s="88"/>
      <c r="F838" s="88"/>
      <c r="G838" s="88"/>
      <c r="H838" s="88"/>
    </row>
    <row r="839" spans="4:8" ht="15.75">
      <c r="D839" s="88"/>
      <c r="E839" s="88"/>
      <c r="F839" s="88"/>
      <c r="G839" s="88"/>
      <c r="H839" s="88"/>
    </row>
    <row r="840" spans="4:8" ht="15.75">
      <c r="D840" s="88"/>
      <c r="E840" s="88"/>
      <c r="F840" s="88"/>
      <c r="G840" s="88"/>
      <c r="H840" s="88"/>
    </row>
    <row r="841" spans="4:8" ht="15.75">
      <c r="D841" s="88"/>
      <c r="E841" s="88"/>
      <c r="F841" s="88"/>
      <c r="G841" s="88"/>
      <c r="H841" s="88"/>
    </row>
    <row r="842" spans="4:8" ht="15.75">
      <c r="D842" s="88"/>
      <c r="E842" s="88"/>
      <c r="F842" s="88"/>
      <c r="G842" s="88"/>
      <c r="H842" s="88"/>
    </row>
    <row r="843" spans="4:8" ht="15.75">
      <c r="D843" s="88"/>
      <c r="E843" s="88"/>
      <c r="F843" s="88"/>
      <c r="G843" s="88"/>
      <c r="H843" s="88"/>
    </row>
    <row r="844" spans="4:8" ht="15.75">
      <c r="D844" s="88"/>
      <c r="E844" s="88"/>
      <c r="F844" s="88"/>
      <c r="G844" s="88"/>
      <c r="H844" s="88"/>
    </row>
    <row r="845" spans="4:8" ht="15.75">
      <c r="D845" s="88"/>
      <c r="E845" s="88"/>
      <c r="F845" s="88"/>
      <c r="G845" s="88"/>
      <c r="H845" s="88"/>
    </row>
    <row r="846" spans="4:8" ht="15.75">
      <c r="D846" s="88"/>
      <c r="E846" s="88"/>
      <c r="F846" s="88"/>
      <c r="G846" s="88"/>
      <c r="H846" s="88"/>
    </row>
    <row r="847" spans="4:8" ht="15.75">
      <c r="D847" s="88"/>
      <c r="E847" s="88"/>
      <c r="F847" s="88"/>
      <c r="G847" s="88"/>
      <c r="H847" s="88"/>
    </row>
    <row r="848" spans="4:8" ht="15.75">
      <c r="D848" s="88"/>
      <c r="E848" s="88"/>
      <c r="F848" s="88"/>
      <c r="G848" s="88"/>
      <c r="H848" s="88"/>
    </row>
    <row r="849" spans="4:8" ht="15.75">
      <c r="D849" s="88"/>
      <c r="E849" s="88"/>
      <c r="F849" s="88"/>
      <c r="G849" s="88"/>
      <c r="H849" s="88"/>
    </row>
    <row r="850" spans="4:8" ht="15.75">
      <c r="D850" s="88"/>
      <c r="E850" s="88"/>
      <c r="F850" s="88"/>
      <c r="G850" s="88"/>
      <c r="H850" s="88"/>
    </row>
    <row r="851" spans="4:8" ht="15.75">
      <c r="D851" s="88"/>
      <c r="E851" s="88"/>
      <c r="F851" s="88"/>
      <c r="G851" s="88"/>
      <c r="H851" s="88"/>
    </row>
    <row r="852" spans="4:8" ht="15.75">
      <c r="D852" s="88"/>
      <c r="E852" s="88"/>
      <c r="F852" s="88"/>
      <c r="G852" s="88"/>
      <c r="H852" s="88"/>
    </row>
    <row r="853" spans="4:8" ht="15.75">
      <c r="D853" s="88"/>
      <c r="E853" s="88"/>
      <c r="F853" s="88"/>
      <c r="G853" s="88"/>
      <c r="H853" s="88"/>
    </row>
    <row r="854" spans="4:8" ht="15.75">
      <c r="D854" s="88"/>
      <c r="E854" s="88"/>
      <c r="F854" s="88"/>
      <c r="G854" s="88"/>
      <c r="H854" s="88"/>
    </row>
    <row r="855" spans="4:8" ht="15.75">
      <c r="D855" s="88"/>
      <c r="E855" s="88"/>
      <c r="F855" s="88"/>
      <c r="G855" s="88"/>
      <c r="H855" s="88"/>
    </row>
    <row r="856" spans="4:8" ht="15.75">
      <c r="D856" s="88"/>
      <c r="E856" s="88"/>
      <c r="F856" s="88"/>
      <c r="G856" s="88"/>
      <c r="H856" s="88"/>
    </row>
    <row r="857" spans="4:8" ht="15.75">
      <c r="D857" s="88"/>
      <c r="E857" s="88"/>
      <c r="F857" s="88"/>
      <c r="G857" s="88"/>
      <c r="H857" s="88"/>
    </row>
    <row r="858" spans="4:8" ht="15.75">
      <c r="D858" s="88"/>
      <c r="E858" s="88"/>
      <c r="F858" s="88"/>
      <c r="G858" s="88"/>
      <c r="H858" s="88"/>
    </row>
    <row r="859" spans="4:8" ht="15.75">
      <c r="D859" s="88"/>
      <c r="E859" s="88"/>
      <c r="F859" s="88"/>
      <c r="G859" s="88"/>
      <c r="H859" s="88"/>
    </row>
    <row r="860" spans="4:8" ht="15.75">
      <c r="D860" s="88"/>
      <c r="E860" s="88"/>
      <c r="F860" s="88"/>
      <c r="G860" s="88"/>
      <c r="H860" s="88"/>
    </row>
    <row r="861" spans="4:8" ht="15.75">
      <c r="D861" s="88"/>
      <c r="E861" s="88"/>
      <c r="F861" s="88"/>
      <c r="G861" s="88"/>
      <c r="H861" s="88"/>
    </row>
    <row r="862" spans="4:8" ht="15.75">
      <c r="D862" s="88"/>
      <c r="E862" s="88"/>
      <c r="F862" s="88"/>
      <c r="G862" s="88"/>
      <c r="H862" s="88"/>
    </row>
    <row r="863" spans="4:8" ht="15.75">
      <c r="D863" s="88"/>
      <c r="E863" s="88"/>
      <c r="F863" s="88"/>
      <c r="G863" s="88"/>
      <c r="H863" s="88"/>
    </row>
    <row r="864" spans="4:8" ht="15.75">
      <c r="D864" s="88"/>
      <c r="E864" s="88"/>
      <c r="F864" s="88"/>
      <c r="G864" s="88"/>
      <c r="H864" s="88"/>
    </row>
    <row r="865" spans="4:8" ht="15.75">
      <c r="D865" s="88"/>
      <c r="E865" s="88"/>
      <c r="F865" s="88"/>
      <c r="G865" s="88"/>
      <c r="H865" s="88"/>
    </row>
    <row r="866" spans="4:8" ht="15.75">
      <c r="D866" s="88"/>
      <c r="E866" s="88"/>
      <c r="F866" s="88"/>
      <c r="G866" s="88"/>
      <c r="H866" s="88"/>
    </row>
    <row r="867" spans="4:8" ht="15.75">
      <c r="D867" s="88"/>
      <c r="E867" s="88"/>
      <c r="F867" s="88"/>
      <c r="G867" s="88"/>
      <c r="H867" s="88"/>
    </row>
    <row r="868" spans="4:8" ht="15.75">
      <c r="D868" s="88"/>
      <c r="E868" s="88"/>
      <c r="F868" s="88"/>
      <c r="G868" s="88"/>
      <c r="H868" s="88"/>
    </row>
    <row r="869" spans="4:8" ht="15.75">
      <c r="D869" s="88"/>
      <c r="E869" s="88"/>
      <c r="F869" s="88"/>
      <c r="G869" s="88"/>
      <c r="H869" s="88"/>
    </row>
    <row r="870" spans="4:8" ht="15.75">
      <c r="D870" s="88"/>
      <c r="E870" s="88"/>
      <c r="F870" s="88"/>
      <c r="G870" s="88"/>
      <c r="H870" s="88"/>
    </row>
    <row r="871" spans="4:8" ht="15.75">
      <c r="D871" s="88"/>
      <c r="E871" s="88"/>
      <c r="F871" s="88"/>
      <c r="G871" s="88"/>
      <c r="H871" s="88"/>
    </row>
    <row r="872" spans="4:8" ht="15.75">
      <c r="D872" s="88"/>
      <c r="E872" s="88"/>
      <c r="F872" s="88"/>
      <c r="G872" s="88"/>
      <c r="H872" s="88"/>
    </row>
    <row r="873" spans="4:8" ht="15.75">
      <c r="D873" s="88"/>
      <c r="E873" s="88"/>
      <c r="F873" s="88"/>
      <c r="G873" s="88"/>
      <c r="H873" s="88"/>
    </row>
    <row r="874" spans="4:8" ht="15.75">
      <c r="D874" s="88"/>
      <c r="E874" s="88"/>
      <c r="F874" s="88"/>
      <c r="G874" s="88"/>
      <c r="H874" s="88"/>
    </row>
    <row r="875" spans="4:8" ht="15.75">
      <c r="D875" s="88"/>
      <c r="E875" s="88"/>
      <c r="F875" s="88"/>
      <c r="G875" s="88"/>
      <c r="H875" s="88"/>
    </row>
    <row r="876" spans="4:8" ht="15.75">
      <c r="D876" s="88"/>
      <c r="E876" s="88"/>
      <c r="F876" s="88"/>
      <c r="G876" s="88"/>
      <c r="H876" s="88"/>
    </row>
    <row r="877" spans="4:8" ht="15.75">
      <c r="D877" s="88"/>
      <c r="E877" s="88"/>
      <c r="F877" s="88"/>
      <c r="G877" s="88"/>
      <c r="H877" s="88"/>
    </row>
    <row r="878" spans="4:8" ht="15.75">
      <c r="D878" s="88"/>
      <c r="E878" s="88"/>
      <c r="F878" s="88"/>
      <c r="G878" s="88"/>
      <c r="H878" s="88"/>
    </row>
    <row r="879" spans="4:8" ht="15.75">
      <c r="D879" s="88"/>
      <c r="E879" s="88"/>
      <c r="F879" s="88"/>
      <c r="G879" s="88"/>
      <c r="H879" s="88"/>
    </row>
    <row r="880" spans="4:8" ht="15.75">
      <c r="D880" s="88"/>
      <c r="E880" s="88"/>
      <c r="F880" s="88"/>
      <c r="G880" s="88"/>
      <c r="H880" s="88"/>
    </row>
    <row r="881" spans="4:8" ht="15.75">
      <c r="D881" s="88"/>
      <c r="E881" s="88"/>
      <c r="F881" s="88"/>
      <c r="G881" s="88"/>
      <c r="H881" s="88"/>
    </row>
    <row r="882" spans="4:8" ht="15.75">
      <c r="D882" s="88"/>
      <c r="E882" s="88"/>
      <c r="F882" s="88"/>
      <c r="G882" s="88"/>
      <c r="H882" s="88"/>
    </row>
    <row r="883" spans="4:8" ht="15.75">
      <c r="D883" s="88"/>
      <c r="E883" s="88"/>
      <c r="F883" s="88"/>
      <c r="G883" s="88"/>
      <c r="H883" s="88"/>
    </row>
    <row r="884" spans="4:8" ht="15.75">
      <c r="D884" s="88"/>
      <c r="E884" s="88"/>
      <c r="F884" s="88"/>
      <c r="G884" s="88"/>
      <c r="H884" s="88"/>
    </row>
    <row r="885" spans="4:8" ht="15.75">
      <c r="D885" s="88"/>
      <c r="E885" s="88"/>
      <c r="F885" s="88"/>
      <c r="G885" s="88"/>
      <c r="H885" s="88"/>
    </row>
    <row r="886" spans="4:8" ht="15.75">
      <c r="D886" s="88"/>
      <c r="E886" s="88"/>
      <c r="F886" s="88"/>
      <c r="G886" s="88"/>
      <c r="H886" s="88"/>
    </row>
    <row r="887" spans="4:8" ht="15.75">
      <c r="D887" s="88"/>
      <c r="E887" s="88"/>
      <c r="F887" s="88"/>
      <c r="G887" s="88"/>
      <c r="H887" s="88"/>
    </row>
    <row r="888" spans="4:8" ht="15.75">
      <c r="D888" s="88"/>
      <c r="E888" s="88"/>
      <c r="F888" s="88"/>
      <c r="G888" s="88"/>
      <c r="H888" s="88"/>
    </row>
    <row r="889" spans="4:8" ht="15.75">
      <c r="D889" s="88"/>
      <c r="E889" s="88"/>
      <c r="F889" s="88"/>
      <c r="G889" s="88"/>
      <c r="H889" s="88"/>
    </row>
    <row r="890" spans="4:8" ht="15.75">
      <c r="D890" s="88"/>
      <c r="E890" s="88"/>
      <c r="F890" s="88"/>
      <c r="G890" s="88"/>
      <c r="H890" s="88"/>
    </row>
    <row r="891" spans="4:8" ht="15.75">
      <c r="D891" s="88"/>
      <c r="E891" s="88"/>
      <c r="F891" s="88"/>
      <c r="G891" s="88"/>
      <c r="H891" s="88"/>
    </row>
    <row r="892" spans="4:8" ht="15.75">
      <c r="D892" s="88"/>
      <c r="E892" s="88"/>
      <c r="F892" s="88"/>
      <c r="G892" s="88"/>
      <c r="H892" s="88"/>
    </row>
    <row r="893" spans="4:8" ht="15.75">
      <c r="D893" s="88"/>
      <c r="E893" s="88"/>
      <c r="F893" s="88"/>
      <c r="G893" s="88"/>
      <c r="H893" s="88"/>
    </row>
    <row r="894" spans="4:8" ht="15.75">
      <c r="D894" s="88"/>
      <c r="E894" s="88"/>
      <c r="F894" s="88"/>
      <c r="G894" s="88"/>
      <c r="H894" s="88"/>
    </row>
    <row r="895" spans="4:8" ht="15.75">
      <c r="D895" s="88"/>
      <c r="E895" s="88"/>
      <c r="F895" s="88"/>
      <c r="G895" s="88"/>
      <c r="H895" s="88"/>
    </row>
    <row r="896" spans="4:8" ht="15.75">
      <c r="D896" s="88"/>
      <c r="E896" s="88"/>
      <c r="F896" s="88"/>
      <c r="G896" s="88"/>
      <c r="H896" s="88"/>
    </row>
    <row r="897" spans="4:8" ht="15.75">
      <c r="D897" s="88"/>
      <c r="E897" s="88"/>
      <c r="F897" s="88"/>
      <c r="G897" s="88"/>
      <c r="H897" s="88"/>
    </row>
    <row r="898" spans="4:8" ht="15.75">
      <c r="D898" s="88"/>
      <c r="E898" s="88"/>
      <c r="F898" s="88"/>
      <c r="G898" s="88"/>
      <c r="H898" s="88"/>
    </row>
    <row r="899" spans="4:8" ht="15.75">
      <c r="D899" s="88"/>
      <c r="E899" s="88"/>
      <c r="F899" s="88"/>
      <c r="G899" s="88"/>
      <c r="H899" s="88"/>
    </row>
    <row r="900" spans="4:8" ht="15.75">
      <c r="D900" s="88"/>
      <c r="E900" s="88"/>
      <c r="F900" s="88"/>
      <c r="G900" s="88"/>
      <c r="H900" s="88"/>
    </row>
    <row r="901" spans="4:8" ht="15.75">
      <c r="D901" s="88"/>
      <c r="E901" s="88"/>
      <c r="F901" s="88"/>
      <c r="G901" s="88"/>
      <c r="H901" s="88"/>
    </row>
    <row r="902" spans="4:8" ht="15.75">
      <c r="D902" s="88"/>
      <c r="E902" s="88"/>
      <c r="F902" s="88"/>
      <c r="G902" s="88"/>
      <c r="H902" s="88"/>
    </row>
    <row r="903" spans="4:8" ht="15.75">
      <c r="D903" s="88"/>
      <c r="E903" s="88"/>
      <c r="F903" s="88"/>
      <c r="G903" s="88"/>
      <c r="H903" s="88"/>
    </row>
    <row r="904" spans="4:8" ht="15.75">
      <c r="D904" s="88"/>
      <c r="E904" s="88"/>
      <c r="F904" s="88"/>
      <c r="G904" s="88"/>
      <c r="H904" s="88"/>
    </row>
    <row r="905" spans="4:8" ht="15.75">
      <c r="D905" s="88"/>
      <c r="E905" s="88"/>
      <c r="F905" s="88"/>
      <c r="G905" s="88"/>
      <c r="H905" s="88"/>
    </row>
    <row r="906" spans="4:8" ht="15.75">
      <c r="D906" s="88"/>
      <c r="E906" s="88"/>
      <c r="F906" s="88"/>
      <c r="G906" s="88"/>
      <c r="H906" s="88"/>
    </row>
    <row r="907" spans="4:8" ht="15.75">
      <c r="D907" s="88"/>
      <c r="E907" s="88"/>
      <c r="F907" s="88"/>
      <c r="G907" s="88"/>
      <c r="H907" s="88"/>
    </row>
    <row r="908" spans="4:8" ht="15.75">
      <c r="D908" s="88"/>
      <c r="E908" s="88"/>
      <c r="F908" s="88"/>
      <c r="G908" s="88"/>
      <c r="H908" s="88"/>
    </row>
    <row r="909" spans="4:8" ht="15.75">
      <c r="D909" s="88"/>
      <c r="E909" s="88"/>
      <c r="F909" s="88"/>
      <c r="G909" s="88"/>
      <c r="H909" s="88"/>
    </row>
    <row r="910" spans="4:8" ht="15.75">
      <c r="D910" s="88"/>
      <c r="E910" s="88"/>
      <c r="F910" s="88"/>
      <c r="G910" s="88"/>
      <c r="H910" s="88"/>
    </row>
    <row r="911" spans="4:8" ht="15.75">
      <c r="D911" s="88"/>
      <c r="E911" s="88"/>
      <c r="F911" s="88"/>
      <c r="G911" s="88"/>
      <c r="H911" s="88"/>
    </row>
    <row r="912" spans="4:8" ht="15.75">
      <c r="D912" s="88"/>
      <c r="E912" s="88"/>
      <c r="F912" s="88"/>
      <c r="G912" s="88"/>
      <c r="H912" s="88"/>
    </row>
    <row r="913" spans="4:8" ht="15.75">
      <c r="D913" s="88"/>
      <c r="E913" s="88"/>
      <c r="F913" s="88"/>
      <c r="G913" s="88"/>
      <c r="H913" s="88"/>
    </row>
    <row r="914" spans="4:8" ht="15.75">
      <c r="D914" s="88"/>
      <c r="E914" s="88"/>
      <c r="F914" s="88"/>
      <c r="G914" s="88"/>
      <c r="H914" s="88"/>
    </row>
    <row r="915" spans="4:8" ht="15.75">
      <c r="D915" s="88"/>
      <c r="E915" s="88"/>
      <c r="F915" s="88"/>
      <c r="G915" s="88"/>
      <c r="H915" s="88"/>
    </row>
    <row r="916" spans="4:8" ht="15.75">
      <c r="D916" s="88"/>
      <c r="E916" s="88"/>
      <c r="F916" s="88"/>
      <c r="G916" s="88"/>
      <c r="H916" s="88"/>
    </row>
    <row r="917" spans="4:8" ht="15.75">
      <c r="D917" s="88"/>
      <c r="E917" s="88"/>
      <c r="F917" s="88"/>
      <c r="G917" s="88"/>
      <c r="H917" s="88"/>
    </row>
    <row r="918" spans="4:8" ht="15.75">
      <c r="D918" s="88"/>
      <c r="E918" s="88"/>
      <c r="F918" s="88"/>
      <c r="G918" s="88"/>
      <c r="H918" s="88"/>
    </row>
    <row r="919" spans="4:8" ht="15.75">
      <c r="D919" s="88"/>
      <c r="E919" s="88"/>
      <c r="F919" s="88"/>
      <c r="G919" s="88"/>
      <c r="H919" s="88"/>
    </row>
    <row r="920" spans="4:8" ht="15.75">
      <c r="D920" s="88"/>
      <c r="E920" s="88"/>
      <c r="F920" s="88"/>
      <c r="G920" s="88"/>
      <c r="H920" s="88"/>
    </row>
    <row r="921" spans="4:8" ht="15.75">
      <c r="D921" s="88"/>
      <c r="E921" s="88"/>
      <c r="F921" s="88"/>
      <c r="G921" s="88"/>
      <c r="H921" s="88"/>
    </row>
    <row r="922" spans="4:8" ht="15.75">
      <c r="D922" s="88"/>
      <c r="E922" s="88"/>
      <c r="F922" s="88"/>
      <c r="G922" s="88"/>
      <c r="H922" s="88"/>
    </row>
    <row r="923" spans="4:8" ht="15.75">
      <c r="D923" s="88"/>
      <c r="E923" s="88"/>
      <c r="F923" s="88"/>
      <c r="G923" s="88"/>
      <c r="H923" s="88"/>
    </row>
    <row r="924" spans="4:8" ht="15.75">
      <c r="D924" s="88"/>
      <c r="E924" s="88"/>
      <c r="F924" s="88"/>
      <c r="G924" s="88"/>
      <c r="H924" s="88"/>
    </row>
    <row r="925" spans="4:8" ht="15.75">
      <c r="D925" s="88"/>
      <c r="E925" s="88"/>
      <c r="F925" s="88"/>
      <c r="G925" s="88"/>
      <c r="H925" s="88"/>
    </row>
    <row r="926" spans="4:8" ht="15.75">
      <c r="D926" s="88"/>
      <c r="E926" s="88"/>
      <c r="F926" s="88"/>
      <c r="G926" s="88"/>
      <c r="H926" s="88"/>
    </row>
    <row r="927" spans="4:8" ht="15.75">
      <c r="D927" s="88"/>
      <c r="E927" s="88"/>
      <c r="F927" s="88"/>
      <c r="G927" s="88"/>
      <c r="H927" s="88"/>
    </row>
    <row r="928" spans="4:8" ht="15.75">
      <c r="D928" s="88"/>
      <c r="E928" s="88"/>
      <c r="F928" s="88"/>
      <c r="G928" s="88"/>
      <c r="H928" s="88"/>
    </row>
    <row r="929" spans="4:8" ht="15.75">
      <c r="D929" s="88"/>
      <c r="E929" s="88"/>
      <c r="F929" s="88"/>
      <c r="G929" s="88"/>
      <c r="H929" s="88"/>
    </row>
    <row r="930" spans="4:8" ht="15.75">
      <c r="D930" s="88"/>
      <c r="E930" s="88"/>
      <c r="F930" s="88"/>
      <c r="G930" s="88"/>
      <c r="H930" s="88"/>
    </row>
    <row r="931" spans="4:8" ht="15.75">
      <c r="D931" s="88"/>
      <c r="E931" s="88"/>
      <c r="F931" s="88"/>
      <c r="G931" s="88"/>
      <c r="H931" s="88"/>
    </row>
    <row r="932" spans="4:8" ht="15.75">
      <c r="D932" s="88"/>
      <c r="E932" s="88"/>
      <c r="F932" s="88"/>
      <c r="G932" s="88"/>
      <c r="H932" s="88"/>
    </row>
    <row r="933" spans="4:8" ht="15.75">
      <c r="D933" s="88"/>
      <c r="E933" s="88"/>
      <c r="F933" s="88"/>
      <c r="G933" s="88"/>
      <c r="H933" s="88"/>
    </row>
    <row r="934" spans="4:8" ht="15.75">
      <c r="D934" s="88"/>
      <c r="E934" s="88"/>
      <c r="F934" s="88"/>
      <c r="G934" s="88"/>
      <c r="H934" s="88"/>
    </row>
    <row r="935" spans="4:8" ht="15.75">
      <c r="D935" s="88"/>
      <c r="E935" s="88"/>
      <c r="F935" s="88"/>
      <c r="G935" s="88"/>
      <c r="H935" s="88"/>
    </row>
    <row r="936" spans="4:8" ht="15.75">
      <c r="D936" s="88"/>
      <c r="E936" s="88"/>
      <c r="F936" s="88"/>
      <c r="G936" s="88"/>
      <c r="H936" s="88"/>
    </row>
    <row r="937" spans="4:8" ht="15.75">
      <c r="D937" s="88"/>
      <c r="E937" s="88"/>
      <c r="F937" s="88"/>
      <c r="G937" s="88"/>
      <c r="H937" s="88"/>
    </row>
    <row r="938" spans="4:8" ht="15.75">
      <c r="D938" s="88"/>
      <c r="E938" s="88"/>
      <c r="F938" s="88"/>
      <c r="G938" s="88"/>
      <c r="H938" s="88"/>
    </row>
    <row r="939" spans="4:8" ht="15.75">
      <c r="D939" s="88"/>
      <c r="E939" s="88"/>
      <c r="F939" s="88"/>
      <c r="G939" s="88"/>
      <c r="H939" s="88"/>
    </row>
    <row r="940" spans="4:8" ht="15.75">
      <c r="D940" s="88"/>
      <c r="E940" s="88"/>
      <c r="F940" s="88"/>
      <c r="G940" s="88"/>
      <c r="H940" s="88"/>
    </row>
    <row r="941" spans="4:8" ht="15.75">
      <c r="D941" s="88"/>
      <c r="E941" s="88"/>
      <c r="F941" s="88"/>
      <c r="G941" s="88"/>
      <c r="H941" s="88"/>
    </row>
    <row r="942" spans="4:8" ht="15.75">
      <c r="D942" s="88"/>
      <c r="E942" s="88"/>
      <c r="F942" s="88"/>
      <c r="G942" s="88"/>
      <c r="H942" s="88"/>
    </row>
    <row r="943" spans="4:8" ht="15.75">
      <c r="D943" s="88"/>
      <c r="E943" s="88"/>
      <c r="F943" s="88"/>
      <c r="G943" s="88"/>
      <c r="H943" s="88"/>
    </row>
    <row r="944" spans="4:8" ht="15.75">
      <c r="D944" s="88"/>
      <c r="E944" s="88"/>
      <c r="F944" s="88"/>
      <c r="G944" s="88"/>
      <c r="H944" s="88"/>
    </row>
    <row r="945" spans="4:8" ht="15.75">
      <c r="D945" s="88"/>
      <c r="E945" s="88"/>
      <c r="F945" s="88"/>
      <c r="G945" s="88"/>
      <c r="H945" s="88"/>
    </row>
    <row r="946" spans="4:8" ht="15.75">
      <c r="D946" s="88"/>
      <c r="E946" s="88"/>
      <c r="F946" s="88"/>
      <c r="G946" s="88"/>
      <c r="H946" s="88"/>
    </row>
    <row r="947" spans="4:8" ht="15.75">
      <c r="D947" s="88"/>
      <c r="E947" s="88"/>
      <c r="F947" s="88"/>
      <c r="G947" s="88"/>
      <c r="H947" s="88"/>
    </row>
    <row r="948" spans="4:8" ht="15.75">
      <c r="D948" s="88"/>
      <c r="E948" s="88"/>
      <c r="F948" s="88"/>
      <c r="G948" s="88"/>
      <c r="H948" s="88"/>
    </row>
    <row r="949" spans="4:8" ht="15.75">
      <c r="D949" s="88"/>
      <c r="E949" s="88"/>
      <c r="F949" s="88"/>
      <c r="G949" s="88"/>
      <c r="H949" s="88"/>
    </row>
    <row r="950" spans="4:8" ht="15.75">
      <c r="D950" s="88"/>
      <c r="E950" s="88"/>
      <c r="F950" s="88"/>
      <c r="G950" s="88"/>
      <c r="H950" s="88"/>
    </row>
    <row r="951" spans="4:8" ht="15.75">
      <c r="D951" s="88"/>
      <c r="E951" s="88"/>
      <c r="F951" s="88"/>
      <c r="G951" s="88"/>
      <c r="H951" s="88"/>
    </row>
    <row r="952" spans="4:8" ht="15.75">
      <c r="D952" s="88"/>
      <c r="E952" s="88"/>
      <c r="F952" s="88"/>
      <c r="G952" s="88"/>
      <c r="H952" s="88"/>
    </row>
    <row r="953" spans="4:8" ht="15.75">
      <c r="D953" s="88"/>
      <c r="E953" s="88"/>
      <c r="F953" s="88"/>
      <c r="G953" s="88"/>
      <c r="H953" s="88"/>
    </row>
    <row r="954" spans="4:8" ht="15.75">
      <c r="D954" s="88"/>
      <c r="E954" s="88"/>
      <c r="F954" s="88"/>
      <c r="G954" s="88"/>
      <c r="H954" s="88"/>
    </row>
    <row r="955" spans="4:8" ht="15.75">
      <c r="D955" s="88"/>
      <c r="E955" s="88"/>
      <c r="F955" s="88"/>
      <c r="G955" s="88"/>
      <c r="H955" s="88"/>
    </row>
    <row r="956" spans="4:8" ht="15.75">
      <c r="D956" s="88"/>
      <c r="E956" s="88"/>
      <c r="F956" s="88"/>
      <c r="G956" s="88"/>
      <c r="H956" s="88"/>
    </row>
    <row r="957" spans="4:8" ht="15.75">
      <c r="D957" s="88"/>
      <c r="E957" s="88"/>
      <c r="F957" s="88"/>
      <c r="G957" s="88"/>
      <c r="H957" s="88"/>
    </row>
    <row r="958" spans="4:8" ht="15.75">
      <c r="D958" s="88"/>
      <c r="E958" s="88"/>
      <c r="F958" s="88"/>
      <c r="G958" s="88"/>
      <c r="H958" s="88"/>
    </row>
    <row r="959" spans="4:8" ht="15.75">
      <c r="D959" s="88"/>
      <c r="E959" s="88"/>
      <c r="F959" s="88"/>
      <c r="G959" s="88"/>
      <c r="H959" s="88"/>
    </row>
  </sheetData>
  <mergeCells count="33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32:G132"/>
    <mergeCell ref="D133:G133"/>
    <mergeCell ref="D30:H30"/>
    <mergeCell ref="D127:G127"/>
    <mergeCell ref="I127:R127"/>
    <mergeCell ref="D128:G128"/>
    <mergeCell ref="D129:G129"/>
    <mergeCell ref="D130:G130"/>
    <mergeCell ref="D131:G131"/>
  </mergeCells>
  <printOptions gridLines="1"/>
  <pageMargins left="0.31496062992125984" right="0.31496062992125984" top="0" bottom="0.74803149606299213" header="0" footer="0"/>
  <pageSetup paperSize="5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Hoja3!$O$3:$O$7</xm:f>
          </x14:formula1>
          <xm:sqref>D127</xm:sqref>
        </x14:dataValidation>
        <x14:dataValidation type="list" allowBlank="1" showErrorMessage="1">
          <x14:formula1>
            <xm:f>Hoja3!$P$3:$P$6</xm:f>
          </x14:formula1>
          <xm:sqref>D128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Hoja3!$R$4:$R$99</xm:f>
          </x14:formula1>
          <xm:sqref>B53 B55 B58</xm:sqref>
        </x14:dataValidation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Hoja3!$R$3:$R$99</xm:f>
          </x14:formula1>
          <xm:sqref>B35 D129</xm:sqref>
        </x14:dataValidation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Hoja3!$Q$3:$Q$5</xm:f>
          </x14:formula1>
          <xm:sqref>D131</xm:sqref>
        </x14:dataValidation>
        <x14:dataValidation type="list" allowBlank="1" showErrorMessage="1">
          <x14:formula1>
            <xm:f>Hoja3!$E$3:$E$6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33"/>
  <sheetViews>
    <sheetView workbookViewId="0"/>
  </sheetViews>
  <sheetFormatPr baseColWidth="10" defaultColWidth="14.42578125" defaultRowHeight="15" customHeight="1"/>
  <cols>
    <col min="2" max="2" width="20.85546875" customWidth="1"/>
    <col min="3" max="3" width="71.140625" customWidth="1"/>
  </cols>
  <sheetData>
    <row r="1" spans="1:9">
      <c r="G1" s="93" t="s">
        <v>41</v>
      </c>
      <c r="H1" s="93">
        <v>9</v>
      </c>
    </row>
    <row r="3" spans="1:9">
      <c r="A3" s="94" t="str">
        <f ca="1">IFERROR(__xludf.DUMMYFUNCTION("QUERY(MIR!A32:AF60,""select A,C,D,O, M,AE where A='FIN' OR A='FIN/PROPÓSITO'"",1)"),"")</f>
        <v/>
      </c>
      <c r="B3" s="94" t="str">
        <f ca="1">IFERROR(__xludf.DUMMYFUNCTION("""COMPUTED_VALUE"""),"RESUMEN NARRATIVO")</f>
        <v>RESUMEN NARRATIVO</v>
      </c>
      <c r="C3" s="94" t="str">
        <f ca="1">IFERROR(__xludf.DUMMYFUNCTION("""COMPUTED_VALUE"""),"OBJETIVOS DE RESULTADO")</f>
        <v>OBJETIVOS DE RESULTADO</v>
      </c>
      <c r="D3" s="94" t="str">
        <f ca="1">IFERROR(__xludf.DUMMYFUNCTION("""COMPUTED_VALUE"""),"META PROGRAMADA")</f>
        <v>META PROGRAMADA</v>
      </c>
      <c r="E3" s="94" t="str">
        <f ca="1">IFERROR(__xludf.DUMMYFUNCTION("""COMPUTED_VALUE"""),"UNIDAD DE MEDIDA")</f>
        <v>UNIDAD DE MEDIDA</v>
      </c>
      <c r="F3" s="94" t="str">
        <f ca="1">IFERROR(__xludf.DUMMYFUNCTION("""COMPUTED_VALUE"""),"Acumulado")</f>
        <v>Acumulado</v>
      </c>
      <c r="G3" s="93" t="s">
        <v>357</v>
      </c>
      <c r="H3" s="93" t="s">
        <v>358</v>
      </c>
    </row>
    <row r="4" spans="1:9">
      <c r="A4" s="94" t="str">
        <f ca="1">IFERROR(__xludf.DUMMYFUNCTION("""COMPUTED_VALUE"""),"FIN")</f>
        <v>FIN</v>
      </c>
      <c r="B4" s="94" t="str">
        <f ca="1">IFERROR(__xludf.DUMMYFUNCTION("""COMPUTED_VALUE"""),"ACTIVIDAD 1.1")</f>
        <v>ACTIVIDAD 1.1</v>
      </c>
      <c r="C4" s="94" t="str">
        <f ca="1">IFERROR(__xludf.DUMMYFUNCTION("""COMPUTED_VALUE"""),"Apoyos asistenciales entregados a la población vulnerable que radica en la municipalidad de Guadalajara y en tránsito en el programa de Trabajo Social Asistencial durante el 2023")</f>
        <v>Apoyos asistenciales entregados a la población vulnerable que radica en la municipalidad de Guadalajara y en tránsito en el programa de Trabajo Social Asistencial durante el 2023</v>
      </c>
      <c r="D4" s="95">
        <f ca="1">IFERROR(__xludf.DUMMYFUNCTION("""COMPUTED_VALUE"""),7450)</f>
        <v>7450</v>
      </c>
      <c r="E4" s="94" t="str">
        <f ca="1">IFERROR(__xludf.DUMMYFUNCTION("""COMPUTED_VALUE"""),"Porcentaje")</f>
        <v>Porcentaje</v>
      </c>
      <c r="F4" s="96">
        <f ca="1">IFERROR(__xludf.DUMMYFUNCTION("""COMPUTED_VALUE"""),7738)</f>
        <v>7738</v>
      </c>
      <c r="G4" s="95">
        <f t="shared" ref="G4:G7" ca="1" si="0">D4</f>
        <v>7450</v>
      </c>
      <c r="H4" s="96">
        <f t="shared" ref="H4:H7" ca="1" si="1">F4</f>
        <v>7738</v>
      </c>
    </row>
    <row r="5" spans="1:9">
      <c r="A5" s="94" t="str">
        <f ca="1">IFERROR(__xludf.DUMMYFUNCTION("""COMPUTED_VALUE"""),"FIN/PROPÓSITO")</f>
        <v>FIN/PROPÓSITO</v>
      </c>
      <c r="B5" s="94" t="str">
        <f ca="1">IFERROR(__xludf.DUMMYFUNCTION("""COMPUTED_VALUE"""),"ACTIVIDAD 1.3")</f>
        <v>ACTIVIDAD 1.3</v>
      </c>
      <c r="C5" s="94" t="str">
        <f ca="1">IFERROR(__xludf.DUMMYFUNCTION("""COMPUTED_VALUE"""),"Servicios médicos de atención y prevención de primer nivel brindados, durante el 2023")</f>
        <v>Servicios médicos de atención y prevención de primer nivel brindados, durante el 2023</v>
      </c>
      <c r="D5" s="95">
        <f ca="1">IFERROR(__xludf.DUMMYFUNCTION("""COMPUTED_VALUE"""),5000)</f>
        <v>5000</v>
      </c>
      <c r="E5" s="94" t="str">
        <f ca="1">IFERROR(__xludf.DUMMYFUNCTION("""COMPUTED_VALUE"""),"Porcentaje")</f>
        <v>Porcentaje</v>
      </c>
      <c r="F5" s="96">
        <f ca="1">IFERROR(__xludf.DUMMYFUNCTION("""COMPUTED_VALUE"""),11655)</f>
        <v>11655</v>
      </c>
      <c r="G5" s="95">
        <f t="shared" ca="1" si="0"/>
        <v>5000</v>
      </c>
      <c r="H5" s="96">
        <f t="shared" ca="1" si="1"/>
        <v>11655</v>
      </c>
    </row>
    <row r="6" spans="1:9">
      <c r="A6" s="94" t="str">
        <f ca="1">IFERROR(__xludf.DUMMYFUNCTION("""COMPUTED_VALUE"""),"FIN")</f>
        <v>FIN</v>
      </c>
      <c r="B6" s="94" t="str">
        <f ca="1">IFERROR(__xludf.DUMMYFUNCTION("""COMPUTED_VALUE"""),"ACTIVIDAD 1.4")</f>
        <v>ACTIVIDAD 1.4</v>
      </c>
      <c r="C6" s="94" t="str">
        <f ca="1">IFERROR(__xludf.DUMMYFUNCTION("""COMPUTED_VALUE"""),"Alimentos nutritivos e inocuos entregados a la población con inseguridad alimentaria en el municipio de Guadalajara, durante el 2023")</f>
        <v>Alimentos nutritivos e inocuos entregados a la población con inseguridad alimentaria en el municipio de Guadalajara, durante el 2023</v>
      </c>
      <c r="D6" s="95">
        <f ca="1">IFERROR(__xludf.DUMMYFUNCTION("""COMPUTED_VALUE"""),8791)</f>
        <v>8791</v>
      </c>
      <c r="E6" s="94" t="str">
        <f ca="1">IFERROR(__xludf.DUMMYFUNCTION("""COMPUTED_VALUE"""),"Porcentaje")</f>
        <v>Porcentaje</v>
      </c>
      <c r="F6" s="96">
        <f ca="1">IFERROR(__xludf.DUMMYFUNCTION("""COMPUTED_VALUE"""),8922)</f>
        <v>8922</v>
      </c>
      <c r="G6" s="95">
        <f t="shared" ca="1" si="0"/>
        <v>8791</v>
      </c>
      <c r="H6" s="96">
        <f t="shared" ca="1" si="1"/>
        <v>8922</v>
      </c>
    </row>
    <row r="7" spans="1:9">
      <c r="A7" s="94" t="str">
        <f ca="1">IFERROR(__xludf.DUMMYFUNCTION("""COMPUTED_VALUE"""),"FIN/PROPÓSITO")</f>
        <v>FIN/PROPÓSITO</v>
      </c>
      <c r="B7" s="94" t="str">
        <f ca="1">IFERROR(__xludf.DUMMYFUNCTION("""COMPUTED_VALUE"""),"ACTIVIDAD 1.8")</f>
        <v>ACTIVIDAD 1.8</v>
      </c>
      <c r="C7" s="94" t="str">
        <f ca="1">IFERROR(__xludf.DUMMYFUNCTION("""COMPUTED_VALUE"""),"Prácticas de autocuidado, prevención y atención a la salud bucal y maxilofacial a través de los servicios otorgados, durante el 2023")</f>
        <v>Prácticas de autocuidado, prevención y atención a la salud bucal y maxilofacial a través de los servicios otorgados, durante el 2023</v>
      </c>
      <c r="D7" s="95">
        <f ca="1">IFERROR(__xludf.DUMMYFUNCTION("""COMPUTED_VALUE"""),6000)</f>
        <v>6000</v>
      </c>
      <c r="E7" s="94" t="str">
        <f ca="1">IFERROR(__xludf.DUMMYFUNCTION("""COMPUTED_VALUE"""),"Porcentaje")</f>
        <v>Porcentaje</v>
      </c>
      <c r="F7" s="96">
        <f ca="1">IFERROR(__xludf.DUMMYFUNCTION("""COMPUTED_VALUE"""),6903)</f>
        <v>6903</v>
      </c>
      <c r="G7" s="95">
        <f t="shared" ca="1" si="0"/>
        <v>6000</v>
      </c>
      <c r="H7" s="96">
        <f t="shared" ca="1" si="1"/>
        <v>6903</v>
      </c>
    </row>
    <row r="8" spans="1:9">
      <c r="A8" s="94" t="str">
        <f ca="1">IFERROR(__xludf.DUMMYFUNCTION("""COMPUTED_VALUE"""),"FIN")</f>
        <v>FIN</v>
      </c>
      <c r="B8" s="94" t="str">
        <f ca="1">IFERROR(__xludf.DUMMYFUNCTION("""COMPUTED_VALUE"""),"ACTIVIDAD 1.9")</f>
        <v>ACTIVIDAD 1.9</v>
      </c>
      <c r="C8" s="94" t="str">
        <f ca="1">IFERROR(__xludf.DUMMYFUNCTION("""COMPUTED_VALUE"""),"Personas en situación de vulnerabilidad que recibieron atención psicológica en CDC, y CAETF en 2023")</f>
        <v>Personas en situación de vulnerabilidad que recibieron atención psicológica en CDC, y CAETF en 2023</v>
      </c>
      <c r="D8" s="95">
        <f ca="1">IFERROR(__xludf.DUMMYFUNCTION("""COMPUTED_VALUE"""),2550)</f>
        <v>2550</v>
      </c>
      <c r="E8" s="94" t="str">
        <f ca="1">IFERROR(__xludf.DUMMYFUNCTION("""COMPUTED_VALUE"""),"Promedio")</f>
        <v>Promedio</v>
      </c>
      <c r="F8" s="96">
        <f ca="1">IFERROR(__xludf.DUMMYFUNCTION("""COMPUTED_VALUE"""),9447)</f>
        <v>9447</v>
      </c>
      <c r="G8" s="94">
        <f t="shared" ref="G8:G10" ca="1" si="2">D8/3</f>
        <v>850</v>
      </c>
      <c r="H8" s="94">
        <f ca="1">F8/H1</f>
        <v>1049.6666666666667</v>
      </c>
    </row>
    <row r="9" spans="1:9">
      <c r="A9" s="94" t="str">
        <f ca="1">IFERROR(__xludf.DUMMYFUNCTION("""COMPUTED_VALUE"""),"FIN")</f>
        <v>FIN</v>
      </c>
      <c r="B9" s="94" t="str">
        <f ca="1">IFERROR(__xludf.DUMMYFUNCTION("""COMPUTED_VALUE"""),"ACTIVIDAD 1.12")</f>
        <v>ACTIVIDAD 1.12</v>
      </c>
      <c r="C9" s="94" t="str">
        <f ca="1">IFERROR(__xludf.DUMMYFUNCTION("""COMPUTED_VALUE"""),"Usuarios y usuarias recibieron raciones alimenticias en los comedores comunitarios, durante el 2023")</f>
        <v>Usuarios y usuarias recibieron raciones alimenticias en los comedores comunitarios, durante el 2023</v>
      </c>
      <c r="D9" s="95">
        <f ca="1">IFERROR(__xludf.DUMMYFUNCTION("""COMPUTED_VALUE"""),1500)</f>
        <v>1500</v>
      </c>
      <c r="E9" s="94" t="str">
        <f ca="1">IFERROR(__xludf.DUMMYFUNCTION("""COMPUTED_VALUE"""),"Promedio")</f>
        <v>Promedio</v>
      </c>
      <c r="F9" s="96">
        <f ca="1">IFERROR(__xludf.DUMMYFUNCTION("""COMPUTED_VALUE"""),6608)</f>
        <v>6608</v>
      </c>
      <c r="G9" s="94">
        <f t="shared" ca="1" si="2"/>
        <v>500</v>
      </c>
      <c r="H9" s="94">
        <f ca="1">F9/H1</f>
        <v>734.22222222222217</v>
      </c>
    </row>
    <row r="10" spans="1:9">
      <c r="A10" s="94" t="str">
        <f ca="1">IFERROR(__xludf.DUMMYFUNCTION("""COMPUTED_VALUE"""),"FIN")</f>
        <v>FIN</v>
      </c>
      <c r="B10" s="94" t="str">
        <f ca="1">IFERROR(__xludf.DUMMYFUNCTION("""COMPUTED_VALUE"""),"ACTIVIDAD 1.14")</f>
        <v>ACTIVIDAD 1.14</v>
      </c>
      <c r="C10" s="94" t="str">
        <f ca="1">IFERROR(__xludf.DUMMYFUNCTION("""COMPUTED_VALUE"""),"Usuarios que asistieron a talleres y cursos realizados en CDC e ICAS trimestralmente en 2023")</f>
        <v>Usuarios que asistieron a talleres y cursos realizados en CDC e ICAS trimestralmente en 2023</v>
      </c>
      <c r="D10" s="95">
        <f ca="1">IFERROR(__xludf.DUMMYFUNCTION("""COMPUTED_VALUE"""),4500)</f>
        <v>4500</v>
      </c>
      <c r="E10" s="94" t="str">
        <f ca="1">IFERROR(__xludf.DUMMYFUNCTION("""COMPUTED_VALUE"""),"Promedio")</f>
        <v>Promedio</v>
      </c>
      <c r="F10" s="96">
        <f ca="1">IFERROR(__xludf.DUMMYFUNCTION("""COMPUTED_VALUE"""),19205)</f>
        <v>19205</v>
      </c>
      <c r="G10" s="94">
        <f t="shared" ca="1" si="2"/>
        <v>1500</v>
      </c>
      <c r="H10" s="94">
        <f ca="1">F10/H1</f>
        <v>2133.8888888888887</v>
      </c>
    </row>
    <row r="11" spans="1:9">
      <c r="A11" s="94" t="str">
        <f ca="1">IFERROR(__xludf.DUMMYFUNCTION("""COMPUTED_VALUE"""),"FIN")</f>
        <v>FIN</v>
      </c>
      <c r="B11" s="94" t="str">
        <f ca="1">IFERROR(__xludf.DUMMYFUNCTION("""COMPUTED_VALUE"""),"ACTIVIDAD 1.16")</f>
        <v>ACTIVIDAD 1.16</v>
      </c>
      <c r="C11" s="94" t="str">
        <f ca="1">IFERROR(__xludf.DUMMYFUNCTION("""COMPUTED_VALUE"""),"Niñas y niños en condición de vulnerabilidad económica que terminaron ciclo escolar de nivel preescolar en 2023")</f>
        <v>Niñas y niños en condición de vulnerabilidad económica que terminaron ciclo escolar de nivel preescolar en 2023</v>
      </c>
      <c r="D11" s="95">
        <f ca="1">IFERROR(__xludf.DUMMYFUNCTION("""COMPUTED_VALUE"""),2030)</f>
        <v>2030</v>
      </c>
      <c r="E11" s="94" t="str">
        <f ca="1">IFERROR(__xludf.DUMMYFUNCTION("""COMPUTED_VALUE"""),"Porcentaje")</f>
        <v>Porcentaje</v>
      </c>
      <c r="F11" s="96">
        <f ca="1">IFERROR(__xludf.DUMMYFUNCTION("""COMPUTED_VALUE"""),2092)</f>
        <v>2092</v>
      </c>
      <c r="G11" s="95">
        <f t="shared" ref="G11:G13" ca="1" si="3">D11</f>
        <v>2030</v>
      </c>
      <c r="H11" s="96">
        <f t="shared" ref="H11:H13" ca="1" si="4">F11</f>
        <v>2092</v>
      </c>
    </row>
    <row r="12" spans="1:9">
      <c r="A12" s="94" t="str">
        <f ca="1">IFERROR(__xludf.DUMMYFUNCTION("""COMPUTED_VALUE"""),"FIN")</f>
        <v>FIN</v>
      </c>
      <c r="B12" s="94" t="str">
        <f ca="1">IFERROR(__xludf.DUMMYFUNCTION("""COMPUTED_VALUE"""),"COMPONENTE 2")</f>
        <v>COMPONENTE 2</v>
      </c>
      <c r="C12" s="94" t="str">
        <f ca="1">IFERROR(__xludf.DUMMYFUNCTION("""COMPUTED_VALUE"""),"Apoyos asistenciales entregados a población en situación de emergencia, durante el 2023")</f>
        <v>Apoyos asistenciales entregados a población en situación de emergencia, durante el 2023</v>
      </c>
      <c r="D12" s="95">
        <f ca="1">IFERROR(__xludf.DUMMYFUNCTION("""COMPUTED_VALUE"""),5000)</f>
        <v>5000</v>
      </c>
      <c r="E12" s="94" t="str">
        <f ca="1">IFERROR(__xludf.DUMMYFUNCTION("""COMPUTED_VALUE"""),"Porcentaje")</f>
        <v>Porcentaje</v>
      </c>
      <c r="F12" s="96">
        <f ca="1">IFERROR(__xludf.DUMMYFUNCTION("""COMPUTED_VALUE"""),5671)</f>
        <v>5671</v>
      </c>
      <c r="G12" s="95">
        <f t="shared" ca="1" si="3"/>
        <v>5000</v>
      </c>
      <c r="H12" s="96">
        <f t="shared" ca="1" si="4"/>
        <v>5671</v>
      </c>
    </row>
    <row r="13" spans="1:9">
      <c r="A13" s="94" t="str">
        <f ca="1">IFERROR(__xludf.DUMMYFUNCTION("""COMPUTED_VALUE"""),"FIN")</f>
        <v>FIN</v>
      </c>
      <c r="B13" s="94" t="str">
        <f ca="1">IFERROR(__xludf.DUMMYFUNCTION("""COMPUTED_VALUE"""),"ACTIVIDAD 3.1")</f>
        <v>ACTIVIDAD 3.1</v>
      </c>
      <c r="C13" s="94" t="str">
        <f ca="1">IFERROR(__xludf.DUMMYFUNCTION("""COMPUTED_VALUE"""),"Aperturas de expedientes para la atención multidisciplinaria primaria realizadas a las personas que viven y/o ejercen violencia familiar en el Municipio de Guadalajara, durante el 2023")</f>
        <v>Aperturas de expedientes para la atención multidisciplinaria primaria realizadas a las personas que viven y/o ejercen violencia familiar en el Municipio de Guadalajara, durante el 2023</v>
      </c>
      <c r="D13" s="95">
        <f ca="1">IFERROR(__xludf.DUMMYFUNCTION("""COMPUTED_VALUE"""),700)</f>
        <v>700</v>
      </c>
      <c r="E13" s="94" t="str">
        <f ca="1">IFERROR(__xludf.DUMMYFUNCTION("""COMPUTED_VALUE"""),"Porcentaje")</f>
        <v>Porcentaje</v>
      </c>
      <c r="F13" s="96">
        <f ca="1">IFERROR(__xludf.DUMMYFUNCTION("""COMPUTED_VALUE"""),749)</f>
        <v>749</v>
      </c>
      <c r="G13" s="95">
        <f t="shared" ca="1" si="3"/>
        <v>700</v>
      </c>
      <c r="H13" s="96">
        <f t="shared" ca="1" si="4"/>
        <v>749</v>
      </c>
    </row>
    <row r="14" spans="1:9">
      <c r="A14" s="94" t="str">
        <f ca="1">IFERROR(__xludf.DUMMYFUNCTION("""COMPUTED_VALUE"""),"FIN")</f>
        <v>FIN</v>
      </c>
      <c r="B14" s="94" t="str">
        <f ca="1">IFERROR(__xludf.DUMMYFUNCTION("""COMPUTED_VALUE"""),"ACTIVIDAD 4.1")</f>
        <v>ACTIVIDAD 4.1</v>
      </c>
      <c r="C14" s="94" t="str">
        <f ca="1">IFERROR(__xludf.DUMMYFUNCTION("""COMPUTED_VALUE"""),"Acompañamientos psicosociales para familiares de víctimas indirectas de desaparición brindadas, durante el 2023")</f>
        <v>Acompañamientos psicosociales para familiares de víctimas indirectas de desaparición brindadas, durante el 2023</v>
      </c>
      <c r="D14" s="95">
        <f ca="1">IFERROR(__xludf.DUMMYFUNCTION("""COMPUTED_VALUE"""),330)</f>
        <v>330</v>
      </c>
      <c r="E14" s="94" t="str">
        <f ca="1">IFERROR(__xludf.DUMMYFUNCTION("""COMPUTED_VALUE"""),"Promedio")</f>
        <v>Promedio</v>
      </c>
      <c r="F14" s="96">
        <f ca="1">IFERROR(__xludf.DUMMYFUNCTION("""COMPUTED_VALUE"""),1320)</f>
        <v>1320</v>
      </c>
      <c r="G14" s="94">
        <f ca="1">D14/3</f>
        <v>110</v>
      </c>
      <c r="H14" s="94">
        <f ca="1">F14/H1</f>
        <v>146.66666666666666</v>
      </c>
      <c r="I14" s="93" t="s">
        <v>84</v>
      </c>
    </row>
    <row r="15" spans="1:9">
      <c r="G15" s="97">
        <f t="shared" ref="G15:H15" ca="1" si="5">SUM(G4:G14)</f>
        <v>37931</v>
      </c>
      <c r="H15" s="98">
        <f t="shared" ca="1" si="5"/>
        <v>47794.444444444438</v>
      </c>
      <c r="I15" s="94">
        <f ca="1">H15/G15*100</f>
        <v>126.00364990230797</v>
      </c>
    </row>
    <row r="17" spans="1:9">
      <c r="A17" s="99" t="str">
        <f ca="1">IFERROR(__xludf.DUMMYFUNCTION("QUERY(MIR!A32:AF60,""select A,C,O,M,AE where A='PROPÓSITO' OR A='FIN/PROPÓSITO'"",1)"),"")</f>
        <v/>
      </c>
      <c r="B17" s="94" t="str">
        <f ca="1">IFERROR(__xludf.DUMMYFUNCTION("""COMPUTED_VALUE"""),"RESUMEN NARRATIVO")</f>
        <v>RESUMEN NARRATIVO</v>
      </c>
      <c r="C17" s="94" t="str">
        <f ca="1">IFERROR(__xludf.DUMMYFUNCTION("""COMPUTED_VALUE"""),"META PROGRAMADA")</f>
        <v>META PROGRAMADA</v>
      </c>
      <c r="D17" s="94" t="str">
        <f ca="1">IFERROR(__xludf.DUMMYFUNCTION("""COMPUTED_VALUE"""),"UNIDAD DE MEDIDA")</f>
        <v>UNIDAD DE MEDIDA</v>
      </c>
      <c r="E17" s="94" t="str">
        <f ca="1">IFERROR(__xludf.DUMMYFUNCTION("""COMPUTED_VALUE"""),"Acumulado")</f>
        <v>Acumulado</v>
      </c>
    </row>
    <row r="18" spans="1:9">
      <c r="A18" s="94" t="str">
        <f ca="1">IFERROR(__xludf.DUMMYFUNCTION("""COMPUTED_VALUE"""),"PROPÓSITO")</f>
        <v>PROPÓSITO</v>
      </c>
      <c r="B18" s="94" t="str">
        <f ca="1">IFERROR(__xludf.DUMMYFUNCTION("""COMPUTED_VALUE"""),"ACTIVIDAD 1.2")</f>
        <v>ACTIVIDAD 1.2</v>
      </c>
      <c r="C18" s="95">
        <f ca="1">IFERROR(__xludf.DUMMYFUNCTION("""COMPUTED_VALUE"""),640)</f>
        <v>640</v>
      </c>
      <c r="D18" s="94" t="str">
        <f ca="1">IFERROR(__xludf.DUMMYFUNCTION("""COMPUTED_VALUE"""),"Porcentaje")</f>
        <v>Porcentaje</v>
      </c>
      <c r="E18" s="96">
        <f ca="1">IFERROR(__xludf.DUMMYFUNCTION("""COMPUTED_VALUE"""),1809)</f>
        <v>1809</v>
      </c>
      <c r="G18" s="95">
        <f t="shared" ref="G18:G26" ca="1" si="6">C18</f>
        <v>640</v>
      </c>
      <c r="H18" s="96">
        <f t="shared" ref="H18:H26" ca="1" si="7">E18</f>
        <v>1809</v>
      </c>
    </row>
    <row r="19" spans="1:9">
      <c r="A19" s="94" t="str">
        <f ca="1">IFERROR(__xludf.DUMMYFUNCTION("""COMPUTED_VALUE"""),"FIN/PROPÓSITO")</f>
        <v>FIN/PROPÓSITO</v>
      </c>
      <c r="B19" s="94" t="str">
        <f ca="1">IFERROR(__xludf.DUMMYFUNCTION("""COMPUTED_VALUE"""),"ACTIVIDAD 1.3")</f>
        <v>ACTIVIDAD 1.3</v>
      </c>
      <c r="C19" s="95">
        <f ca="1">IFERROR(__xludf.DUMMYFUNCTION("""COMPUTED_VALUE"""),5000)</f>
        <v>5000</v>
      </c>
      <c r="D19" s="94" t="str">
        <f ca="1">IFERROR(__xludf.DUMMYFUNCTION("""COMPUTED_VALUE"""),"Porcentaje")</f>
        <v>Porcentaje</v>
      </c>
      <c r="E19" s="96">
        <f ca="1">IFERROR(__xludf.DUMMYFUNCTION("""COMPUTED_VALUE"""),11655)</f>
        <v>11655</v>
      </c>
      <c r="G19" s="95">
        <f t="shared" ca="1" si="6"/>
        <v>5000</v>
      </c>
      <c r="H19" s="96">
        <f t="shared" ca="1" si="7"/>
        <v>11655</v>
      </c>
    </row>
    <row r="20" spans="1:9">
      <c r="A20" s="94" t="str">
        <f ca="1">IFERROR(__xludf.DUMMYFUNCTION("""COMPUTED_VALUE"""),"PROPÓSITO")</f>
        <v>PROPÓSITO</v>
      </c>
      <c r="B20" s="94" t="str">
        <f ca="1">IFERROR(__xludf.DUMMYFUNCTION("""COMPUTED_VALUE"""),"ACTIVIDAD 1.5")</f>
        <v>ACTIVIDAD 1.5</v>
      </c>
      <c r="C20" s="95">
        <f ca="1">IFERROR(__xludf.DUMMYFUNCTION("""COMPUTED_VALUE"""),1190350)</f>
        <v>1190350</v>
      </c>
      <c r="D20" s="94" t="str">
        <f ca="1">IFERROR(__xludf.DUMMYFUNCTION("""COMPUTED_VALUE"""),"Porcentaje")</f>
        <v>Porcentaje</v>
      </c>
      <c r="E20" s="96">
        <f ca="1">IFERROR(__xludf.DUMMYFUNCTION("""COMPUTED_VALUE"""),1190350)</f>
        <v>1190350</v>
      </c>
      <c r="G20" s="95">
        <f t="shared" ca="1" si="6"/>
        <v>1190350</v>
      </c>
      <c r="H20" s="96">
        <f t="shared" ca="1" si="7"/>
        <v>1190350</v>
      </c>
    </row>
    <row r="21" spans="1:9">
      <c r="A21" s="94" t="str">
        <f ca="1">IFERROR(__xludf.DUMMYFUNCTION("""COMPUTED_VALUE"""),"PROPÓSITO")</f>
        <v>PROPÓSITO</v>
      </c>
      <c r="B21" s="94" t="str">
        <f ca="1">IFERROR(__xludf.DUMMYFUNCTION("""COMPUTED_VALUE"""),"ACTIVIDAD 1.6")</f>
        <v>ACTIVIDAD 1.6</v>
      </c>
      <c r="C21" s="95">
        <f ca="1">IFERROR(__xludf.DUMMYFUNCTION("""COMPUTED_VALUE"""),26292)</f>
        <v>26292</v>
      </c>
      <c r="D21" s="94" t="str">
        <f ca="1">IFERROR(__xludf.DUMMYFUNCTION("""COMPUTED_VALUE"""),"Porcentaje")</f>
        <v>Porcentaje</v>
      </c>
      <c r="E21" s="96">
        <f ca="1">IFERROR(__xludf.DUMMYFUNCTION("""COMPUTED_VALUE"""),27078)</f>
        <v>27078</v>
      </c>
      <c r="G21" s="95">
        <f t="shared" ca="1" si="6"/>
        <v>26292</v>
      </c>
      <c r="H21" s="96">
        <f t="shared" ca="1" si="7"/>
        <v>27078</v>
      </c>
    </row>
    <row r="22" spans="1:9">
      <c r="A22" s="94" t="str">
        <f ca="1">IFERROR(__xludf.DUMMYFUNCTION("""COMPUTED_VALUE"""),"PROPÓSITO")</f>
        <v>PROPÓSITO</v>
      </c>
      <c r="B22" s="94" t="str">
        <f ca="1">IFERROR(__xludf.DUMMYFUNCTION("""COMPUTED_VALUE"""),"ACTIVIDAD 1.7")</f>
        <v>ACTIVIDAD 1.7</v>
      </c>
      <c r="C22" s="95">
        <f ca="1">IFERROR(__xludf.DUMMYFUNCTION("""COMPUTED_VALUE"""),4020)</f>
        <v>4020</v>
      </c>
      <c r="D22" s="94" t="str">
        <f ca="1">IFERROR(__xludf.DUMMYFUNCTION("""COMPUTED_VALUE"""),"Porcentaje")</f>
        <v>Porcentaje</v>
      </c>
      <c r="E22" s="96">
        <f ca="1">IFERROR(__xludf.DUMMYFUNCTION("""COMPUTED_VALUE"""),4020)</f>
        <v>4020</v>
      </c>
      <c r="G22" s="95">
        <f t="shared" ca="1" si="6"/>
        <v>4020</v>
      </c>
      <c r="H22" s="96">
        <f t="shared" ca="1" si="7"/>
        <v>4020</v>
      </c>
    </row>
    <row r="23" spans="1:9">
      <c r="A23" s="94" t="str">
        <f ca="1">IFERROR(__xludf.DUMMYFUNCTION("""COMPUTED_VALUE"""),"FIN/PROPÓSITO")</f>
        <v>FIN/PROPÓSITO</v>
      </c>
      <c r="B23" s="94" t="str">
        <f ca="1">IFERROR(__xludf.DUMMYFUNCTION("""COMPUTED_VALUE"""),"ACTIVIDAD 1.8")</f>
        <v>ACTIVIDAD 1.8</v>
      </c>
      <c r="C23" s="95">
        <f ca="1">IFERROR(__xludf.DUMMYFUNCTION("""COMPUTED_VALUE"""),6000)</f>
        <v>6000</v>
      </c>
      <c r="D23" s="94" t="str">
        <f ca="1">IFERROR(__xludf.DUMMYFUNCTION("""COMPUTED_VALUE"""),"Porcentaje")</f>
        <v>Porcentaje</v>
      </c>
      <c r="E23" s="96">
        <f ca="1">IFERROR(__xludf.DUMMYFUNCTION("""COMPUTED_VALUE"""),6903)</f>
        <v>6903</v>
      </c>
      <c r="G23" s="95">
        <f t="shared" ca="1" si="6"/>
        <v>6000</v>
      </c>
      <c r="H23" s="96">
        <f t="shared" ca="1" si="7"/>
        <v>6903</v>
      </c>
    </row>
    <row r="24" spans="1:9">
      <c r="A24" s="99" t="str">
        <f ca="1">IFERROR(__xludf.DUMMYFUNCTION("""COMPUTED_VALUE"""),"PROPÓSITO")</f>
        <v>PROPÓSITO</v>
      </c>
      <c r="B24" s="94" t="str">
        <f ca="1">IFERROR(__xludf.DUMMYFUNCTION("""COMPUTED_VALUE"""),"ACTIVIDAD 1.10")</f>
        <v>ACTIVIDAD 1.10</v>
      </c>
      <c r="C24" s="95">
        <f ca="1">IFERROR(__xludf.DUMMYFUNCTION("""COMPUTED_VALUE"""),15000)</f>
        <v>15000</v>
      </c>
      <c r="D24" s="94" t="str">
        <f ca="1">IFERROR(__xludf.DUMMYFUNCTION("""COMPUTED_VALUE"""),"Porcentaje")</f>
        <v>Porcentaje</v>
      </c>
      <c r="E24" s="96">
        <f ca="1">IFERROR(__xludf.DUMMYFUNCTION("""COMPUTED_VALUE"""),14562)</f>
        <v>14562</v>
      </c>
      <c r="G24" s="95">
        <f t="shared" ca="1" si="6"/>
        <v>15000</v>
      </c>
      <c r="H24" s="96">
        <f t="shared" ca="1" si="7"/>
        <v>14562</v>
      </c>
    </row>
    <row r="25" spans="1:9">
      <c r="A25" s="94" t="str">
        <f ca="1">IFERROR(__xludf.DUMMYFUNCTION("""COMPUTED_VALUE"""),"PROPÓSITO")</f>
        <v>PROPÓSITO</v>
      </c>
      <c r="B25" s="94" t="str">
        <f ca="1">IFERROR(__xludf.DUMMYFUNCTION("""COMPUTED_VALUE"""),"ACTIVIDAD 1.11")</f>
        <v>ACTIVIDAD 1.11</v>
      </c>
      <c r="C25" s="95">
        <f ca="1">IFERROR(__xludf.DUMMYFUNCTION("""COMPUTED_VALUE"""),29000)</f>
        <v>29000</v>
      </c>
      <c r="D25" s="94" t="str">
        <f ca="1">IFERROR(__xludf.DUMMYFUNCTION("""COMPUTED_VALUE"""),"Porcentaje")</f>
        <v>Porcentaje</v>
      </c>
      <c r="E25" s="96">
        <f ca="1">IFERROR(__xludf.DUMMYFUNCTION("""COMPUTED_VALUE"""),29064)</f>
        <v>29064</v>
      </c>
      <c r="G25" s="95">
        <f t="shared" ca="1" si="6"/>
        <v>29000</v>
      </c>
      <c r="H25" s="96">
        <f t="shared" ca="1" si="7"/>
        <v>29064</v>
      </c>
    </row>
    <row r="26" spans="1:9">
      <c r="A26" s="94" t="str">
        <f ca="1">IFERROR(__xludf.DUMMYFUNCTION("""COMPUTED_VALUE"""),"PROPÓSITO")</f>
        <v>PROPÓSITO</v>
      </c>
      <c r="B26" s="94" t="str">
        <f ca="1">IFERROR(__xludf.DUMMYFUNCTION("""COMPUTED_VALUE"""),"ACTIVIDAD 1.13")</f>
        <v>ACTIVIDAD 1.13</v>
      </c>
      <c r="C26" s="95">
        <f ca="1">IFERROR(__xludf.DUMMYFUNCTION("""COMPUTED_VALUE"""),224400)</f>
        <v>224400</v>
      </c>
      <c r="D26" s="94" t="str">
        <f ca="1">IFERROR(__xludf.DUMMYFUNCTION("""COMPUTED_VALUE"""),"Porcentaje")</f>
        <v>Porcentaje</v>
      </c>
      <c r="E26" s="96">
        <f ca="1">IFERROR(__xludf.DUMMYFUNCTION("""COMPUTED_VALUE"""),252118)</f>
        <v>252118</v>
      </c>
      <c r="G26" s="95">
        <f t="shared" ca="1" si="6"/>
        <v>224400</v>
      </c>
      <c r="H26" s="96">
        <f t="shared" ca="1" si="7"/>
        <v>252118</v>
      </c>
    </row>
    <row r="27" spans="1:9">
      <c r="A27" s="94" t="str">
        <f ca="1">IFERROR(__xludf.DUMMYFUNCTION("""COMPUTED_VALUE"""),"PROPÓSITO")</f>
        <v>PROPÓSITO</v>
      </c>
      <c r="B27" s="94" t="str">
        <f ca="1">IFERROR(__xludf.DUMMYFUNCTION("""COMPUTED_VALUE"""),"ACTIVIDAD 1.15")</f>
        <v>ACTIVIDAD 1.15</v>
      </c>
      <c r="C27" s="95">
        <f ca="1">IFERROR(__xludf.DUMMYFUNCTION("""COMPUTED_VALUE"""),780)</f>
        <v>780</v>
      </c>
      <c r="D27" s="94" t="str">
        <f ca="1">IFERROR(__xludf.DUMMYFUNCTION("""COMPUTED_VALUE"""),"Promedio")</f>
        <v>Promedio</v>
      </c>
      <c r="E27" s="96">
        <f ca="1">IFERROR(__xludf.DUMMYFUNCTION("""COMPUTED_VALUE"""),3112)</f>
        <v>3112</v>
      </c>
      <c r="G27" s="94">
        <f ca="1">C27/3</f>
        <v>260</v>
      </c>
      <c r="H27" s="94">
        <f ca="1">E27/6</f>
        <v>518.66666666666663</v>
      </c>
    </row>
    <row r="28" spans="1:9">
      <c r="A28" s="94" t="str">
        <f ca="1">IFERROR(__xludf.DUMMYFUNCTION("""COMPUTED_VALUE"""),"PROPÓSITO")</f>
        <v>PROPÓSITO</v>
      </c>
      <c r="B28" s="94" t="str">
        <f ca="1">IFERROR(__xludf.DUMMYFUNCTION("""COMPUTED_VALUE"""),"ACTIVIDAD 1.17")</f>
        <v>ACTIVIDAD 1.17</v>
      </c>
      <c r="C28" s="95">
        <f ca="1">IFERROR(__xludf.DUMMYFUNCTION("""COMPUTED_VALUE"""),1188)</f>
        <v>1188</v>
      </c>
      <c r="D28" s="94" t="str">
        <f ca="1">IFERROR(__xludf.DUMMYFUNCTION("""COMPUTED_VALUE"""),"Porcentaje")</f>
        <v>Porcentaje</v>
      </c>
      <c r="E28" s="96">
        <f ca="1">IFERROR(__xludf.DUMMYFUNCTION("""COMPUTED_VALUE"""),1188)</f>
        <v>1188</v>
      </c>
      <c r="G28" s="95">
        <f t="shared" ref="G28:G32" ca="1" si="8">C28</f>
        <v>1188</v>
      </c>
      <c r="H28" s="96">
        <f t="shared" ref="H28:H32" ca="1" si="9">E28</f>
        <v>1188</v>
      </c>
    </row>
    <row r="29" spans="1:9">
      <c r="A29" s="94" t="str">
        <f ca="1">IFERROR(__xludf.DUMMYFUNCTION("""COMPUTED_VALUE"""),"PROPÓSITO")</f>
        <v>PROPÓSITO</v>
      </c>
      <c r="B29" s="94" t="str">
        <f ca="1">IFERROR(__xludf.DUMMYFUNCTION("""COMPUTED_VALUE"""),"ACTIVIDAD 2.1")</f>
        <v>ACTIVIDAD 2.1</v>
      </c>
      <c r="C29" s="95">
        <f ca="1">IFERROR(__xludf.DUMMYFUNCTION("""COMPUTED_VALUE"""),7)</f>
        <v>7</v>
      </c>
      <c r="D29" s="94" t="str">
        <f ca="1">IFERROR(__xludf.DUMMYFUNCTION("""COMPUTED_VALUE"""),"Porcentaje")</f>
        <v>Porcentaje</v>
      </c>
      <c r="E29" s="96">
        <f ca="1">IFERROR(__xludf.DUMMYFUNCTION("""COMPUTED_VALUE"""),20)</f>
        <v>20</v>
      </c>
      <c r="G29" s="95">
        <f t="shared" ca="1" si="8"/>
        <v>7</v>
      </c>
      <c r="H29" s="96">
        <f t="shared" ca="1" si="9"/>
        <v>20</v>
      </c>
    </row>
    <row r="30" spans="1:9">
      <c r="A30" s="94" t="str">
        <f ca="1">IFERROR(__xludf.DUMMYFUNCTION("""COMPUTED_VALUE"""),"PROPÓSITO")</f>
        <v>PROPÓSITO</v>
      </c>
      <c r="B30" s="94" t="str">
        <f ca="1">IFERROR(__xludf.DUMMYFUNCTION("""COMPUTED_VALUE"""),"COMPONENTE 3")</f>
        <v>COMPONENTE 3</v>
      </c>
      <c r="C30" s="95">
        <f ca="1">IFERROR(__xludf.DUMMYFUNCTION("""COMPUTED_VALUE"""),1100)</f>
        <v>1100</v>
      </c>
      <c r="D30" s="94" t="str">
        <f ca="1">IFERROR(__xludf.DUMMYFUNCTION("""COMPUTED_VALUE"""),"Porcentaje")</f>
        <v>Porcentaje</v>
      </c>
      <c r="E30" s="96">
        <f ca="1">IFERROR(__xludf.DUMMYFUNCTION("""COMPUTED_VALUE"""),1109)</f>
        <v>1109</v>
      </c>
      <c r="G30" s="95">
        <f t="shared" ca="1" si="8"/>
        <v>1100</v>
      </c>
      <c r="H30" s="96">
        <f t="shared" ca="1" si="9"/>
        <v>1109</v>
      </c>
    </row>
    <row r="31" spans="1:9">
      <c r="A31" s="94" t="str">
        <f ca="1">IFERROR(__xludf.DUMMYFUNCTION("""COMPUTED_VALUE"""),"PROPÓSITO")</f>
        <v>PROPÓSITO</v>
      </c>
      <c r="B31" s="94" t="str">
        <f ca="1">IFERROR(__xludf.DUMMYFUNCTION("""COMPUTED_VALUE"""),"ACTIVIDAD 3.2")</f>
        <v>ACTIVIDAD 3.2</v>
      </c>
      <c r="C31" s="95">
        <f ca="1">IFERROR(__xludf.DUMMYFUNCTION("""COMPUTED_VALUE"""),400)</f>
        <v>400</v>
      </c>
      <c r="D31" s="94" t="str">
        <f ca="1">IFERROR(__xludf.DUMMYFUNCTION("""COMPUTED_VALUE"""),"Porcentaje")</f>
        <v>Porcentaje</v>
      </c>
      <c r="E31" s="96">
        <f ca="1">IFERROR(__xludf.DUMMYFUNCTION("""COMPUTED_VALUE"""),354)</f>
        <v>354</v>
      </c>
      <c r="G31" s="95">
        <f t="shared" ca="1" si="8"/>
        <v>400</v>
      </c>
      <c r="H31" s="96">
        <f t="shared" ca="1" si="9"/>
        <v>354</v>
      </c>
    </row>
    <row r="32" spans="1:9">
      <c r="A32" s="94" t="str">
        <f ca="1">IFERROR(__xludf.DUMMYFUNCTION("""COMPUTED_VALUE"""),"PROPÓSITO")</f>
        <v>PROPÓSITO</v>
      </c>
      <c r="B32" s="94" t="str">
        <f ca="1">IFERROR(__xludf.DUMMYFUNCTION("""COMPUTED_VALUE"""),"ACTIVIDAD 4.2")</f>
        <v>ACTIVIDAD 4.2</v>
      </c>
      <c r="C32" s="95">
        <f ca="1">IFERROR(__xludf.DUMMYFUNCTION("""COMPUTED_VALUE"""),1800)</f>
        <v>1800</v>
      </c>
      <c r="D32" s="94" t="str">
        <f ca="1">IFERROR(__xludf.DUMMYFUNCTION("""COMPUTED_VALUE"""),"Porcentaje")</f>
        <v>Porcentaje</v>
      </c>
      <c r="E32" s="96">
        <f ca="1">IFERROR(__xludf.DUMMYFUNCTION("""COMPUTED_VALUE"""),1870)</f>
        <v>1870</v>
      </c>
      <c r="G32" s="95">
        <f t="shared" ca="1" si="8"/>
        <v>1800</v>
      </c>
      <c r="H32" s="96">
        <f t="shared" ca="1" si="9"/>
        <v>1870</v>
      </c>
      <c r="I32" s="93" t="s">
        <v>84</v>
      </c>
    </row>
    <row r="33" spans="7:9">
      <c r="G33" s="97">
        <f t="shared" ref="G33:H33" ca="1" si="10">SUM(G18:G32)</f>
        <v>1505457</v>
      </c>
      <c r="H33" s="98">
        <f t="shared" ca="1" si="10"/>
        <v>1542618.6666666667</v>
      </c>
      <c r="I33" s="94">
        <f ca="1">H33/G33*100</f>
        <v>102.46846417178747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0"/>
  <sheetViews>
    <sheetView workbookViewId="0"/>
  </sheetViews>
  <sheetFormatPr baseColWidth="10" defaultColWidth="14.42578125" defaultRowHeight="15" customHeight="1"/>
  <cols>
    <col min="2" max="2" width="52" customWidth="1"/>
    <col min="11" max="12" width="8.140625" customWidth="1"/>
  </cols>
  <sheetData>
    <row r="1" spans="1:14">
      <c r="A1" s="99" t="str">
        <f ca="1">IFERROR(__xludf.DUMMYFUNCTION("query(MIR!C32:AF60,""SELECT C,D,M,V,W,X,AF,O"",1)"),"RESUMEN NARRATIVO")</f>
        <v>RESUMEN NARRATIVO</v>
      </c>
      <c r="B1" s="100" t="str">
        <f ca="1">IFERROR(__xludf.DUMMYFUNCTION("""COMPUTED_VALUE"""),"OBJETIVOS DE RESULTADO")</f>
        <v>OBJETIVOS DE RESULTADO</v>
      </c>
      <c r="C1" s="94" t="str">
        <f ca="1">IFERROR(__xludf.DUMMYFUNCTION("""COMPUTED_VALUE"""),"UNIDAD DE MEDIDA")</f>
        <v>UNIDAD DE MEDIDA</v>
      </c>
      <c r="D1" s="94" t="str">
        <f ca="1">IFERROR(__xludf.DUMMYFUNCTION("""COMPUTED_VALUE"""),"ABRIL")</f>
        <v>ABRIL</v>
      </c>
      <c r="E1" s="94" t="str">
        <f ca="1">IFERROR(__xludf.DUMMYFUNCTION("""COMPUTED_VALUE"""),"MAYO")</f>
        <v>MAYO</v>
      </c>
      <c r="F1" s="94" t="str">
        <f ca="1">IFERROR(__xludf.DUMMYFUNCTION("""COMPUTED_VALUE"""),"JUNIO")</f>
        <v>JUNIO</v>
      </c>
      <c r="G1" s="94" t="str">
        <f ca="1">IFERROR(__xludf.DUMMYFUNCTION("""COMPUTED_VALUE"""),"Meta alcanzada")</f>
        <v>Meta alcanzada</v>
      </c>
      <c r="H1" s="94" t="str">
        <f ca="1">IFERROR(__xludf.DUMMYFUNCTION("""COMPUTED_VALUE"""),"META PROGRAMADA")</f>
        <v>META PROGRAMADA</v>
      </c>
      <c r="I1" s="101" t="s">
        <v>359</v>
      </c>
      <c r="J1" s="102" t="s">
        <v>360</v>
      </c>
      <c r="K1" s="103" t="s">
        <v>361</v>
      </c>
      <c r="L1" s="103" t="s">
        <v>362</v>
      </c>
      <c r="M1" s="102" t="s">
        <v>363</v>
      </c>
    </row>
    <row r="2" spans="1:14">
      <c r="A2" s="94" t="str">
        <f ca="1">IFERROR(__xludf.DUMMYFUNCTION("""COMPUTED_VALUE"""),"FIN")</f>
        <v>FIN</v>
      </c>
      <c r="B2" s="100" t="str">
        <f ca="1">IFERROR(__xludf.DUMMYFUNCTION("""COMPUTED_VALUE"""),"Contribuir a la restitución de derechos a personas y grupos en condición de vulnerabilidad, mediante servicios de salud, nutrición, psicológicos, de habilidades para el trabajo, educación y atención y prevención a las violencias en Guadalajara en el 2023."&amp;" ")</f>
        <v xml:space="preserve">Contribuir a la restitución de derechos a personas y grupos en condición de vulnerabilidad, mediante servicios de salud, nutrición, psicológicos, de habilidades para el trabajo, educación y atención y prevención a las violencias en Guadalajara en el 2023. </v>
      </c>
      <c r="C2" s="94" t="str">
        <f ca="1">IFERROR(__xludf.DUMMYFUNCTION("""COMPUTED_VALUE"""),"Porcentaje")</f>
        <v>Porcentaje</v>
      </c>
      <c r="D2" s="94"/>
      <c r="E2" s="94"/>
      <c r="F2" s="94"/>
      <c r="G2" s="94" t="str">
        <f ca="1">IFERROR(__xludf.DUMMYFUNCTION("""COMPUTED_VALUE"""),"123.32%")</f>
        <v>123.32%</v>
      </c>
      <c r="H2" s="95">
        <f ca="1">IFERROR(__xludf.DUMMYFUNCTION("""COMPUTED_VALUE"""),37931)</f>
        <v>37931</v>
      </c>
      <c r="I2" s="104">
        <f t="shared" ref="I2:I29" si="0">SUM($D2:$F2)</f>
        <v>0</v>
      </c>
      <c r="J2" s="105">
        <f t="shared" ref="J2:J15" ca="1" si="1">I2/H2</f>
        <v>0</v>
      </c>
      <c r="M2" s="94" t="b">
        <v>0</v>
      </c>
    </row>
    <row r="3" spans="1:14">
      <c r="A3" s="94" t="str">
        <f ca="1">IFERROR(__xludf.DUMMYFUNCTION("""COMPUTED_VALUE"""),"PROPÓSITO")</f>
        <v>PROPÓSITO</v>
      </c>
      <c r="B3" s="100" t="str">
        <f ca="1">IFERROR(__xludf.DUMMYFUNCTION("""COMPUTED_VALUE"""),"La población de Guadalajara accede a servicios asistenciales y a bajo costo para disminuir los riesgos psicosociales a través de los programas del eje de Guadalajara en Paz del Sistema DIF Guadalajara en el 2023")</f>
        <v>La población de Guadalajara accede a servicios asistenciales y a bajo costo para disminuir los riesgos psicosociales a través de los programas del eje de Guadalajara en Paz del Sistema DIF Guadalajara en el 2023</v>
      </c>
      <c r="C3" s="94" t="str">
        <f ca="1">IFERROR(__xludf.DUMMYFUNCTION("""COMPUTED_VALUE"""),"Porcentaje")</f>
        <v>Porcentaje</v>
      </c>
      <c r="D3" s="94"/>
      <c r="E3" s="94"/>
      <c r="F3" s="94"/>
      <c r="G3" s="94" t="str">
        <f ca="1">IFERROR(__xludf.DUMMYFUNCTION("""COMPUTED_VALUE"""),"102.45%")</f>
        <v>102.45%</v>
      </c>
      <c r="H3" s="95">
        <f ca="1">IFERROR(__xludf.DUMMYFUNCTION("""COMPUTED_VALUE"""),1505457)</f>
        <v>1505457</v>
      </c>
      <c r="I3" s="104">
        <f t="shared" si="0"/>
        <v>0</v>
      </c>
      <c r="J3" s="105">
        <f t="shared" ca="1" si="1"/>
        <v>0</v>
      </c>
      <c r="M3" s="94" t="b">
        <v>0</v>
      </c>
    </row>
    <row r="4" spans="1:14">
      <c r="A4" s="94" t="str">
        <f ca="1">IFERROR(__xludf.DUMMYFUNCTION("""COMPUTED_VALUE"""),"COMPONENTE 1")</f>
        <v>COMPONENTE 1</v>
      </c>
      <c r="B4" s="100" t="str">
        <f ca="1">IFERROR(__xludf.DUMMYFUNCTION("""COMPUTED_VALUE"""),"C1. Servicios de reconstrucción del tejido social brindados en los Centros de Desarrollo Comunitario a grupos en condición de vulnerabilidad en 2023")</f>
        <v>C1. Servicios de reconstrucción del tejido social brindados en los Centros de Desarrollo Comunitario a grupos en condición de vulnerabilidad en 2023</v>
      </c>
      <c r="C4" s="94" t="str">
        <f ca="1">IFERROR(__xludf.DUMMYFUNCTION("""COMPUTED_VALUE"""),"Porcentaje")</f>
        <v>Porcentaje</v>
      </c>
      <c r="D4" s="94"/>
      <c r="E4" s="94"/>
      <c r="F4" s="94"/>
      <c r="G4" s="94" t="str">
        <f ca="1">IFERROR(__xludf.DUMMYFUNCTION("""COMPUTED_VALUE"""),"100.00%")</f>
        <v>100.00%</v>
      </c>
      <c r="H4" s="95">
        <f ca="1">IFERROR(__xludf.DUMMYFUNCTION("""COMPUTED_VALUE"""),9)</f>
        <v>9</v>
      </c>
      <c r="I4" s="104">
        <f t="shared" si="0"/>
        <v>0</v>
      </c>
      <c r="J4" s="105">
        <f t="shared" ca="1" si="1"/>
        <v>0</v>
      </c>
      <c r="M4" s="93" t="b">
        <v>1</v>
      </c>
    </row>
    <row r="5" spans="1:14">
      <c r="A5" s="94" t="str">
        <f ca="1">IFERROR(__xludf.DUMMYFUNCTION("""COMPUTED_VALUE"""),"ACTIVIDAD 1.1")</f>
        <v>ACTIVIDAD 1.1</v>
      </c>
      <c r="B5" s="100" t="str">
        <f ca="1">IFERROR(__xludf.DUMMYFUNCTION("""COMPUTED_VALUE"""),"Apoyos asistenciales entregados a la población vulnerable que radica en la municipalidad de Guadalajara y en tránsito en el programa de Trabajo Social Asistencial durante el 2023")</f>
        <v>Apoyos asistenciales entregados a la población vulnerable que radica en la municipalidad de Guadalajara y en tránsito en el programa de Trabajo Social Asistencial durante el 2023</v>
      </c>
      <c r="C5" s="94" t="str">
        <f ca="1">IFERROR(__xludf.DUMMYFUNCTION("""COMPUTED_VALUE"""),"Porcentaje")</f>
        <v>Porcentaje</v>
      </c>
      <c r="D5" s="94">
        <f ca="1">IFERROR(__xludf.DUMMYFUNCTION("""COMPUTED_VALUE"""),1019)</f>
        <v>1019</v>
      </c>
      <c r="E5" s="94">
        <f ca="1">IFERROR(__xludf.DUMMYFUNCTION("""COMPUTED_VALUE"""),729)</f>
        <v>729</v>
      </c>
      <c r="F5" s="94">
        <f ca="1">IFERROR(__xludf.DUMMYFUNCTION("""COMPUTED_VALUE"""),352)</f>
        <v>352</v>
      </c>
      <c r="G5" s="94" t="str">
        <f ca="1">IFERROR(__xludf.DUMMYFUNCTION("""COMPUTED_VALUE"""),"103.9%")</f>
        <v>103.9%</v>
      </c>
      <c r="H5" s="95">
        <f ca="1">IFERROR(__xludf.DUMMYFUNCTION("""COMPUTED_VALUE"""),7450)</f>
        <v>7450</v>
      </c>
      <c r="I5" s="104">
        <f t="shared" ca="1" si="0"/>
        <v>2100</v>
      </c>
      <c r="J5" s="105">
        <f t="shared" ca="1" si="1"/>
        <v>0.28187919463087246</v>
      </c>
      <c r="M5" s="93" t="b">
        <v>1</v>
      </c>
    </row>
    <row r="6" spans="1:14">
      <c r="A6" s="94" t="str">
        <f ca="1">IFERROR(__xludf.DUMMYFUNCTION("""COMPUTED_VALUE"""),"ACTIVIDAD 1.2")</f>
        <v>ACTIVIDAD 1.2</v>
      </c>
      <c r="B6" s="100" t="str">
        <f ca="1">IFERROR(__xludf.DUMMYFUNCTION("""COMPUTED_VALUE"""),"Expedientes integrados para la atención a la población vulnerable de Guadalajara durante el 2023")</f>
        <v>Expedientes integrados para la atención a la población vulnerable de Guadalajara durante el 2023</v>
      </c>
      <c r="C6" s="94" t="str">
        <f ca="1">IFERROR(__xludf.DUMMYFUNCTION("""COMPUTED_VALUE"""),"Porcentaje")</f>
        <v>Porcentaje</v>
      </c>
      <c r="D6" s="94">
        <f ca="1">IFERROR(__xludf.DUMMYFUNCTION("""COMPUTED_VALUE"""),13)</f>
        <v>13</v>
      </c>
      <c r="E6" s="94">
        <f ca="1">IFERROR(__xludf.DUMMYFUNCTION("""COMPUTED_VALUE"""),46)</f>
        <v>46</v>
      </c>
      <c r="F6" s="94">
        <f ca="1">IFERROR(__xludf.DUMMYFUNCTION("""COMPUTED_VALUE"""),44)</f>
        <v>44</v>
      </c>
      <c r="G6" s="94" t="str">
        <f ca="1">IFERROR(__xludf.DUMMYFUNCTION("""COMPUTED_VALUE"""),"282.7%")</f>
        <v>282.7%</v>
      </c>
      <c r="H6" s="95">
        <f ca="1">IFERROR(__xludf.DUMMYFUNCTION("""COMPUTED_VALUE"""),640)</f>
        <v>640</v>
      </c>
      <c r="I6" s="104">
        <f t="shared" ca="1" si="0"/>
        <v>103</v>
      </c>
      <c r="J6" s="105">
        <f t="shared" ca="1" si="1"/>
        <v>0.16093750000000001</v>
      </c>
      <c r="M6" s="93" t="b">
        <v>1</v>
      </c>
    </row>
    <row r="7" spans="1:14">
      <c r="A7" s="94" t="str">
        <f ca="1">IFERROR(__xludf.DUMMYFUNCTION("""COMPUTED_VALUE"""),"ACTIVIDAD 1.3")</f>
        <v>ACTIVIDAD 1.3</v>
      </c>
      <c r="B7" s="100" t="str">
        <f ca="1">IFERROR(__xludf.DUMMYFUNCTION("""COMPUTED_VALUE"""),"Servicios médicos de atención y prevención de primer nivel brindados, durante el 2023")</f>
        <v>Servicios médicos de atención y prevención de primer nivel brindados, durante el 2023</v>
      </c>
      <c r="C7" s="94" t="str">
        <f ca="1">IFERROR(__xludf.DUMMYFUNCTION("""COMPUTED_VALUE"""),"Porcentaje")</f>
        <v>Porcentaje</v>
      </c>
      <c r="D7" s="94">
        <f ca="1">IFERROR(__xludf.DUMMYFUNCTION("""COMPUTED_VALUE"""),667)</f>
        <v>667</v>
      </c>
      <c r="E7" s="94">
        <f ca="1">IFERROR(__xludf.DUMMYFUNCTION("""COMPUTED_VALUE"""),916)</f>
        <v>916</v>
      </c>
      <c r="F7" s="94">
        <f ca="1">IFERROR(__xludf.DUMMYFUNCTION("""COMPUTED_VALUE"""),981)</f>
        <v>981</v>
      </c>
      <c r="G7" s="94" t="str">
        <f ca="1">IFERROR(__xludf.DUMMYFUNCTION("""COMPUTED_VALUE"""),"233.1%")</f>
        <v>233.1%</v>
      </c>
      <c r="H7" s="95">
        <f ca="1">IFERROR(__xludf.DUMMYFUNCTION("""COMPUTED_VALUE"""),5000)</f>
        <v>5000</v>
      </c>
      <c r="I7" s="104">
        <f t="shared" ca="1" si="0"/>
        <v>2564</v>
      </c>
      <c r="J7" s="105">
        <f t="shared" ca="1" si="1"/>
        <v>0.51280000000000003</v>
      </c>
      <c r="M7" s="93" t="b">
        <v>1</v>
      </c>
      <c r="N7" s="93" t="s">
        <v>364</v>
      </c>
    </row>
    <row r="8" spans="1:14">
      <c r="A8" s="94" t="str">
        <f ca="1">IFERROR(__xludf.DUMMYFUNCTION("""COMPUTED_VALUE"""),"ACTIVIDAD 1.4")</f>
        <v>ACTIVIDAD 1.4</v>
      </c>
      <c r="B8" s="100" t="str">
        <f ca="1">IFERROR(__xludf.DUMMYFUNCTION("""COMPUTED_VALUE"""),"Alimentos nutritivos e inocuos entregados a la población con inseguridad alimentaria en el municipio de Guadalajara, durante el 2023")</f>
        <v>Alimentos nutritivos e inocuos entregados a la población con inseguridad alimentaria en el municipio de Guadalajara, durante el 2023</v>
      </c>
      <c r="C8" s="94" t="str">
        <f ca="1">IFERROR(__xludf.DUMMYFUNCTION("""COMPUTED_VALUE"""),"Porcentaje")</f>
        <v>Porcentaje</v>
      </c>
      <c r="D8" s="94">
        <f ca="1">IFERROR(__xludf.DUMMYFUNCTION("""COMPUTED_VALUE"""),6265)</f>
        <v>6265</v>
      </c>
      <c r="E8" s="94">
        <f ca="1">IFERROR(__xludf.DUMMYFUNCTION("""COMPUTED_VALUE"""),0)</f>
        <v>0</v>
      </c>
      <c r="F8" s="94">
        <f ca="1">IFERROR(__xludf.DUMMYFUNCTION("""COMPUTED_VALUE"""),0)</f>
        <v>0</v>
      </c>
      <c r="G8" s="94" t="str">
        <f ca="1">IFERROR(__xludf.DUMMYFUNCTION("""COMPUTED_VALUE"""),"101.5%")</f>
        <v>101.5%</v>
      </c>
      <c r="H8" s="95">
        <f ca="1">IFERROR(__xludf.DUMMYFUNCTION("""COMPUTED_VALUE"""),8791)</f>
        <v>8791</v>
      </c>
      <c r="I8" s="104">
        <f t="shared" ca="1" si="0"/>
        <v>6265</v>
      </c>
      <c r="J8" s="105">
        <f t="shared" ca="1" si="1"/>
        <v>0.71266067569104763</v>
      </c>
      <c r="M8" s="93" t="b">
        <v>1</v>
      </c>
      <c r="N8" s="93" t="s">
        <v>364</v>
      </c>
    </row>
    <row r="9" spans="1:14">
      <c r="A9" s="94" t="str">
        <f ca="1">IFERROR(__xludf.DUMMYFUNCTION("""COMPUTED_VALUE"""),"ACTIVIDAD 1.5")</f>
        <v>ACTIVIDAD 1.5</v>
      </c>
      <c r="B9" s="100" t="str">
        <f ca="1">IFERROR(__xludf.DUMMYFUNCTION("""COMPUTED_VALUE"""),"Apoyos del Programa de Alimentación Escolar entregados en 2023")</f>
        <v>Apoyos del Programa de Alimentación Escolar entregados en 2023</v>
      </c>
      <c r="C9" s="94" t="str">
        <f ca="1">IFERROR(__xludf.DUMMYFUNCTION("""COMPUTED_VALUE"""),"Porcentaje")</f>
        <v>Porcentaje</v>
      </c>
      <c r="D9" s="94">
        <f ca="1">IFERROR(__xludf.DUMMYFUNCTION("""COMPUTED_VALUE"""),338310)</f>
        <v>338310</v>
      </c>
      <c r="E9" s="94">
        <f ca="1">IFERROR(__xludf.DUMMYFUNCTION("""COMPUTED_VALUE"""),175420)</f>
        <v>175420</v>
      </c>
      <c r="F9" s="94">
        <f ca="1">IFERROR(__xludf.DUMMYFUNCTION("""COMPUTED_VALUE"""),162890)</f>
        <v>162890</v>
      </c>
      <c r="G9" s="94" t="str">
        <f ca="1">IFERROR(__xludf.DUMMYFUNCTION("""COMPUTED_VALUE"""),"100%")</f>
        <v>100%</v>
      </c>
      <c r="H9" s="95">
        <f ca="1">IFERROR(__xludf.DUMMYFUNCTION("""COMPUTED_VALUE"""),1190350)</f>
        <v>1190350</v>
      </c>
      <c r="I9" s="104">
        <f t="shared" ca="1" si="0"/>
        <v>676620</v>
      </c>
      <c r="J9" s="105">
        <f t="shared" ca="1" si="1"/>
        <v>0.56842105263157894</v>
      </c>
      <c r="M9" s="93" t="b">
        <v>1</v>
      </c>
    </row>
    <row r="10" spans="1:14">
      <c r="A10" s="94" t="str">
        <f ca="1">IFERROR(__xludf.DUMMYFUNCTION("""COMPUTED_VALUE"""),"ACTIVIDAD 1.6")</f>
        <v>ACTIVIDAD 1.6</v>
      </c>
      <c r="B10" s="100" t="str">
        <f ca="1">IFERROR(__xludf.DUMMYFUNCTION("""COMPUTED_VALUE"""),"Apoyos del Programa de Atención Alimentaria a Grupos Prioritarios entregados en 2023")</f>
        <v>Apoyos del Programa de Atención Alimentaria a Grupos Prioritarios entregados en 2023</v>
      </c>
      <c r="C10" s="94" t="str">
        <f ca="1">IFERROR(__xludf.DUMMYFUNCTION("""COMPUTED_VALUE"""),"Porcentaje")</f>
        <v>Porcentaje</v>
      </c>
      <c r="D10" s="94">
        <f ca="1">IFERROR(__xludf.DUMMYFUNCTION("""COMPUTED_VALUE"""),0)</f>
        <v>0</v>
      </c>
      <c r="E10" s="94">
        <f ca="1">IFERROR(__xludf.DUMMYFUNCTION("""COMPUTED_VALUE"""),4382)</f>
        <v>4382</v>
      </c>
      <c r="F10" s="94">
        <f ca="1">IFERROR(__xludf.DUMMYFUNCTION("""COMPUTED_VALUE"""),2191)</f>
        <v>2191</v>
      </c>
      <c r="G10" s="94" t="str">
        <f ca="1">IFERROR(__xludf.DUMMYFUNCTION("""COMPUTED_VALUE"""),"103%")</f>
        <v>103%</v>
      </c>
      <c r="H10" s="95">
        <f ca="1">IFERROR(__xludf.DUMMYFUNCTION("""COMPUTED_VALUE"""),26292)</f>
        <v>26292</v>
      </c>
      <c r="I10" s="104">
        <f t="shared" ca="1" si="0"/>
        <v>6573</v>
      </c>
      <c r="J10" s="105">
        <f t="shared" ca="1" si="1"/>
        <v>0.25</v>
      </c>
      <c r="M10" s="93" t="b">
        <v>1</v>
      </c>
    </row>
    <row r="11" spans="1:14">
      <c r="A11" s="94" t="str">
        <f ca="1">IFERROR(__xludf.DUMMYFUNCTION("""COMPUTED_VALUE"""),"ACTIVIDAD 1.7")</f>
        <v>ACTIVIDAD 1.7</v>
      </c>
      <c r="B11" s="100" t="str">
        <f ca="1">IFERROR(__xludf.DUMMYFUNCTION("""COMPUTED_VALUE"""),"Apoyos del Programa de Atención Alimentaria en los Primeros 1000 Días de Vida entregados en 2023")</f>
        <v>Apoyos del Programa de Atención Alimentaria en los Primeros 1000 Días de Vida entregados en 2023</v>
      </c>
      <c r="C11" s="94" t="str">
        <f ca="1">IFERROR(__xludf.DUMMYFUNCTION("""COMPUTED_VALUE"""),"Porcentaje")</f>
        <v>Porcentaje</v>
      </c>
      <c r="D11" s="94">
        <f ca="1">IFERROR(__xludf.DUMMYFUNCTION("""COMPUTED_VALUE"""),0)</f>
        <v>0</v>
      </c>
      <c r="E11" s="94">
        <f ca="1">IFERROR(__xludf.DUMMYFUNCTION("""COMPUTED_VALUE"""),670)</f>
        <v>670</v>
      </c>
      <c r="F11" s="94">
        <f ca="1">IFERROR(__xludf.DUMMYFUNCTION("""COMPUTED_VALUE"""),335)</f>
        <v>335</v>
      </c>
      <c r="G11" s="94" t="str">
        <f ca="1">IFERROR(__xludf.DUMMYFUNCTION("""COMPUTED_VALUE"""),"100%")</f>
        <v>100%</v>
      </c>
      <c r="H11" s="95">
        <f ca="1">IFERROR(__xludf.DUMMYFUNCTION("""COMPUTED_VALUE"""),4020)</f>
        <v>4020</v>
      </c>
      <c r="I11" s="104">
        <f t="shared" ca="1" si="0"/>
        <v>1005</v>
      </c>
      <c r="J11" s="105">
        <f t="shared" ca="1" si="1"/>
        <v>0.25</v>
      </c>
      <c r="M11" s="93" t="b">
        <v>1</v>
      </c>
    </row>
    <row r="12" spans="1:14">
      <c r="A12" s="94" t="str">
        <f ca="1">IFERROR(__xludf.DUMMYFUNCTION("""COMPUTED_VALUE"""),"ACTIVIDAD 1.8")</f>
        <v>ACTIVIDAD 1.8</v>
      </c>
      <c r="B12" s="100" t="str">
        <f ca="1">IFERROR(__xludf.DUMMYFUNCTION("""COMPUTED_VALUE"""),"Prácticas de autocuidado, prevención y atención a la salud bucal y maxilofacial a través de los servicios otorgados, durante el 2023")</f>
        <v>Prácticas de autocuidado, prevención y atención a la salud bucal y maxilofacial a través de los servicios otorgados, durante el 2023</v>
      </c>
      <c r="C12" s="94" t="str">
        <f ca="1">IFERROR(__xludf.DUMMYFUNCTION("""COMPUTED_VALUE"""),"Porcentaje")</f>
        <v>Porcentaje</v>
      </c>
      <c r="D12" s="94">
        <f ca="1">IFERROR(__xludf.DUMMYFUNCTION("""COMPUTED_VALUE"""),297)</f>
        <v>297</v>
      </c>
      <c r="E12" s="94">
        <f ca="1">IFERROR(__xludf.DUMMYFUNCTION("""COMPUTED_VALUE"""),556)</f>
        <v>556</v>
      </c>
      <c r="F12" s="94">
        <f ca="1">IFERROR(__xludf.DUMMYFUNCTION("""COMPUTED_VALUE"""),666)</f>
        <v>666</v>
      </c>
      <c r="G12" s="94" t="str">
        <f ca="1">IFERROR(__xludf.DUMMYFUNCTION("""COMPUTED_VALUE"""),"115.1%")</f>
        <v>115.1%</v>
      </c>
      <c r="H12" s="95">
        <f ca="1">IFERROR(__xludf.DUMMYFUNCTION("""COMPUTED_VALUE"""),6000)</f>
        <v>6000</v>
      </c>
      <c r="I12" s="104">
        <f t="shared" ca="1" si="0"/>
        <v>1519</v>
      </c>
      <c r="J12" s="105">
        <f t="shared" ca="1" si="1"/>
        <v>0.25316666666666665</v>
      </c>
      <c r="M12" s="93" t="b">
        <v>1</v>
      </c>
    </row>
    <row r="13" spans="1:14">
      <c r="A13" s="94" t="str">
        <f ca="1">IFERROR(__xludf.DUMMYFUNCTION("""COMPUTED_VALUE"""),"ACTIVIDAD 1.9")</f>
        <v>ACTIVIDAD 1.9</v>
      </c>
      <c r="B13" s="100" t="str">
        <f ca="1">IFERROR(__xludf.DUMMYFUNCTION("""COMPUTED_VALUE"""),"Personas en situación de vulnerabilidad que recibieron atención psicológica en CDC, y CAETF en 2023")</f>
        <v>Personas en situación de vulnerabilidad que recibieron atención psicológica en CDC, y CAETF en 2023</v>
      </c>
      <c r="C13" s="94" t="str">
        <f ca="1">IFERROR(__xludf.DUMMYFUNCTION("""COMPUTED_VALUE"""),"Promedio")</f>
        <v>Promedio</v>
      </c>
      <c r="D13" s="94">
        <f ca="1">IFERROR(__xludf.DUMMYFUNCTION("""COMPUTED_VALUE"""),678)</f>
        <v>678</v>
      </c>
      <c r="E13" s="94">
        <f ca="1">IFERROR(__xludf.DUMMYFUNCTION("""COMPUTED_VALUE"""),878)</f>
        <v>878</v>
      </c>
      <c r="F13" s="94">
        <f ca="1">IFERROR(__xludf.DUMMYFUNCTION("""COMPUTED_VALUE"""),858)</f>
        <v>858</v>
      </c>
      <c r="G13" s="94" t="str">
        <f ca="1">IFERROR(__xludf.DUMMYFUNCTION("""COMPUTED_VALUE"""),"2362")</f>
        <v>2362</v>
      </c>
      <c r="H13" s="95">
        <f ca="1">IFERROR(__xludf.DUMMYFUNCTION("""COMPUTED_VALUE"""),2550)</f>
        <v>2550</v>
      </c>
      <c r="I13" s="104">
        <f t="shared" ca="1" si="0"/>
        <v>2414</v>
      </c>
      <c r="J13" s="105">
        <f t="shared" ca="1" si="1"/>
        <v>0.94666666666666666</v>
      </c>
      <c r="K13" s="94">
        <f ca="1">I13/4</f>
        <v>603.5</v>
      </c>
      <c r="L13" s="94">
        <f ca="1">I13/3</f>
        <v>804.66666666666663</v>
      </c>
      <c r="M13" s="93" t="b">
        <v>1</v>
      </c>
    </row>
    <row r="14" spans="1:14">
      <c r="A14" s="94" t="str">
        <f ca="1">IFERROR(__xludf.DUMMYFUNCTION("""COMPUTED_VALUE"""),"ACTIVIDAD 1.10")</f>
        <v>ACTIVIDAD 1.10</v>
      </c>
      <c r="B14" s="100" t="str">
        <f ca="1">IFERROR(__xludf.DUMMYFUNCTION("""COMPUTED_VALUE"""),"Sesiones de atención psicológica brindadas en CDC, y CAETF en 2023")</f>
        <v>Sesiones de atención psicológica brindadas en CDC, y CAETF en 2023</v>
      </c>
      <c r="C14" s="94" t="str">
        <f ca="1">IFERROR(__xludf.DUMMYFUNCTION("""COMPUTED_VALUE"""),"Porcentaje")</f>
        <v>Porcentaje</v>
      </c>
      <c r="D14" s="94">
        <f ca="1">IFERROR(__xludf.DUMMYFUNCTION("""COMPUTED_VALUE"""),819)</f>
        <v>819</v>
      </c>
      <c r="E14" s="94">
        <f ca="1">IFERROR(__xludf.DUMMYFUNCTION("""COMPUTED_VALUE"""),1270)</f>
        <v>1270</v>
      </c>
      <c r="F14" s="94">
        <f ca="1">IFERROR(__xludf.DUMMYFUNCTION("""COMPUTED_VALUE"""),1426)</f>
        <v>1426</v>
      </c>
      <c r="G14" s="94" t="str">
        <f ca="1">IFERROR(__xludf.DUMMYFUNCTION("""COMPUTED_VALUE"""),"97.1%")</f>
        <v>97.1%</v>
      </c>
      <c r="H14" s="95">
        <f ca="1">IFERROR(__xludf.DUMMYFUNCTION("""COMPUTED_VALUE"""),15000)</f>
        <v>15000</v>
      </c>
      <c r="I14" s="104">
        <f t="shared" ca="1" si="0"/>
        <v>3515</v>
      </c>
      <c r="J14" s="105">
        <f t="shared" ca="1" si="1"/>
        <v>0.23433333333333334</v>
      </c>
      <c r="M14" s="93" t="b">
        <v>1</v>
      </c>
    </row>
    <row r="15" spans="1:14">
      <c r="A15" s="94" t="str">
        <f ca="1">IFERROR(__xludf.DUMMYFUNCTION("""COMPUTED_VALUE"""),"ACTIVIDAD 1.11")</f>
        <v>ACTIVIDAD 1.11</v>
      </c>
      <c r="B15" s="100" t="str">
        <f ca="1">IFERROR(__xludf.DUMMYFUNCTION("""COMPUTED_VALUE"""),"Estudios de laboratorio para la detección oportuna de riesgos en la salud realizados, durante el 2023")</f>
        <v>Estudios de laboratorio para la detección oportuna de riesgos en la salud realizados, durante el 2023</v>
      </c>
      <c r="C15" s="94" t="str">
        <f ca="1">IFERROR(__xludf.DUMMYFUNCTION("""COMPUTED_VALUE"""),"Porcentaje")</f>
        <v>Porcentaje</v>
      </c>
      <c r="D15" s="94">
        <f ca="1">IFERROR(__xludf.DUMMYFUNCTION("""COMPUTED_VALUE"""),1286)</f>
        <v>1286</v>
      </c>
      <c r="E15" s="94">
        <f ca="1">IFERROR(__xludf.DUMMYFUNCTION("""COMPUTED_VALUE"""),3830)</f>
        <v>3830</v>
      </c>
      <c r="F15" s="94">
        <f ca="1">IFERROR(__xludf.DUMMYFUNCTION("""COMPUTED_VALUE"""),2868)</f>
        <v>2868</v>
      </c>
      <c r="G15" s="94" t="str">
        <f ca="1">IFERROR(__xludf.DUMMYFUNCTION("""COMPUTED_VALUE"""),"100.2%")</f>
        <v>100.2%</v>
      </c>
      <c r="H15" s="95">
        <f ca="1">IFERROR(__xludf.DUMMYFUNCTION("""COMPUTED_VALUE"""),29000)</f>
        <v>29000</v>
      </c>
      <c r="I15" s="104">
        <f t="shared" ca="1" si="0"/>
        <v>7984</v>
      </c>
      <c r="J15" s="105">
        <f t="shared" ca="1" si="1"/>
        <v>0.27531034482758621</v>
      </c>
      <c r="M15" s="93" t="b">
        <v>1</v>
      </c>
    </row>
    <row r="16" spans="1:14">
      <c r="A16" s="94" t="str">
        <f ca="1">IFERROR(__xludf.DUMMYFUNCTION("""COMPUTED_VALUE"""),"ACTIVIDAD 1.12")</f>
        <v>ACTIVIDAD 1.12</v>
      </c>
      <c r="B16" s="100" t="str">
        <f ca="1">IFERROR(__xludf.DUMMYFUNCTION("""COMPUTED_VALUE"""),"Usuarios y usuarias recibieron raciones alimenticias en los comedores comunitarios, durante el 2023")</f>
        <v>Usuarios y usuarias recibieron raciones alimenticias en los comedores comunitarios, durante el 2023</v>
      </c>
      <c r="C16" s="94" t="str">
        <f ca="1">IFERROR(__xludf.DUMMYFUNCTION("""COMPUTED_VALUE"""),"Promedio")</f>
        <v>Promedio</v>
      </c>
      <c r="D16" s="94">
        <f ca="1">IFERROR(__xludf.DUMMYFUNCTION("""COMPUTED_VALUE"""),510)</f>
        <v>510</v>
      </c>
      <c r="E16" s="94">
        <f ca="1">IFERROR(__xludf.DUMMYFUNCTION("""COMPUTED_VALUE"""),510)</f>
        <v>510</v>
      </c>
      <c r="F16" s="94">
        <f ca="1">IFERROR(__xludf.DUMMYFUNCTION("""COMPUTED_VALUE"""),510)</f>
        <v>510</v>
      </c>
      <c r="G16" s="94" t="str">
        <f ca="1">IFERROR(__xludf.DUMMYFUNCTION("""COMPUTED_VALUE"""),"1652")</f>
        <v>1652</v>
      </c>
      <c r="H16" s="95">
        <f ca="1">IFERROR(__xludf.DUMMYFUNCTION("""COMPUTED_VALUE"""),1500)</f>
        <v>1500</v>
      </c>
      <c r="I16" s="104">
        <f t="shared" ca="1" si="0"/>
        <v>1530</v>
      </c>
      <c r="J16" s="105"/>
      <c r="K16" s="94">
        <f ca="1">I16/4</f>
        <v>382.5</v>
      </c>
      <c r="L16" s="94">
        <f ca="1">I16/3</f>
        <v>510</v>
      </c>
      <c r="M16" s="93" t="b">
        <v>1</v>
      </c>
    </row>
    <row r="17" spans="1:14">
      <c r="A17" s="94" t="str">
        <f ca="1">IFERROR(__xludf.DUMMYFUNCTION("""COMPUTED_VALUE"""),"ACTIVIDAD 1.13")</f>
        <v>ACTIVIDAD 1.13</v>
      </c>
      <c r="B17" s="100" t="str">
        <f ca="1">IFERROR(__xludf.DUMMYFUNCTION("""COMPUTED_VALUE"""),"Entrega de raciones alimenticias en los comedores comunitarios, durante el 2023")</f>
        <v>Entrega de raciones alimenticias en los comedores comunitarios, durante el 2023</v>
      </c>
      <c r="C17" s="94" t="str">
        <f ca="1">IFERROR(__xludf.DUMMYFUNCTION("""COMPUTED_VALUE"""),"Porcentaje")</f>
        <v>Porcentaje</v>
      </c>
      <c r="D17" s="94">
        <f ca="1">IFERROR(__xludf.DUMMYFUNCTION("""COMPUTED_VALUE"""),10200)</f>
        <v>10200</v>
      </c>
      <c r="E17" s="94">
        <f ca="1">IFERROR(__xludf.DUMMYFUNCTION("""COMPUTED_VALUE"""),22440)</f>
        <v>22440</v>
      </c>
      <c r="F17" s="94">
        <f ca="1">IFERROR(__xludf.DUMMYFUNCTION("""COMPUTED_VALUE"""),22440)</f>
        <v>22440</v>
      </c>
      <c r="G17" s="94" t="str">
        <f ca="1">IFERROR(__xludf.DUMMYFUNCTION("""COMPUTED_VALUE"""),"112.4%")</f>
        <v>112.4%</v>
      </c>
      <c r="H17" s="95">
        <f ca="1">IFERROR(__xludf.DUMMYFUNCTION("""COMPUTED_VALUE"""),224400)</f>
        <v>224400</v>
      </c>
      <c r="I17" s="104">
        <f t="shared" ca="1" si="0"/>
        <v>55080</v>
      </c>
      <c r="J17" s="105">
        <f ca="1">I17/H17</f>
        <v>0.24545454545454545</v>
      </c>
      <c r="M17" s="93" t="b">
        <v>1</v>
      </c>
    </row>
    <row r="18" spans="1:14">
      <c r="A18" s="94" t="str">
        <f ca="1">IFERROR(__xludf.DUMMYFUNCTION("""COMPUTED_VALUE"""),"ACTIVIDAD 1.14")</f>
        <v>ACTIVIDAD 1.14</v>
      </c>
      <c r="B18" s="100" t="str">
        <f ca="1">IFERROR(__xludf.DUMMYFUNCTION("""COMPUTED_VALUE"""),"Usuarios que asistieron a talleres y cursos realizados en CDC e ICAS trimestralmente en 2023")</f>
        <v>Usuarios que asistieron a talleres y cursos realizados en CDC e ICAS trimestralmente en 2023</v>
      </c>
      <c r="C18" s="94" t="str">
        <f ca="1">IFERROR(__xludf.DUMMYFUNCTION("""COMPUTED_VALUE"""),"Promedio")</f>
        <v>Promedio</v>
      </c>
      <c r="D18" s="94">
        <f ca="1">IFERROR(__xludf.DUMMYFUNCTION("""COMPUTED_VALUE"""),1440)</f>
        <v>1440</v>
      </c>
      <c r="E18" s="94">
        <f ca="1">IFERROR(__xludf.DUMMYFUNCTION("""COMPUTED_VALUE"""),1549)</f>
        <v>1549</v>
      </c>
      <c r="F18" s="94">
        <f ca="1">IFERROR(__xludf.DUMMYFUNCTION("""COMPUTED_VALUE"""),1492)</f>
        <v>1492</v>
      </c>
      <c r="G18" s="94" t="str">
        <f ca="1">IFERROR(__xludf.DUMMYFUNCTION("""COMPUTED_VALUE"""),"4801.3")</f>
        <v>4801.3</v>
      </c>
      <c r="H18" s="95">
        <f ca="1">IFERROR(__xludf.DUMMYFUNCTION("""COMPUTED_VALUE"""),4500)</f>
        <v>4500</v>
      </c>
      <c r="I18" s="104">
        <f t="shared" ca="1" si="0"/>
        <v>4481</v>
      </c>
      <c r="J18" s="105"/>
      <c r="K18" s="94">
        <f t="shared" ref="K18:K19" ca="1" si="2">I18/4</f>
        <v>1120.25</v>
      </c>
      <c r="L18" s="94">
        <f t="shared" ref="L18:L19" ca="1" si="3">I18/3</f>
        <v>1493.6666666666667</v>
      </c>
      <c r="M18" s="93" t="b">
        <v>1</v>
      </c>
    </row>
    <row r="19" spans="1:14">
      <c r="A19" s="94" t="str">
        <f ca="1">IFERROR(__xludf.DUMMYFUNCTION("""COMPUTED_VALUE"""),"ACTIVIDAD 1.15")</f>
        <v>ACTIVIDAD 1.15</v>
      </c>
      <c r="B19" s="100" t="str">
        <f ca="1">IFERROR(__xludf.DUMMYFUNCTION("""COMPUTED_VALUE"""),"Talleres y cursos realizados en CDC e ICAS trimestralmente en 2023")</f>
        <v>Talleres y cursos realizados en CDC e ICAS trimestralmente en 2023</v>
      </c>
      <c r="C19" s="94" t="str">
        <f ca="1">IFERROR(__xludf.DUMMYFUNCTION("""COMPUTED_VALUE"""),"Promedio")</f>
        <v>Promedio</v>
      </c>
      <c r="D19" s="94">
        <f ca="1">IFERROR(__xludf.DUMMYFUNCTION("""COMPUTED_VALUE"""),261)</f>
        <v>261</v>
      </c>
      <c r="E19" s="94">
        <f ca="1">IFERROR(__xludf.DUMMYFUNCTION("""COMPUTED_VALUE"""),294)</f>
        <v>294</v>
      </c>
      <c r="F19" s="94">
        <f ca="1">IFERROR(__xludf.DUMMYFUNCTION("""COMPUTED_VALUE"""),268)</f>
        <v>268</v>
      </c>
      <c r="G19" s="94" t="str">
        <f ca="1">IFERROR(__xludf.DUMMYFUNCTION("""COMPUTED_VALUE"""),"778")</f>
        <v>778</v>
      </c>
      <c r="H19" s="95">
        <f ca="1">IFERROR(__xludf.DUMMYFUNCTION("""COMPUTED_VALUE"""),780)</f>
        <v>780</v>
      </c>
      <c r="I19" s="104">
        <f t="shared" ca="1" si="0"/>
        <v>823</v>
      </c>
      <c r="J19" s="105"/>
      <c r="K19" s="94">
        <f t="shared" ca="1" si="2"/>
        <v>205.75</v>
      </c>
      <c r="L19" s="94">
        <f t="shared" ca="1" si="3"/>
        <v>274.33333333333331</v>
      </c>
      <c r="M19" s="93" t="b">
        <v>1</v>
      </c>
    </row>
    <row r="20" spans="1:14">
      <c r="A20" s="94" t="str">
        <f ca="1">IFERROR(__xludf.DUMMYFUNCTION("""COMPUTED_VALUE"""),"ACTIVIDAD 1.16")</f>
        <v>ACTIVIDAD 1.16</v>
      </c>
      <c r="B20" s="100" t="str">
        <f ca="1">IFERROR(__xludf.DUMMYFUNCTION("""COMPUTED_VALUE"""),"Niñas y niños en condición de vulnerabilidad económica que terminaron ciclo escolar de nivel preescolar en 2023")</f>
        <v>Niñas y niños en condición de vulnerabilidad económica que terminaron ciclo escolar de nivel preescolar en 2023</v>
      </c>
      <c r="C20" s="94" t="str">
        <f ca="1">IFERROR(__xludf.DUMMYFUNCTION("""COMPUTED_VALUE"""),"Porcentaje")</f>
        <v>Porcentaje</v>
      </c>
      <c r="D20" s="94">
        <f ca="1">IFERROR(__xludf.DUMMYFUNCTION("""COMPUTED_VALUE"""),0)</f>
        <v>0</v>
      </c>
      <c r="E20" s="94">
        <f ca="1">IFERROR(__xludf.DUMMYFUNCTION("""COMPUTED_VALUE"""),0)</f>
        <v>0</v>
      </c>
      <c r="F20" s="94">
        <f ca="1">IFERROR(__xludf.DUMMYFUNCTION("""COMPUTED_VALUE"""),0)</f>
        <v>0</v>
      </c>
      <c r="G20" s="94" t="str">
        <f ca="1">IFERROR(__xludf.DUMMYFUNCTION("""COMPUTED_VALUE"""),"103.1%")</f>
        <v>103.1%</v>
      </c>
      <c r="H20" s="95">
        <f ca="1">IFERROR(__xludf.DUMMYFUNCTION("""COMPUTED_VALUE"""),2030)</f>
        <v>2030</v>
      </c>
      <c r="I20" s="104">
        <f t="shared" ca="1" si="0"/>
        <v>0</v>
      </c>
      <c r="J20" s="105">
        <f t="shared" ref="J20:J27" ca="1" si="4">I20/H20</f>
        <v>0</v>
      </c>
      <c r="M20" s="93" t="b">
        <v>1</v>
      </c>
    </row>
    <row r="21" spans="1:14">
      <c r="A21" s="94" t="str">
        <f ca="1">IFERROR(__xludf.DUMMYFUNCTION("""COMPUTED_VALUE"""),"ACTIVIDAD 1.17")</f>
        <v>ACTIVIDAD 1.17</v>
      </c>
      <c r="B21" s="100" t="str">
        <f ca="1">IFERROR(__xludf.DUMMYFUNCTION("""COMPUTED_VALUE""")," Grupos de preescolar activos en CDC en 2023")</f>
        <v xml:space="preserve"> Grupos de preescolar activos en CDC en 2023</v>
      </c>
      <c r="C21" s="94" t="str">
        <f ca="1">IFERROR(__xludf.DUMMYFUNCTION("""COMPUTED_VALUE"""),"Porcentaje")</f>
        <v>Porcentaje</v>
      </c>
      <c r="D21" s="94">
        <f ca="1">IFERROR(__xludf.DUMMYFUNCTION("""COMPUTED_VALUE"""),99)</f>
        <v>99</v>
      </c>
      <c r="E21" s="94">
        <f ca="1">IFERROR(__xludf.DUMMYFUNCTION("""COMPUTED_VALUE"""),99)</f>
        <v>99</v>
      </c>
      <c r="F21" s="94">
        <f ca="1">IFERROR(__xludf.DUMMYFUNCTION("""COMPUTED_VALUE"""),99)</f>
        <v>99</v>
      </c>
      <c r="G21" s="94" t="str">
        <f ca="1">IFERROR(__xludf.DUMMYFUNCTION("""COMPUTED_VALUE"""),"100%")</f>
        <v>100%</v>
      </c>
      <c r="H21" s="95">
        <f ca="1">IFERROR(__xludf.DUMMYFUNCTION("""COMPUTED_VALUE"""),1188)</f>
        <v>1188</v>
      </c>
      <c r="I21" s="104">
        <f t="shared" ca="1" si="0"/>
        <v>297</v>
      </c>
      <c r="J21" s="105">
        <f t="shared" ca="1" si="4"/>
        <v>0.25</v>
      </c>
      <c r="M21" s="93" t="b">
        <v>1</v>
      </c>
    </row>
    <row r="22" spans="1:14">
      <c r="A22" s="94" t="str">
        <f ca="1">IFERROR(__xludf.DUMMYFUNCTION("""COMPUTED_VALUE"""),"COMPONENTE 2")</f>
        <v>COMPONENTE 2</v>
      </c>
      <c r="B22" s="100" t="str">
        <f ca="1">IFERROR(__xludf.DUMMYFUNCTION("""COMPUTED_VALUE"""),"Apoyos asistenciales entregados a población en situación de emergencia, durante el 2023")</f>
        <v>Apoyos asistenciales entregados a población en situación de emergencia, durante el 2023</v>
      </c>
      <c r="C22" s="94" t="str">
        <f ca="1">IFERROR(__xludf.DUMMYFUNCTION("""COMPUTED_VALUE"""),"Porcentaje")</f>
        <v>Porcentaje</v>
      </c>
      <c r="D22" s="94"/>
      <c r="E22" s="94">
        <f ca="1">IFERROR(__xludf.DUMMYFUNCTION("""COMPUTED_VALUE"""),0)</f>
        <v>0</v>
      </c>
      <c r="F22" s="94">
        <f ca="1">IFERROR(__xludf.DUMMYFUNCTION("""COMPUTED_VALUE"""),0)</f>
        <v>0</v>
      </c>
      <c r="G22" s="94" t="str">
        <f ca="1">IFERROR(__xludf.DUMMYFUNCTION("""COMPUTED_VALUE"""),"113.4%")</f>
        <v>113.4%</v>
      </c>
      <c r="H22" s="95">
        <f ca="1">IFERROR(__xludf.DUMMYFUNCTION("""COMPUTED_VALUE"""),5000)</f>
        <v>5000</v>
      </c>
      <c r="I22" s="104">
        <f t="shared" ca="1" si="0"/>
        <v>0</v>
      </c>
      <c r="J22" s="105">
        <f t="shared" ca="1" si="4"/>
        <v>0</v>
      </c>
      <c r="M22" s="93" t="b">
        <v>1</v>
      </c>
      <c r="N22" s="93" t="s">
        <v>364</v>
      </c>
    </row>
    <row r="23" spans="1:14">
      <c r="A23" s="94" t="str">
        <f ca="1">IFERROR(__xludf.DUMMYFUNCTION("""COMPUTED_VALUE"""),"ACTIVIDAD 2.1")</f>
        <v>ACTIVIDAD 2.1</v>
      </c>
      <c r="B23" s="100" t="str">
        <f ca="1">IFERROR(__xludf.DUMMYFUNCTION("""COMPUTED_VALUE"""),"Capacitaciones brindadas a la población abierta y población en condiciones de emergencias, durante el 2023")</f>
        <v>Capacitaciones brindadas a la población abierta y población en condiciones de emergencias, durante el 2023</v>
      </c>
      <c r="C23" s="94" t="str">
        <f ca="1">IFERROR(__xludf.DUMMYFUNCTION("""COMPUTED_VALUE"""),"Porcentaje")</f>
        <v>Porcentaje</v>
      </c>
      <c r="D23" s="94">
        <f ca="1">IFERROR(__xludf.DUMMYFUNCTION("""COMPUTED_VALUE"""),7)</f>
        <v>7</v>
      </c>
      <c r="E23" s="94">
        <f ca="1">IFERROR(__xludf.DUMMYFUNCTION("""COMPUTED_VALUE"""),0)</f>
        <v>0</v>
      </c>
      <c r="F23" s="94">
        <f ca="1">IFERROR(__xludf.DUMMYFUNCTION("""COMPUTED_VALUE"""),1)</f>
        <v>1</v>
      </c>
      <c r="G23" s="94" t="str">
        <f ca="1">IFERROR(__xludf.DUMMYFUNCTION("""COMPUTED_VALUE"""),"285.7%")</f>
        <v>285.7%</v>
      </c>
      <c r="H23" s="95">
        <f ca="1">IFERROR(__xludf.DUMMYFUNCTION("""COMPUTED_VALUE"""),7)</f>
        <v>7</v>
      </c>
      <c r="I23" s="104">
        <f t="shared" ca="1" si="0"/>
        <v>8</v>
      </c>
      <c r="J23" s="105">
        <f t="shared" ca="1" si="4"/>
        <v>1.1428571428571428</v>
      </c>
      <c r="M23" s="93" t="b">
        <v>1</v>
      </c>
    </row>
    <row r="24" spans="1:14">
      <c r="A24" s="94" t="str">
        <f ca="1">IFERROR(__xludf.DUMMYFUNCTION("""COMPUTED_VALUE"""),"COMPONENTE 3")</f>
        <v>COMPONENTE 3</v>
      </c>
      <c r="B24" s="100" t="str">
        <f ca="1">IFERROR(__xludf.DUMMYFUNCTION("""COMPUTED_VALUE"""),"Atenciones multidisciplinarias realizadas a las personas que viven y/o ejercer violencia familiar en el municipio de Guadalajara, durante el 2023")</f>
        <v>Atenciones multidisciplinarias realizadas a las personas que viven y/o ejercer violencia familiar en el municipio de Guadalajara, durante el 2023</v>
      </c>
      <c r="C24" s="94" t="str">
        <f ca="1">IFERROR(__xludf.DUMMYFUNCTION("""COMPUTED_VALUE"""),"Porcentaje")</f>
        <v>Porcentaje</v>
      </c>
      <c r="D24" s="94">
        <f ca="1">IFERROR(__xludf.DUMMYFUNCTION("""COMPUTED_VALUE"""),49)</f>
        <v>49</v>
      </c>
      <c r="E24" s="94">
        <f ca="1">IFERROR(__xludf.DUMMYFUNCTION("""COMPUTED_VALUE"""),113)</f>
        <v>113</v>
      </c>
      <c r="F24" s="94">
        <f ca="1">IFERROR(__xludf.DUMMYFUNCTION("""COMPUTED_VALUE"""),107)</f>
        <v>107</v>
      </c>
      <c r="G24" s="94" t="str">
        <f ca="1">IFERROR(__xludf.DUMMYFUNCTION("""COMPUTED_VALUE"""),"100.8%")</f>
        <v>100.8%</v>
      </c>
      <c r="H24" s="95">
        <f ca="1">IFERROR(__xludf.DUMMYFUNCTION("""COMPUTED_VALUE"""),1100)</f>
        <v>1100</v>
      </c>
      <c r="I24" s="104">
        <f t="shared" ca="1" si="0"/>
        <v>269</v>
      </c>
      <c r="J24" s="105">
        <f t="shared" ca="1" si="4"/>
        <v>0.24454545454545454</v>
      </c>
      <c r="M24" s="93" t="b">
        <v>1</v>
      </c>
    </row>
    <row r="25" spans="1:14">
      <c r="A25" s="94" t="str">
        <f ca="1">IFERROR(__xludf.DUMMYFUNCTION("""COMPUTED_VALUE"""),"ACTIVIDAD 3.1")</f>
        <v>ACTIVIDAD 3.1</v>
      </c>
      <c r="B25" s="100" t="str">
        <f ca="1">IFERROR(__xludf.DUMMYFUNCTION("""COMPUTED_VALUE"""),"Aperturas de expedientes para la atención multidisciplinaria primaria realizadas a las personas que viven y/o ejercen violencia familiar en el Municipio de Guadalajara, durante el 2023")</f>
        <v>Aperturas de expedientes para la atención multidisciplinaria primaria realizadas a las personas que viven y/o ejercen violencia familiar en el Municipio de Guadalajara, durante el 2023</v>
      </c>
      <c r="C25" s="94" t="str">
        <f ca="1">IFERROR(__xludf.DUMMYFUNCTION("""COMPUTED_VALUE"""),"Porcentaje")</f>
        <v>Porcentaje</v>
      </c>
      <c r="D25" s="94">
        <f ca="1">IFERROR(__xludf.DUMMYFUNCTION("""COMPUTED_VALUE"""),30)</f>
        <v>30</v>
      </c>
      <c r="E25" s="94">
        <f ca="1">IFERROR(__xludf.DUMMYFUNCTION("""COMPUTED_VALUE"""),85)</f>
        <v>85</v>
      </c>
      <c r="F25" s="94">
        <f ca="1">IFERROR(__xludf.DUMMYFUNCTION("""COMPUTED_VALUE"""),68)</f>
        <v>68</v>
      </c>
      <c r="G25" s="94" t="str">
        <f ca="1">IFERROR(__xludf.DUMMYFUNCTION("""COMPUTED_VALUE"""),"107%")</f>
        <v>107%</v>
      </c>
      <c r="H25" s="95">
        <f ca="1">IFERROR(__xludf.DUMMYFUNCTION("""COMPUTED_VALUE"""),700)</f>
        <v>700</v>
      </c>
      <c r="I25" s="104">
        <f t="shared" ca="1" si="0"/>
        <v>183</v>
      </c>
      <c r="J25" s="105">
        <f t="shared" ca="1" si="4"/>
        <v>0.26142857142857145</v>
      </c>
      <c r="M25" s="93" t="b">
        <v>1</v>
      </c>
    </row>
    <row r="26" spans="1:14">
      <c r="A26" s="94" t="str">
        <f ca="1">IFERROR(__xludf.DUMMYFUNCTION("""COMPUTED_VALUE"""),"ACTIVIDAD 3.2")</f>
        <v>ACTIVIDAD 3.2</v>
      </c>
      <c r="B26" s="100" t="str">
        <f ca="1">IFERROR(__xludf.DUMMYFUNCTION("""COMPUTED_VALUE"""),"Intervención multidisciplinaria de seguimiento a expedientes activos, durante el 2023")</f>
        <v>Intervención multidisciplinaria de seguimiento a expedientes activos, durante el 2023</v>
      </c>
      <c r="C26" s="94" t="str">
        <f ca="1">IFERROR(__xludf.DUMMYFUNCTION("""COMPUTED_VALUE"""),"Porcentaje")</f>
        <v>Porcentaje</v>
      </c>
      <c r="D26" s="94">
        <f ca="1">IFERROR(__xludf.DUMMYFUNCTION("""COMPUTED_VALUE"""),19)</f>
        <v>19</v>
      </c>
      <c r="E26" s="94">
        <f ca="1">IFERROR(__xludf.DUMMYFUNCTION("""COMPUTED_VALUE"""),28)</f>
        <v>28</v>
      </c>
      <c r="F26" s="94">
        <f ca="1">IFERROR(__xludf.DUMMYFUNCTION("""COMPUTED_VALUE"""),39)</f>
        <v>39</v>
      </c>
      <c r="G26" s="94" t="str">
        <f ca="1">IFERROR(__xludf.DUMMYFUNCTION("""COMPUTED_VALUE"""),"88.5%")</f>
        <v>88.5%</v>
      </c>
      <c r="H26" s="95">
        <f ca="1">IFERROR(__xludf.DUMMYFUNCTION("""COMPUTED_VALUE"""),400)</f>
        <v>400</v>
      </c>
      <c r="I26" s="104">
        <f t="shared" ca="1" si="0"/>
        <v>86</v>
      </c>
      <c r="J26" s="105">
        <f t="shared" ca="1" si="4"/>
        <v>0.215</v>
      </c>
      <c r="M26" s="93" t="b">
        <v>1</v>
      </c>
    </row>
    <row r="27" spans="1:14">
      <c r="A27" s="94" t="str">
        <f ca="1">IFERROR(__xludf.DUMMYFUNCTION("""COMPUTED_VALUE"""),"COMPONENTE 4")</f>
        <v>COMPONENTE 4</v>
      </c>
      <c r="B27" s="100" t="str">
        <f ca="1">IFERROR(__xludf.DUMMYFUNCTION("""COMPUTED_VALUE"""),"Implementación de sesiones grupales de acompañamiento psicosocial y psicoeducativo para las personas usuarias del Programa de Acompañar las Ausencias, durante el 2023")</f>
        <v>Implementación de sesiones grupales de acompañamiento psicosocial y psicoeducativo para las personas usuarias del Programa de Acompañar las Ausencias, durante el 2023</v>
      </c>
      <c r="C27" s="94" t="str">
        <f ca="1">IFERROR(__xludf.DUMMYFUNCTION("""COMPUTED_VALUE"""),"Porcentaje")</f>
        <v>Porcentaje</v>
      </c>
      <c r="D27" s="94">
        <f ca="1">IFERROR(__xludf.DUMMYFUNCTION("""COMPUTED_VALUE"""),0)</f>
        <v>0</v>
      </c>
      <c r="E27" s="94">
        <f ca="1">IFERROR(__xludf.DUMMYFUNCTION("""COMPUTED_VALUE"""),1)</f>
        <v>1</v>
      </c>
      <c r="F27" s="94">
        <f ca="1">IFERROR(__xludf.DUMMYFUNCTION("""COMPUTED_VALUE"""),1)</f>
        <v>1</v>
      </c>
      <c r="G27" s="94" t="str">
        <f ca="1">IFERROR(__xludf.DUMMYFUNCTION("""COMPUTED_VALUE"""),"91.7%")</f>
        <v>91.7%</v>
      </c>
      <c r="H27" s="95">
        <f ca="1">IFERROR(__xludf.DUMMYFUNCTION("""COMPUTED_VALUE"""),12)</f>
        <v>12</v>
      </c>
      <c r="I27" s="104">
        <f t="shared" ca="1" si="0"/>
        <v>2</v>
      </c>
      <c r="J27" s="105">
        <f t="shared" ca="1" si="4"/>
        <v>0.16666666666666666</v>
      </c>
      <c r="M27" s="93" t="b">
        <v>1</v>
      </c>
    </row>
    <row r="28" spans="1:14">
      <c r="A28" s="94" t="str">
        <f ca="1">IFERROR(__xludf.DUMMYFUNCTION("""COMPUTED_VALUE"""),"ACTIVIDAD 4.1")</f>
        <v>ACTIVIDAD 4.1</v>
      </c>
      <c r="B28" s="100" t="str">
        <f ca="1">IFERROR(__xludf.DUMMYFUNCTION("""COMPUTED_VALUE"""),"Acompañamientos psicosociales para familiares de víctimas indirectas de desaparición brindadas, durante el 2023")</f>
        <v>Acompañamientos psicosociales para familiares de víctimas indirectas de desaparición brindadas, durante el 2023</v>
      </c>
      <c r="C28" s="94" t="str">
        <f ca="1">IFERROR(__xludf.DUMMYFUNCTION("""COMPUTED_VALUE"""),"Promedio")</f>
        <v>Promedio</v>
      </c>
      <c r="D28" s="94">
        <f ca="1">IFERROR(__xludf.DUMMYFUNCTION("""COMPUTED_VALUE"""),109)</f>
        <v>109</v>
      </c>
      <c r="E28" s="94">
        <f ca="1">IFERROR(__xludf.DUMMYFUNCTION("""COMPUTED_VALUE"""),112)</f>
        <v>112</v>
      </c>
      <c r="F28" s="94">
        <f ca="1">IFERROR(__xludf.DUMMYFUNCTION("""COMPUTED_VALUE"""),114)</f>
        <v>114</v>
      </c>
      <c r="G28" s="94" t="str">
        <f ca="1">IFERROR(__xludf.DUMMYFUNCTION("""COMPUTED_VALUE"""),"330")</f>
        <v>330</v>
      </c>
      <c r="H28" s="95">
        <f ca="1">IFERROR(__xludf.DUMMYFUNCTION("""COMPUTED_VALUE"""),330)</f>
        <v>330</v>
      </c>
      <c r="I28" s="104">
        <f t="shared" ca="1" si="0"/>
        <v>335</v>
      </c>
      <c r="J28" s="105"/>
      <c r="K28" s="94">
        <f ca="1">I28/4</f>
        <v>83.75</v>
      </c>
      <c r="L28" s="94">
        <f ca="1">I28/3</f>
        <v>111.66666666666667</v>
      </c>
      <c r="M28" s="93" t="b">
        <v>1</v>
      </c>
    </row>
    <row r="29" spans="1:14">
      <c r="A29" s="94" t="str">
        <f ca="1">IFERROR(__xludf.DUMMYFUNCTION("""COMPUTED_VALUE"""),"ACTIVIDAD 4.2")</f>
        <v>ACTIVIDAD 4.2</v>
      </c>
      <c r="B29" s="100" t="str">
        <f ca="1">IFERROR(__xludf.DUMMYFUNCTION("""COMPUTED_VALUE"""),"A2C4. Familiares de personas desaparcidas atendidas por el programa de Acompañar las Ausencias")</f>
        <v>A2C4. Familiares de personas desaparcidas atendidas por el programa de Acompañar las Ausencias</v>
      </c>
      <c r="C29" s="94" t="str">
        <f ca="1">IFERROR(__xludf.DUMMYFUNCTION("""COMPUTED_VALUE"""),"Porcentaje")</f>
        <v>Porcentaje</v>
      </c>
      <c r="D29" s="94">
        <f ca="1">IFERROR(__xludf.DUMMYFUNCTION("""COMPUTED_VALUE"""),0)</f>
        <v>0</v>
      </c>
      <c r="E29" s="94">
        <f ca="1">IFERROR(__xludf.DUMMYFUNCTION("""COMPUTED_VALUE"""),191)</f>
        <v>191</v>
      </c>
      <c r="F29" s="94">
        <f ca="1">IFERROR(__xludf.DUMMYFUNCTION("""COMPUTED_VALUE"""),118)</f>
        <v>118</v>
      </c>
      <c r="G29" s="94" t="str">
        <f ca="1">IFERROR(__xludf.DUMMYFUNCTION("""COMPUTED_VALUE"""),"103.9%")</f>
        <v>103.9%</v>
      </c>
      <c r="H29" s="95">
        <f ca="1">IFERROR(__xludf.DUMMYFUNCTION("""COMPUTED_VALUE"""),1800)</f>
        <v>1800</v>
      </c>
      <c r="I29" s="104">
        <f t="shared" ca="1" si="0"/>
        <v>309</v>
      </c>
      <c r="J29" s="105">
        <f ca="1">I29/H29</f>
        <v>0.17166666666666666</v>
      </c>
      <c r="M29" s="93" t="b">
        <v>1</v>
      </c>
    </row>
    <row r="30" spans="1:14">
      <c r="B30" s="100"/>
    </row>
    <row r="31" spans="1:14">
      <c r="B31" s="100"/>
    </row>
    <row r="32" spans="1:14">
      <c r="B32" s="100"/>
    </row>
    <row r="33" spans="2:2">
      <c r="B33" s="100"/>
    </row>
    <row r="34" spans="2:2">
      <c r="B34" s="100"/>
    </row>
    <row r="35" spans="2:2">
      <c r="B35" s="100"/>
    </row>
    <row r="36" spans="2:2">
      <c r="B36" s="100"/>
    </row>
    <row r="37" spans="2:2">
      <c r="B37" s="100"/>
    </row>
    <row r="38" spans="2:2">
      <c r="B38" s="100"/>
    </row>
    <row r="39" spans="2:2">
      <c r="B39" s="100"/>
    </row>
    <row r="40" spans="2:2">
      <c r="B40" s="100"/>
    </row>
    <row r="41" spans="2:2">
      <c r="B41" s="100"/>
    </row>
    <row r="42" spans="2:2">
      <c r="B42" s="100"/>
    </row>
    <row r="43" spans="2:2">
      <c r="B43" s="100"/>
    </row>
    <row r="44" spans="2:2">
      <c r="B44" s="100"/>
    </row>
    <row r="45" spans="2:2">
      <c r="B45" s="100"/>
    </row>
    <row r="46" spans="2:2">
      <c r="B46" s="100"/>
    </row>
    <row r="47" spans="2:2">
      <c r="B47" s="100"/>
    </row>
    <row r="48" spans="2:2">
      <c r="B48" s="100"/>
    </row>
    <row r="49" spans="2:2">
      <c r="B49" s="100"/>
    </row>
    <row r="50" spans="2:2">
      <c r="B50" s="100"/>
    </row>
    <row r="51" spans="2:2">
      <c r="B51" s="100"/>
    </row>
    <row r="52" spans="2:2">
      <c r="B52" s="100"/>
    </row>
    <row r="53" spans="2:2">
      <c r="B53" s="100"/>
    </row>
    <row r="54" spans="2:2">
      <c r="B54" s="100"/>
    </row>
    <row r="55" spans="2:2">
      <c r="B55" s="100"/>
    </row>
    <row r="56" spans="2:2">
      <c r="B56" s="100"/>
    </row>
    <row r="57" spans="2:2">
      <c r="B57" s="100"/>
    </row>
    <row r="58" spans="2:2">
      <c r="B58" s="100"/>
    </row>
    <row r="59" spans="2:2">
      <c r="B59" s="100"/>
    </row>
    <row r="60" spans="2:2">
      <c r="B60" s="100"/>
    </row>
    <row r="61" spans="2:2">
      <c r="B61" s="100"/>
    </row>
    <row r="62" spans="2:2">
      <c r="B62" s="100"/>
    </row>
    <row r="63" spans="2:2">
      <c r="B63" s="100"/>
    </row>
    <row r="64" spans="2:2">
      <c r="B64" s="100"/>
    </row>
    <row r="65" spans="2:2">
      <c r="B65" s="100"/>
    </row>
    <row r="66" spans="2:2">
      <c r="B66" s="100"/>
    </row>
    <row r="67" spans="2:2">
      <c r="B67" s="100"/>
    </row>
    <row r="68" spans="2:2">
      <c r="B68" s="100"/>
    </row>
    <row r="69" spans="2:2">
      <c r="B69" s="100"/>
    </row>
    <row r="70" spans="2:2">
      <c r="B70" s="100"/>
    </row>
    <row r="71" spans="2:2">
      <c r="B71" s="100"/>
    </row>
    <row r="72" spans="2:2">
      <c r="B72" s="100"/>
    </row>
    <row r="73" spans="2:2">
      <c r="B73" s="100"/>
    </row>
    <row r="74" spans="2:2">
      <c r="B74" s="100"/>
    </row>
    <row r="75" spans="2:2">
      <c r="B75" s="100"/>
    </row>
    <row r="76" spans="2:2">
      <c r="B76" s="100"/>
    </row>
    <row r="77" spans="2:2">
      <c r="B77" s="100"/>
    </row>
    <row r="78" spans="2:2">
      <c r="B78" s="100"/>
    </row>
    <row r="79" spans="2:2">
      <c r="B79" s="100"/>
    </row>
    <row r="80" spans="2:2">
      <c r="B80" s="100"/>
    </row>
    <row r="81" spans="2:2">
      <c r="B81" s="100"/>
    </row>
    <row r="82" spans="2:2">
      <c r="B82" s="100"/>
    </row>
    <row r="83" spans="2:2">
      <c r="B83" s="100"/>
    </row>
    <row r="84" spans="2:2">
      <c r="B84" s="100"/>
    </row>
    <row r="85" spans="2:2">
      <c r="B85" s="100"/>
    </row>
    <row r="86" spans="2:2">
      <c r="B86" s="100"/>
    </row>
    <row r="87" spans="2:2">
      <c r="B87" s="100"/>
    </row>
    <row r="88" spans="2:2">
      <c r="B88" s="100"/>
    </row>
    <row r="89" spans="2:2">
      <c r="B89" s="100"/>
    </row>
    <row r="90" spans="2:2">
      <c r="B90" s="100"/>
    </row>
    <row r="91" spans="2:2">
      <c r="B91" s="100"/>
    </row>
    <row r="92" spans="2:2">
      <c r="B92" s="100"/>
    </row>
    <row r="93" spans="2:2">
      <c r="B93" s="100"/>
    </row>
    <row r="94" spans="2:2">
      <c r="B94" s="100"/>
    </row>
    <row r="95" spans="2:2">
      <c r="B95" s="100"/>
    </row>
    <row r="96" spans="2:2">
      <c r="B96" s="100"/>
    </row>
    <row r="97" spans="2:2">
      <c r="B97" s="100"/>
    </row>
    <row r="98" spans="2:2">
      <c r="B98" s="100"/>
    </row>
    <row r="99" spans="2:2">
      <c r="B99" s="100"/>
    </row>
    <row r="100" spans="2:2">
      <c r="B100" s="100"/>
    </row>
    <row r="101" spans="2:2">
      <c r="B101" s="100"/>
    </row>
    <row r="102" spans="2:2">
      <c r="B102" s="100"/>
    </row>
    <row r="103" spans="2:2">
      <c r="B103" s="100"/>
    </row>
    <row r="104" spans="2:2">
      <c r="B104" s="100"/>
    </row>
    <row r="105" spans="2:2">
      <c r="B105" s="100"/>
    </row>
    <row r="106" spans="2:2">
      <c r="B106" s="100"/>
    </row>
    <row r="107" spans="2:2">
      <c r="B107" s="100"/>
    </row>
    <row r="108" spans="2:2">
      <c r="B108" s="100"/>
    </row>
    <row r="109" spans="2:2">
      <c r="B109" s="100"/>
    </row>
    <row r="110" spans="2:2">
      <c r="B110" s="100"/>
    </row>
    <row r="111" spans="2:2">
      <c r="B111" s="100"/>
    </row>
    <row r="112" spans="2:2">
      <c r="B112" s="100"/>
    </row>
    <row r="113" spans="2:2">
      <c r="B113" s="100"/>
    </row>
    <row r="114" spans="2:2">
      <c r="B114" s="100"/>
    </row>
    <row r="115" spans="2:2">
      <c r="B115" s="100"/>
    </row>
    <row r="116" spans="2:2">
      <c r="B116" s="100"/>
    </row>
    <row r="117" spans="2:2">
      <c r="B117" s="100"/>
    </row>
    <row r="118" spans="2:2">
      <c r="B118" s="100"/>
    </row>
    <row r="119" spans="2:2">
      <c r="B119" s="100"/>
    </row>
    <row r="120" spans="2:2">
      <c r="B120" s="100"/>
    </row>
    <row r="121" spans="2:2">
      <c r="B121" s="100"/>
    </row>
    <row r="122" spans="2:2">
      <c r="B122" s="100"/>
    </row>
    <row r="123" spans="2:2">
      <c r="B123" s="100"/>
    </row>
    <row r="124" spans="2:2">
      <c r="B124" s="100"/>
    </row>
    <row r="125" spans="2:2">
      <c r="B125" s="100"/>
    </row>
    <row r="126" spans="2:2">
      <c r="B126" s="100"/>
    </row>
    <row r="127" spans="2:2">
      <c r="B127" s="100"/>
    </row>
    <row r="128" spans="2:2">
      <c r="B128" s="100"/>
    </row>
    <row r="129" spans="2:2">
      <c r="B129" s="100"/>
    </row>
    <row r="130" spans="2:2">
      <c r="B130" s="100"/>
    </row>
    <row r="131" spans="2:2">
      <c r="B131" s="100"/>
    </row>
    <row r="132" spans="2:2">
      <c r="B132" s="100"/>
    </row>
    <row r="133" spans="2:2">
      <c r="B133" s="100"/>
    </row>
    <row r="134" spans="2:2">
      <c r="B134" s="100"/>
    </row>
    <row r="135" spans="2:2">
      <c r="B135" s="100"/>
    </row>
    <row r="136" spans="2:2">
      <c r="B136" s="100"/>
    </row>
    <row r="137" spans="2:2">
      <c r="B137" s="100"/>
    </row>
    <row r="138" spans="2:2">
      <c r="B138" s="100"/>
    </row>
    <row r="139" spans="2:2">
      <c r="B139" s="100"/>
    </row>
    <row r="140" spans="2:2">
      <c r="B140" s="100"/>
    </row>
    <row r="141" spans="2:2">
      <c r="B141" s="100"/>
    </row>
    <row r="142" spans="2:2">
      <c r="B142" s="100"/>
    </row>
    <row r="143" spans="2:2">
      <c r="B143" s="100"/>
    </row>
    <row r="144" spans="2:2">
      <c r="B144" s="100"/>
    </row>
    <row r="145" spans="2:2">
      <c r="B145" s="100"/>
    </row>
    <row r="146" spans="2:2">
      <c r="B146" s="100"/>
    </row>
    <row r="147" spans="2:2">
      <c r="B147" s="100"/>
    </row>
    <row r="148" spans="2:2">
      <c r="B148" s="100"/>
    </row>
    <row r="149" spans="2:2">
      <c r="B149" s="100"/>
    </row>
    <row r="150" spans="2:2">
      <c r="B150" s="100"/>
    </row>
    <row r="151" spans="2:2">
      <c r="B151" s="100"/>
    </row>
    <row r="152" spans="2:2">
      <c r="B152" s="100"/>
    </row>
    <row r="153" spans="2:2">
      <c r="B153" s="100"/>
    </row>
    <row r="154" spans="2:2">
      <c r="B154" s="100"/>
    </row>
    <row r="155" spans="2:2">
      <c r="B155" s="100"/>
    </row>
    <row r="156" spans="2:2">
      <c r="B156" s="100"/>
    </row>
    <row r="157" spans="2:2">
      <c r="B157" s="100"/>
    </row>
    <row r="158" spans="2:2">
      <c r="B158" s="100"/>
    </row>
    <row r="159" spans="2:2">
      <c r="B159" s="100"/>
    </row>
    <row r="160" spans="2:2">
      <c r="B160" s="100"/>
    </row>
    <row r="161" spans="2:2">
      <c r="B161" s="100"/>
    </row>
    <row r="162" spans="2:2">
      <c r="B162" s="100"/>
    </row>
    <row r="163" spans="2:2">
      <c r="B163" s="100"/>
    </row>
    <row r="164" spans="2:2">
      <c r="B164" s="100"/>
    </row>
    <row r="165" spans="2:2">
      <c r="B165" s="100"/>
    </row>
    <row r="166" spans="2:2">
      <c r="B166" s="100"/>
    </row>
    <row r="167" spans="2:2">
      <c r="B167" s="100"/>
    </row>
    <row r="168" spans="2:2">
      <c r="B168" s="100"/>
    </row>
    <row r="169" spans="2:2">
      <c r="B169" s="100"/>
    </row>
    <row r="170" spans="2:2">
      <c r="B170" s="100"/>
    </row>
    <row r="171" spans="2:2">
      <c r="B171" s="100"/>
    </row>
    <row r="172" spans="2:2">
      <c r="B172" s="100"/>
    </row>
    <row r="173" spans="2:2">
      <c r="B173" s="100"/>
    </row>
    <row r="174" spans="2:2">
      <c r="B174" s="100"/>
    </row>
    <row r="175" spans="2:2">
      <c r="B175" s="100"/>
    </row>
    <row r="176" spans="2:2">
      <c r="B176" s="100"/>
    </row>
    <row r="177" spans="2:2">
      <c r="B177" s="100"/>
    </row>
    <row r="178" spans="2:2">
      <c r="B178" s="100"/>
    </row>
    <row r="179" spans="2:2">
      <c r="B179" s="100"/>
    </row>
    <row r="180" spans="2:2">
      <c r="B180" s="100"/>
    </row>
    <row r="181" spans="2:2">
      <c r="B181" s="100"/>
    </row>
    <row r="182" spans="2:2">
      <c r="B182" s="100"/>
    </row>
    <row r="183" spans="2:2">
      <c r="B183" s="100"/>
    </row>
    <row r="184" spans="2:2">
      <c r="B184" s="100"/>
    </row>
    <row r="185" spans="2:2">
      <c r="B185" s="100"/>
    </row>
    <row r="186" spans="2:2">
      <c r="B186" s="100"/>
    </row>
    <row r="187" spans="2:2">
      <c r="B187" s="100"/>
    </row>
    <row r="188" spans="2:2">
      <c r="B188" s="100"/>
    </row>
    <row r="189" spans="2:2">
      <c r="B189" s="100"/>
    </row>
    <row r="190" spans="2:2">
      <c r="B190" s="100"/>
    </row>
    <row r="191" spans="2:2">
      <c r="B191" s="100"/>
    </row>
    <row r="192" spans="2:2">
      <c r="B192" s="100"/>
    </row>
    <row r="193" spans="2:2">
      <c r="B193" s="100"/>
    </row>
    <row r="194" spans="2:2">
      <c r="B194" s="100"/>
    </row>
    <row r="195" spans="2:2">
      <c r="B195" s="100"/>
    </row>
    <row r="196" spans="2:2">
      <c r="B196" s="100"/>
    </row>
    <row r="197" spans="2:2">
      <c r="B197" s="100"/>
    </row>
    <row r="198" spans="2:2">
      <c r="B198" s="100"/>
    </row>
    <row r="199" spans="2:2">
      <c r="B199" s="100"/>
    </row>
    <row r="200" spans="2:2">
      <c r="B200" s="100"/>
    </row>
    <row r="201" spans="2:2">
      <c r="B201" s="100"/>
    </row>
    <row r="202" spans="2:2">
      <c r="B202" s="100"/>
    </row>
    <row r="203" spans="2:2">
      <c r="B203" s="100"/>
    </row>
    <row r="204" spans="2:2">
      <c r="B204" s="100"/>
    </row>
    <row r="205" spans="2:2">
      <c r="B205" s="100"/>
    </row>
    <row r="206" spans="2:2">
      <c r="B206" s="100"/>
    </row>
    <row r="207" spans="2:2">
      <c r="B207" s="100"/>
    </row>
    <row r="208" spans="2:2">
      <c r="B208" s="100"/>
    </row>
    <row r="209" spans="2:2">
      <c r="B209" s="100"/>
    </row>
    <row r="210" spans="2:2">
      <c r="B210" s="100"/>
    </row>
    <row r="211" spans="2:2">
      <c r="B211" s="100"/>
    </row>
    <row r="212" spans="2:2">
      <c r="B212" s="100"/>
    </row>
    <row r="213" spans="2:2">
      <c r="B213" s="100"/>
    </row>
    <row r="214" spans="2:2">
      <c r="B214" s="100"/>
    </row>
    <row r="215" spans="2:2">
      <c r="B215" s="100"/>
    </row>
    <row r="216" spans="2:2">
      <c r="B216" s="100"/>
    </row>
    <row r="217" spans="2:2">
      <c r="B217" s="100"/>
    </row>
    <row r="218" spans="2:2">
      <c r="B218" s="100"/>
    </row>
    <row r="219" spans="2:2">
      <c r="B219" s="100"/>
    </row>
    <row r="220" spans="2:2">
      <c r="B220" s="100"/>
    </row>
    <row r="221" spans="2:2">
      <c r="B221" s="100"/>
    </row>
    <row r="222" spans="2:2">
      <c r="B222" s="100"/>
    </row>
    <row r="223" spans="2:2">
      <c r="B223" s="100"/>
    </row>
    <row r="224" spans="2:2">
      <c r="B224" s="100"/>
    </row>
    <row r="225" spans="2:2">
      <c r="B225" s="100"/>
    </row>
    <row r="226" spans="2:2">
      <c r="B226" s="100"/>
    </row>
    <row r="227" spans="2:2">
      <c r="B227" s="100"/>
    </row>
    <row r="228" spans="2:2">
      <c r="B228" s="100"/>
    </row>
    <row r="229" spans="2:2">
      <c r="B229" s="100"/>
    </row>
    <row r="230" spans="2:2">
      <c r="B230" s="100"/>
    </row>
    <row r="231" spans="2:2">
      <c r="B231" s="100"/>
    </row>
    <row r="232" spans="2:2">
      <c r="B232" s="100"/>
    </row>
    <row r="233" spans="2:2">
      <c r="B233" s="100"/>
    </row>
    <row r="234" spans="2:2">
      <c r="B234" s="100"/>
    </row>
    <row r="235" spans="2:2">
      <c r="B235" s="100"/>
    </row>
    <row r="236" spans="2:2">
      <c r="B236" s="100"/>
    </row>
    <row r="237" spans="2:2">
      <c r="B237" s="100"/>
    </row>
    <row r="238" spans="2:2">
      <c r="B238" s="100"/>
    </row>
    <row r="239" spans="2:2">
      <c r="B239" s="100"/>
    </row>
    <row r="240" spans="2:2">
      <c r="B240" s="100"/>
    </row>
    <row r="241" spans="2:2">
      <c r="B241" s="100"/>
    </row>
    <row r="242" spans="2:2">
      <c r="B242" s="100"/>
    </row>
    <row r="243" spans="2:2">
      <c r="B243" s="100"/>
    </row>
    <row r="244" spans="2:2">
      <c r="B244" s="100"/>
    </row>
    <row r="245" spans="2:2">
      <c r="B245" s="100"/>
    </row>
    <row r="246" spans="2:2">
      <c r="B246" s="100"/>
    </row>
    <row r="247" spans="2:2">
      <c r="B247" s="100"/>
    </row>
    <row r="248" spans="2:2">
      <c r="B248" s="100"/>
    </row>
    <row r="249" spans="2:2">
      <c r="B249" s="100"/>
    </row>
    <row r="250" spans="2:2">
      <c r="B250" s="100"/>
    </row>
    <row r="251" spans="2:2">
      <c r="B251" s="100"/>
    </row>
    <row r="252" spans="2:2">
      <c r="B252" s="100"/>
    </row>
    <row r="253" spans="2:2">
      <c r="B253" s="100"/>
    </row>
    <row r="254" spans="2:2">
      <c r="B254" s="100"/>
    </row>
    <row r="255" spans="2:2">
      <c r="B255" s="100"/>
    </row>
    <row r="256" spans="2:2">
      <c r="B256" s="100"/>
    </row>
    <row r="257" spans="2:2">
      <c r="B257" s="100"/>
    </row>
    <row r="258" spans="2:2">
      <c r="B258" s="100"/>
    </row>
    <row r="259" spans="2:2">
      <c r="B259" s="100"/>
    </row>
    <row r="260" spans="2:2">
      <c r="B260" s="100"/>
    </row>
    <row r="261" spans="2:2">
      <c r="B261" s="100"/>
    </row>
    <row r="262" spans="2:2">
      <c r="B262" s="100"/>
    </row>
    <row r="263" spans="2:2">
      <c r="B263" s="100"/>
    </row>
    <row r="264" spans="2:2">
      <c r="B264" s="100"/>
    </row>
    <row r="265" spans="2:2">
      <c r="B265" s="100"/>
    </row>
    <row r="266" spans="2:2">
      <c r="B266" s="100"/>
    </row>
    <row r="267" spans="2:2">
      <c r="B267" s="100"/>
    </row>
    <row r="268" spans="2:2">
      <c r="B268" s="100"/>
    </row>
    <row r="269" spans="2:2">
      <c r="B269" s="100"/>
    </row>
    <row r="270" spans="2:2">
      <c r="B270" s="100"/>
    </row>
    <row r="271" spans="2:2">
      <c r="B271" s="100"/>
    </row>
    <row r="272" spans="2:2">
      <c r="B272" s="100"/>
    </row>
    <row r="273" spans="2:2">
      <c r="B273" s="100"/>
    </row>
    <row r="274" spans="2:2">
      <c r="B274" s="100"/>
    </row>
    <row r="275" spans="2:2">
      <c r="B275" s="100"/>
    </row>
    <row r="276" spans="2:2">
      <c r="B276" s="100"/>
    </row>
    <row r="277" spans="2:2">
      <c r="B277" s="100"/>
    </row>
    <row r="278" spans="2:2">
      <c r="B278" s="100"/>
    </row>
    <row r="279" spans="2:2">
      <c r="B279" s="100"/>
    </row>
    <row r="280" spans="2:2">
      <c r="B280" s="100"/>
    </row>
    <row r="281" spans="2:2">
      <c r="B281" s="100"/>
    </row>
    <row r="282" spans="2:2">
      <c r="B282" s="100"/>
    </row>
    <row r="283" spans="2:2">
      <c r="B283" s="100"/>
    </row>
    <row r="284" spans="2:2">
      <c r="B284" s="100"/>
    </row>
    <row r="285" spans="2:2">
      <c r="B285" s="100"/>
    </row>
    <row r="286" spans="2:2">
      <c r="B286" s="100"/>
    </row>
    <row r="287" spans="2:2">
      <c r="B287" s="100"/>
    </row>
    <row r="288" spans="2:2">
      <c r="B288" s="100"/>
    </row>
    <row r="289" spans="2:2">
      <c r="B289" s="100"/>
    </row>
    <row r="290" spans="2:2">
      <c r="B290" s="100"/>
    </row>
    <row r="291" spans="2:2">
      <c r="B291" s="100"/>
    </row>
    <row r="292" spans="2:2">
      <c r="B292" s="100"/>
    </row>
    <row r="293" spans="2:2">
      <c r="B293" s="100"/>
    </row>
    <row r="294" spans="2:2">
      <c r="B294" s="100"/>
    </row>
    <row r="295" spans="2:2">
      <c r="B295" s="100"/>
    </row>
    <row r="296" spans="2:2">
      <c r="B296" s="100"/>
    </row>
    <row r="297" spans="2:2">
      <c r="B297" s="100"/>
    </row>
    <row r="298" spans="2:2">
      <c r="B298" s="100"/>
    </row>
    <row r="299" spans="2:2">
      <c r="B299" s="100"/>
    </row>
    <row r="300" spans="2:2">
      <c r="B300" s="100"/>
    </row>
    <row r="301" spans="2:2">
      <c r="B301" s="100"/>
    </row>
    <row r="302" spans="2:2">
      <c r="B302" s="100"/>
    </row>
    <row r="303" spans="2:2">
      <c r="B303" s="100"/>
    </row>
    <row r="304" spans="2:2">
      <c r="B304" s="100"/>
    </row>
    <row r="305" spans="2:2">
      <c r="B305" s="100"/>
    </row>
    <row r="306" spans="2:2">
      <c r="B306" s="100"/>
    </row>
    <row r="307" spans="2:2">
      <c r="B307" s="100"/>
    </row>
    <row r="308" spans="2:2">
      <c r="B308" s="100"/>
    </row>
    <row r="309" spans="2:2">
      <c r="B309" s="100"/>
    </row>
    <row r="310" spans="2:2">
      <c r="B310" s="100"/>
    </row>
    <row r="311" spans="2:2">
      <c r="B311" s="100"/>
    </row>
    <row r="312" spans="2:2">
      <c r="B312" s="100"/>
    </row>
    <row r="313" spans="2:2">
      <c r="B313" s="100"/>
    </row>
    <row r="314" spans="2:2">
      <c r="B314" s="100"/>
    </row>
    <row r="315" spans="2:2">
      <c r="B315" s="100"/>
    </row>
    <row r="316" spans="2:2">
      <c r="B316" s="100"/>
    </row>
    <row r="317" spans="2:2">
      <c r="B317" s="100"/>
    </row>
    <row r="318" spans="2:2">
      <c r="B318" s="100"/>
    </row>
    <row r="319" spans="2:2">
      <c r="B319" s="100"/>
    </row>
    <row r="320" spans="2:2">
      <c r="B320" s="100"/>
    </row>
    <row r="321" spans="2:2">
      <c r="B321" s="100"/>
    </row>
    <row r="322" spans="2:2">
      <c r="B322" s="100"/>
    </row>
    <row r="323" spans="2:2">
      <c r="B323" s="100"/>
    </row>
    <row r="324" spans="2:2">
      <c r="B324" s="100"/>
    </row>
    <row r="325" spans="2:2">
      <c r="B325" s="100"/>
    </row>
    <row r="326" spans="2:2">
      <c r="B326" s="100"/>
    </row>
    <row r="327" spans="2:2">
      <c r="B327" s="100"/>
    </row>
    <row r="328" spans="2:2">
      <c r="B328" s="100"/>
    </row>
    <row r="329" spans="2:2">
      <c r="B329" s="100"/>
    </row>
    <row r="330" spans="2:2">
      <c r="B330" s="100"/>
    </row>
    <row r="331" spans="2:2">
      <c r="B331" s="100"/>
    </row>
    <row r="332" spans="2:2">
      <c r="B332" s="100"/>
    </row>
    <row r="333" spans="2:2">
      <c r="B333" s="100"/>
    </row>
    <row r="334" spans="2:2">
      <c r="B334" s="100"/>
    </row>
    <row r="335" spans="2:2">
      <c r="B335" s="100"/>
    </row>
    <row r="336" spans="2:2">
      <c r="B336" s="100"/>
    </row>
    <row r="337" spans="2:2">
      <c r="B337" s="100"/>
    </row>
    <row r="338" spans="2:2">
      <c r="B338" s="100"/>
    </row>
    <row r="339" spans="2:2">
      <c r="B339" s="100"/>
    </row>
    <row r="340" spans="2:2">
      <c r="B340" s="100"/>
    </row>
    <row r="341" spans="2:2">
      <c r="B341" s="100"/>
    </row>
    <row r="342" spans="2:2">
      <c r="B342" s="100"/>
    </row>
    <row r="343" spans="2:2">
      <c r="B343" s="100"/>
    </row>
    <row r="344" spans="2:2">
      <c r="B344" s="100"/>
    </row>
    <row r="345" spans="2:2">
      <c r="B345" s="100"/>
    </row>
    <row r="346" spans="2:2">
      <c r="B346" s="100"/>
    </row>
    <row r="347" spans="2:2">
      <c r="B347" s="100"/>
    </row>
    <row r="348" spans="2:2">
      <c r="B348" s="100"/>
    </row>
    <row r="349" spans="2:2">
      <c r="B349" s="100"/>
    </row>
    <row r="350" spans="2:2">
      <c r="B350" s="100"/>
    </row>
    <row r="351" spans="2:2">
      <c r="B351" s="100"/>
    </row>
    <row r="352" spans="2:2">
      <c r="B352" s="100"/>
    </row>
    <row r="353" spans="2:2">
      <c r="B353" s="100"/>
    </row>
    <row r="354" spans="2:2">
      <c r="B354" s="100"/>
    </row>
    <row r="355" spans="2:2">
      <c r="B355" s="100"/>
    </row>
    <row r="356" spans="2:2">
      <c r="B356" s="100"/>
    </row>
    <row r="357" spans="2:2">
      <c r="B357" s="100"/>
    </row>
    <row r="358" spans="2:2">
      <c r="B358" s="100"/>
    </row>
    <row r="359" spans="2:2">
      <c r="B359" s="100"/>
    </row>
    <row r="360" spans="2:2">
      <c r="B360" s="100"/>
    </row>
    <row r="361" spans="2:2">
      <c r="B361" s="100"/>
    </row>
    <row r="362" spans="2:2">
      <c r="B362" s="100"/>
    </row>
    <row r="363" spans="2:2">
      <c r="B363" s="100"/>
    </row>
    <row r="364" spans="2:2">
      <c r="B364" s="100"/>
    </row>
    <row r="365" spans="2:2">
      <c r="B365" s="100"/>
    </row>
    <row r="366" spans="2:2">
      <c r="B366" s="100"/>
    </row>
    <row r="367" spans="2:2">
      <c r="B367" s="100"/>
    </row>
    <row r="368" spans="2:2">
      <c r="B368" s="100"/>
    </row>
    <row r="369" spans="2:2">
      <c r="B369" s="100"/>
    </row>
    <row r="370" spans="2:2">
      <c r="B370" s="100"/>
    </row>
    <row r="371" spans="2:2">
      <c r="B371" s="100"/>
    </row>
    <row r="372" spans="2:2">
      <c r="B372" s="100"/>
    </row>
    <row r="373" spans="2:2">
      <c r="B373" s="100"/>
    </row>
    <row r="374" spans="2:2">
      <c r="B374" s="100"/>
    </row>
    <row r="375" spans="2:2">
      <c r="B375" s="100"/>
    </row>
    <row r="376" spans="2:2">
      <c r="B376" s="100"/>
    </row>
    <row r="377" spans="2:2">
      <c r="B377" s="100"/>
    </row>
    <row r="378" spans="2:2">
      <c r="B378" s="100"/>
    </row>
    <row r="379" spans="2:2">
      <c r="B379" s="100"/>
    </row>
    <row r="380" spans="2:2">
      <c r="B380" s="100"/>
    </row>
    <row r="381" spans="2:2">
      <c r="B381" s="100"/>
    </row>
    <row r="382" spans="2:2">
      <c r="B382" s="100"/>
    </row>
    <row r="383" spans="2:2">
      <c r="B383" s="100"/>
    </row>
    <row r="384" spans="2:2">
      <c r="B384" s="100"/>
    </row>
    <row r="385" spans="2:2">
      <c r="B385" s="100"/>
    </row>
    <row r="386" spans="2:2">
      <c r="B386" s="100"/>
    </row>
    <row r="387" spans="2:2">
      <c r="B387" s="100"/>
    </row>
    <row r="388" spans="2:2">
      <c r="B388" s="100"/>
    </row>
    <row r="389" spans="2:2">
      <c r="B389" s="100"/>
    </row>
    <row r="390" spans="2:2">
      <c r="B390" s="100"/>
    </row>
    <row r="391" spans="2:2">
      <c r="B391" s="100"/>
    </row>
    <row r="392" spans="2:2">
      <c r="B392" s="100"/>
    </row>
    <row r="393" spans="2:2">
      <c r="B393" s="100"/>
    </row>
    <row r="394" spans="2:2">
      <c r="B394" s="100"/>
    </row>
    <row r="395" spans="2:2">
      <c r="B395" s="100"/>
    </row>
    <row r="396" spans="2:2">
      <c r="B396" s="100"/>
    </row>
    <row r="397" spans="2:2">
      <c r="B397" s="100"/>
    </row>
    <row r="398" spans="2:2">
      <c r="B398" s="100"/>
    </row>
    <row r="399" spans="2:2">
      <c r="B399" s="100"/>
    </row>
    <row r="400" spans="2:2">
      <c r="B400" s="100"/>
    </row>
    <row r="401" spans="2:2">
      <c r="B401" s="100"/>
    </row>
    <row r="402" spans="2:2">
      <c r="B402" s="100"/>
    </row>
    <row r="403" spans="2:2">
      <c r="B403" s="100"/>
    </row>
    <row r="404" spans="2:2">
      <c r="B404" s="100"/>
    </row>
    <row r="405" spans="2:2">
      <c r="B405" s="100"/>
    </row>
    <row r="406" spans="2:2">
      <c r="B406" s="100"/>
    </row>
    <row r="407" spans="2:2">
      <c r="B407" s="100"/>
    </row>
    <row r="408" spans="2:2">
      <c r="B408" s="100"/>
    </row>
    <row r="409" spans="2:2">
      <c r="B409" s="100"/>
    </row>
    <row r="410" spans="2:2">
      <c r="B410" s="100"/>
    </row>
    <row r="411" spans="2:2">
      <c r="B411" s="100"/>
    </row>
    <row r="412" spans="2:2">
      <c r="B412" s="100"/>
    </row>
    <row r="413" spans="2:2">
      <c r="B413" s="100"/>
    </row>
    <row r="414" spans="2:2">
      <c r="B414" s="100"/>
    </row>
    <row r="415" spans="2:2">
      <c r="B415" s="100"/>
    </row>
    <row r="416" spans="2:2">
      <c r="B416" s="100"/>
    </row>
    <row r="417" spans="2:2">
      <c r="B417" s="100"/>
    </row>
    <row r="418" spans="2:2">
      <c r="B418" s="100"/>
    </row>
    <row r="419" spans="2:2">
      <c r="B419" s="100"/>
    </row>
    <row r="420" spans="2:2">
      <c r="B420" s="100"/>
    </row>
    <row r="421" spans="2:2">
      <c r="B421" s="100"/>
    </row>
    <row r="422" spans="2:2">
      <c r="B422" s="100"/>
    </row>
    <row r="423" spans="2:2">
      <c r="B423" s="100"/>
    </row>
    <row r="424" spans="2:2">
      <c r="B424" s="100"/>
    </row>
    <row r="425" spans="2:2">
      <c r="B425" s="100"/>
    </row>
    <row r="426" spans="2:2">
      <c r="B426" s="100"/>
    </row>
    <row r="427" spans="2:2">
      <c r="B427" s="100"/>
    </row>
    <row r="428" spans="2:2">
      <c r="B428" s="100"/>
    </row>
    <row r="429" spans="2:2">
      <c r="B429" s="100"/>
    </row>
    <row r="430" spans="2:2">
      <c r="B430" s="100"/>
    </row>
    <row r="431" spans="2:2">
      <c r="B431" s="100"/>
    </row>
    <row r="432" spans="2:2">
      <c r="B432" s="100"/>
    </row>
    <row r="433" spans="2:2">
      <c r="B433" s="100"/>
    </row>
    <row r="434" spans="2:2">
      <c r="B434" s="100"/>
    </row>
    <row r="435" spans="2:2">
      <c r="B435" s="100"/>
    </row>
    <row r="436" spans="2:2">
      <c r="B436" s="100"/>
    </row>
    <row r="437" spans="2:2">
      <c r="B437" s="100"/>
    </row>
    <row r="438" spans="2:2">
      <c r="B438" s="100"/>
    </row>
    <row r="439" spans="2:2">
      <c r="B439" s="100"/>
    </row>
    <row r="440" spans="2:2">
      <c r="B440" s="100"/>
    </row>
    <row r="441" spans="2:2">
      <c r="B441" s="100"/>
    </row>
    <row r="442" spans="2:2">
      <c r="B442" s="100"/>
    </row>
    <row r="443" spans="2:2">
      <c r="B443" s="100"/>
    </row>
    <row r="444" spans="2:2">
      <c r="B444" s="100"/>
    </row>
    <row r="445" spans="2:2">
      <c r="B445" s="100"/>
    </row>
    <row r="446" spans="2:2">
      <c r="B446" s="100"/>
    </row>
    <row r="447" spans="2:2">
      <c r="B447" s="100"/>
    </row>
    <row r="448" spans="2:2">
      <c r="B448" s="100"/>
    </row>
    <row r="449" spans="2:2">
      <c r="B449" s="100"/>
    </row>
    <row r="450" spans="2:2">
      <c r="B450" s="100"/>
    </row>
    <row r="451" spans="2:2">
      <c r="B451" s="100"/>
    </row>
    <row r="452" spans="2:2">
      <c r="B452" s="100"/>
    </row>
    <row r="453" spans="2:2">
      <c r="B453" s="100"/>
    </row>
    <row r="454" spans="2:2">
      <c r="B454" s="100"/>
    </row>
    <row r="455" spans="2:2">
      <c r="B455" s="100"/>
    </row>
    <row r="456" spans="2:2">
      <c r="B456" s="100"/>
    </row>
    <row r="457" spans="2:2">
      <c r="B457" s="100"/>
    </row>
    <row r="458" spans="2:2">
      <c r="B458" s="100"/>
    </row>
    <row r="459" spans="2:2">
      <c r="B459" s="100"/>
    </row>
    <row r="460" spans="2:2">
      <c r="B460" s="100"/>
    </row>
    <row r="461" spans="2:2">
      <c r="B461" s="100"/>
    </row>
    <row r="462" spans="2:2">
      <c r="B462" s="100"/>
    </row>
    <row r="463" spans="2:2">
      <c r="B463" s="100"/>
    </row>
    <row r="464" spans="2:2">
      <c r="B464" s="100"/>
    </row>
    <row r="465" spans="2:2">
      <c r="B465" s="100"/>
    </row>
    <row r="466" spans="2:2">
      <c r="B466" s="100"/>
    </row>
    <row r="467" spans="2:2">
      <c r="B467" s="100"/>
    </row>
    <row r="468" spans="2:2">
      <c r="B468" s="100"/>
    </row>
    <row r="469" spans="2:2">
      <c r="B469" s="100"/>
    </row>
    <row r="470" spans="2:2">
      <c r="B470" s="100"/>
    </row>
    <row r="471" spans="2:2">
      <c r="B471" s="100"/>
    </row>
    <row r="472" spans="2:2">
      <c r="B472" s="100"/>
    </row>
    <row r="473" spans="2:2">
      <c r="B473" s="100"/>
    </row>
    <row r="474" spans="2:2">
      <c r="B474" s="100"/>
    </row>
    <row r="475" spans="2:2">
      <c r="B475" s="100"/>
    </row>
    <row r="476" spans="2:2">
      <c r="B476" s="100"/>
    </row>
    <row r="477" spans="2:2">
      <c r="B477" s="100"/>
    </row>
    <row r="478" spans="2:2">
      <c r="B478" s="100"/>
    </row>
    <row r="479" spans="2:2">
      <c r="B479" s="100"/>
    </row>
    <row r="480" spans="2:2">
      <c r="B480" s="100"/>
    </row>
    <row r="481" spans="2:2">
      <c r="B481" s="100"/>
    </row>
    <row r="482" spans="2:2">
      <c r="B482" s="100"/>
    </row>
    <row r="483" spans="2:2">
      <c r="B483" s="100"/>
    </row>
    <row r="484" spans="2:2">
      <c r="B484" s="100"/>
    </row>
    <row r="485" spans="2:2">
      <c r="B485" s="100"/>
    </row>
    <row r="486" spans="2:2">
      <c r="B486" s="100"/>
    </row>
    <row r="487" spans="2:2">
      <c r="B487" s="100"/>
    </row>
    <row r="488" spans="2:2">
      <c r="B488" s="100"/>
    </row>
    <row r="489" spans="2:2">
      <c r="B489" s="100"/>
    </row>
    <row r="490" spans="2:2">
      <c r="B490" s="100"/>
    </row>
    <row r="491" spans="2:2">
      <c r="B491" s="100"/>
    </row>
    <row r="492" spans="2:2">
      <c r="B492" s="100"/>
    </row>
    <row r="493" spans="2:2">
      <c r="B493" s="100"/>
    </row>
    <row r="494" spans="2:2">
      <c r="B494" s="100"/>
    </row>
    <row r="495" spans="2:2">
      <c r="B495" s="100"/>
    </row>
    <row r="496" spans="2:2">
      <c r="B496" s="100"/>
    </row>
    <row r="497" spans="2:2">
      <c r="B497" s="100"/>
    </row>
    <row r="498" spans="2:2">
      <c r="B498" s="100"/>
    </row>
    <row r="499" spans="2:2">
      <c r="B499" s="100"/>
    </row>
    <row r="500" spans="2:2">
      <c r="B500" s="100"/>
    </row>
    <row r="501" spans="2:2">
      <c r="B501" s="100"/>
    </row>
    <row r="502" spans="2:2">
      <c r="B502" s="100"/>
    </row>
    <row r="503" spans="2:2">
      <c r="B503" s="100"/>
    </row>
    <row r="504" spans="2:2">
      <c r="B504" s="100"/>
    </row>
    <row r="505" spans="2:2">
      <c r="B505" s="100"/>
    </row>
    <row r="506" spans="2:2">
      <c r="B506" s="100"/>
    </row>
    <row r="507" spans="2:2">
      <c r="B507" s="100"/>
    </row>
    <row r="508" spans="2:2">
      <c r="B508" s="100"/>
    </row>
    <row r="509" spans="2:2">
      <c r="B509" s="100"/>
    </row>
    <row r="510" spans="2:2">
      <c r="B510" s="100"/>
    </row>
    <row r="511" spans="2:2">
      <c r="B511" s="100"/>
    </row>
    <row r="512" spans="2:2">
      <c r="B512" s="100"/>
    </row>
    <row r="513" spans="2:2">
      <c r="B513" s="100"/>
    </row>
    <row r="514" spans="2:2">
      <c r="B514" s="100"/>
    </row>
    <row r="515" spans="2:2">
      <c r="B515" s="100"/>
    </row>
    <row r="516" spans="2:2">
      <c r="B516" s="100"/>
    </row>
    <row r="517" spans="2:2">
      <c r="B517" s="100"/>
    </row>
    <row r="518" spans="2:2">
      <c r="B518" s="100"/>
    </row>
    <row r="519" spans="2:2">
      <c r="B519" s="100"/>
    </row>
    <row r="520" spans="2:2">
      <c r="B520" s="100"/>
    </row>
    <row r="521" spans="2:2">
      <c r="B521" s="100"/>
    </row>
    <row r="522" spans="2:2">
      <c r="B522" s="100"/>
    </row>
    <row r="523" spans="2:2">
      <c r="B523" s="100"/>
    </row>
    <row r="524" spans="2:2">
      <c r="B524" s="100"/>
    </row>
    <row r="525" spans="2:2">
      <c r="B525" s="100"/>
    </row>
    <row r="526" spans="2:2">
      <c r="B526" s="100"/>
    </row>
    <row r="527" spans="2:2">
      <c r="B527" s="100"/>
    </row>
    <row r="528" spans="2:2">
      <c r="B528" s="100"/>
    </row>
    <row r="529" spans="2:2">
      <c r="B529" s="100"/>
    </row>
    <row r="530" spans="2:2">
      <c r="B530" s="100"/>
    </row>
    <row r="531" spans="2:2">
      <c r="B531" s="100"/>
    </row>
    <row r="532" spans="2:2">
      <c r="B532" s="100"/>
    </row>
    <row r="533" spans="2:2">
      <c r="B533" s="100"/>
    </row>
    <row r="534" spans="2:2">
      <c r="B534" s="100"/>
    </row>
    <row r="535" spans="2:2">
      <c r="B535" s="100"/>
    </row>
    <row r="536" spans="2:2">
      <c r="B536" s="100"/>
    </row>
    <row r="537" spans="2:2">
      <c r="B537" s="100"/>
    </row>
    <row r="538" spans="2:2">
      <c r="B538" s="100"/>
    </row>
    <row r="539" spans="2:2">
      <c r="B539" s="100"/>
    </row>
    <row r="540" spans="2:2">
      <c r="B540" s="100"/>
    </row>
    <row r="541" spans="2:2">
      <c r="B541" s="100"/>
    </row>
    <row r="542" spans="2:2">
      <c r="B542" s="100"/>
    </row>
    <row r="543" spans="2:2">
      <c r="B543" s="100"/>
    </row>
    <row r="544" spans="2:2">
      <c r="B544" s="100"/>
    </row>
    <row r="545" spans="2:2">
      <c r="B545" s="100"/>
    </row>
    <row r="546" spans="2:2">
      <c r="B546" s="100"/>
    </row>
    <row r="547" spans="2:2">
      <c r="B547" s="100"/>
    </row>
    <row r="548" spans="2:2">
      <c r="B548" s="100"/>
    </row>
    <row r="549" spans="2:2">
      <c r="B549" s="100"/>
    </row>
    <row r="550" spans="2:2">
      <c r="B550" s="100"/>
    </row>
    <row r="551" spans="2:2">
      <c r="B551" s="100"/>
    </row>
    <row r="552" spans="2:2">
      <c r="B552" s="100"/>
    </row>
    <row r="553" spans="2:2">
      <c r="B553" s="100"/>
    </row>
    <row r="554" spans="2:2">
      <c r="B554" s="100"/>
    </row>
    <row r="555" spans="2:2">
      <c r="B555" s="100"/>
    </row>
    <row r="556" spans="2:2">
      <c r="B556" s="100"/>
    </row>
    <row r="557" spans="2:2">
      <c r="B557" s="100"/>
    </row>
    <row r="558" spans="2:2">
      <c r="B558" s="100"/>
    </row>
    <row r="559" spans="2:2">
      <c r="B559" s="100"/>
    </row>
    <row r="560" spans="2:2">
      <c r="B560" s="100"/>
    </row>
    <row r="561" spans="2:2">
      <c r="B561" s="100"/>
    </row>
    <row r="562" spans="2:2">
      <c r="B562" s="100"/>
    </row>
    <row r="563" spans="2:2">
      <c r="B563" s="100"/>
    </row>
    <row r="564" spans="2:2">
      <c r="B564" s="100"/>
    </row>
    <row r="565" spans="2:2">
      <c r="B565" s="100"/>
    </row>
    <row r="566" spans="2:2">
      <c r="B566" s="100"/>
    </row>
    <row r="567" spans="2:2">
      <c r="B567" s="100"/>
    </row>
    <row r="568" spans="2:2">
      <c r="B568" s="100"/>
    </row>
    <row r="569" spans="2:2">
      <c r="B569" s="100"/>
    </row>
    <row r="570" spans="2:2">
      <c r="B570" s="100"/>
    </row>
    <row r="571" spans="2:2">
      <c r="B571" s="100"/>
    </row>
    <row r="572" spans="2:2">
      <c r="B572" s="100"/>
    </row>
    <row r="573" spans="2:2">
      <c r="B573" s="100"/>
    </row>
    <row r="574" spans="2:2">
      <c r="B574" s="100"/>
    </row>
    <row r="575" spans="2:2">
      <c r="B575" s="100"/>
    </row>
    <row r="576" spans="2:2">
      <c r="B576" s="100"/>
    </row>
    <row r="577" spans="2:2">
      <c r="B577" s="100"/>
    </row>
    <row r="578" spans="2:2">
      <c r="B578" s="100"/>
    </row>
    <row r="579" spans="2:2">
      <c r="B579" s="100"/>
    </row>
    <row r="580" spans="2:2">
      <c r="B580" s="100"/>
    </row>
    <row r="581" spans="2:2">
      <c r="B581" s="100"/>
    </row>
    <row r="582" spans="2:2">
      <c r="B582" s="100"/>
    </row>
    <row r="583" spans="2:2">
      <c r="B583" s="100"/>
    </row>
    <row r="584" spans="2:2">
      <c r="B584" s="100"/>
    </row>
    <row r="585" spans="2:2">
      <c r="B585" s="100"/>
    </row>
    <row r="586" spans="2:2">
      <c r="B586" s="100"/>
    </row>
    <row r="587" spans="2:2">
      <c r="B587" s="100"/>
    </row>
    <row r="588" spans="2:2">
      <c r="B588" s="100"/>
    </row>
    <row r="589" spans="2:2">
      <c r="B589" s="100"/>
    </row>
    <row r="590" spans="2:2">
      <c r="B590" s="100"/>
    </row>
    <row r="591" spans="2:2">
      <c r="B591" s="100"/>
    </row>
    <row r="592" spans="2:2">
      <c r="B592" s="100"/>
    </row>
    <row r="593" spans="2:2">
      <c r="B593" s="100"/>
    </row>
    <row r="594" spans="2:2">
      <c r="B594" s="100"/>
    </row>
    <row r="595" spans="2:2">
      <c r="B595" s="100"/>
    </row>
    <row r="596" spans="2:2">
      <c r="B596" s="100"/>
    </row>
    <row r="597" spans="2:2">
      <c r="B597" s="100"/>
    </row>
    <row r="598" spans="2:2">
      <c r="B598" s="100"/>
    </row>
    <row r="599" spans="2:2">
      <c r="B599" s="100"/>
    </row>
    <row r="600" spans="2:2">
      <c r="B600" s="100"/>
    </row>
    <row r="601" spans="2:2">
      <c r="B601" s="100"/>
    </row>
    <row r="602" spans="2:2">
      <c r="B602" s="100"/>
    </row>
    <row r="603" spans="2:2">
      <c r="B603" s="100"/>
    </row>
    <row r="604" spans="2:2">
      <c r="B604" s="100"/>
    </row>
    <row r="605" spans="2:2">
      <c r="B605" s="100"/>
    </row>
    <row r="606" spans="2:2">
      <c r="B606" s="100"/>
    </row>
    <row r="607" spans="2:2">
      <c r="B607" s="100"/>
    </row>
    <row r="608" spans="2:2">
      <c r="B608" s="100"/>
    </row>
    <row r="609" spans="2:2">
      <c r="B609" s="100"/>
    </row>
    <row r="610" spans="2:2">
      <c r="B610" s="100"/>
    </row>
    <row r="611" spans="2:2">
      <c r="B611" s="100"/>
    </row>
    <row r="612" spans="2:2">
      <c r="B612" s="100"/>
    </row>
    <row r="613" spans="2:2">
      <c r="B613" s="100"/>
    </row>
    <row r="614" spans="2:2">
      <c r="B614" s="100"/>
    </row>
    <row r="615" spans="2:2">
      <c r="B615" s="100"/>
    </row>
    <row r="616" spans="2:2">
      <c r="B616" s="100"/>
    </row>
    <row r="617" spans="2:2">
      <c r="B617" s="100"/>
    </row>
    <row r="618" spans="2:2">
      <c r="B618" s="100"/>
    </row>
    <row r="619" spans="2:2">
      <c r="B619" s="100"/>
    </row>
    <row r="620" spans="2:2">
      <c r="B620" s="100"/>
    </row>
    <row r="621" spans="2:2">
      <c r="B621" s="100"/>
    </row>
    <row r="622" spans="2:2">
      <c r="B622" s="100"/>
    </row>
    <row r="623" spans="2:2">
      <c r="B623" s="100"/>
    </row>
    <row r="624" spans="2:2">
      <c r="B624" s="100"/>
    </row>
    <row r="625" spans="2:2">
      <c r="B625" s="100"/>
    </row>
    <row r="626" spans="2:2">
      <c r="B626" s="100"/>
    </row>
    <row r="627" spans="2:2">
      <c r="B627" s="100"/>
    </row>
    <row r="628" spans="2:2">
      <c r="B628" s="100"/>
    </row>
    <row r="629" spans="2:2">
      <c r="B629" s="100"/>
    </row>
    <row r="630" spans="2:2">
      <c r="B630" s="100"/>
    </row>
    <row r="631" spans="2:2">
      <c r="B631" s="100"/>
    </row>
    <row r="632" spans="2:2">
      <c r="B632" s="100"/>
    </row>
    <row r="633" spans="2:2">
      <c r="B633" s="100"/>
    </row>
    <row r="634" spans="2:2">
      <c r="B634" s="100"/>
    </row>
    <row r="635" spans="2:2">
      <c r="B635" s="100"/>
    </row>
    <row r="636" spans="2:2">
      <c r="B636" s="100"/>
    </row>
    <row r="637" spans="2:2">
      <c r="B637" s="100"/>
    </row>
    <row r="638" spans="2:2">
      <c r="B638" s="100"/>
    </row>
    <row r="639" spans="2:2">
      <c r="B639" s="100"/>
    </row>
    <row r="640" spans="2:2">
      <c r="B640" s="100"/>
    </row>
    <row r="641" spans="2:2">
      <c r="B641" s="100"/>
    </row>
    <row r="642" spans="2:2">
      <c r="B642" s="100"/>
    </row>
    <row r="643" spans="2:2">
      <c r="B643" s="100"/>
    </row>
    <row r="644" spans="2:2">
      <c r="B644" s="100"/>
    </row>
    <row r="645" spans="2:2">
      <c r="B645" s="100"/>
    </row>
    <row r="646" spans="2:2">
      <c r="B646" s="100"/>
    </row>
    <row r="647" spans="2:2">
      <c r="B647" s="100"/>
    </row>
    <row r="648" spans="2:2">
      <c r="B648" s="100"/>
    </row>
    <row r="649" spans="2:2">
      <c r="B649" s="100"/>
    </row>
    <row r="650" spans="2:2">
      <c r="B650" s="100"/>
    </row>
    <row r="651" spans="2:2">
      <c r="B651" s="100"/>
    </row>
    <row r="652" spans="2:2">
      <c r="B652" s="100"/>
    </row>
    <row r="653" spans="2:2">
      <c r="B653" s="100"/>
    </row>
    <row r="654" spans="2:2">
      <c r="B654" s="100"/>
    </row>
    <row r="655" spans="2:2">
      <c r="B655" s="100"/>
    </row>
    <row r="656" spans="2:2">
      <c r="B656" s="100"/>
    </row>
    <row r="657" spans="2:2">
      <c r="B657" s="100"/>
    </row>
    <row r="658" spans="2:2">
      <c r="B658" s="100"/>
    </row>
    <row r="659" spans="2:2">
      <c r="B659" s="100"/>
    </row>
    <row r="660" spans="2:2">
      <c r="B660" s="100"/>
    </row>
    <row r="661" spans="2:2">
      <c r="B661" s="100"/>
    </row>
    <row r="662" spans="2:2">
      <c r="B662" s="100"/>
    </row>
    <row r="663" spans="2:2">
      <c r="B663" s="100"/>
    </row>
    <row r="664" spans="2:2">
      <c r="B664" s="100"/>
    </row>
    <row r="665" spans="2:2">
      <c r="B665" s="100"/>
    </row>
    <row r="666" spans="2:2">
      <c r="B666" s="100"/>
    </row>
    <row r="667" spans="2:2">
      <c r="B667" s="100"/>
    </row>
    <row r="668" spans="2:2">
      <c r="B668" s="100"/>
    </row>
    <row r="669" spans="2:2">
      <c r="B669" s="100"/>
    </row>
    <row r="670" spans="2:2">
      <c r="B670" s="100"/>
    </row>
    <row r="671" spans="2:2">
      <c r="B671" s="100"/>
    </row>
    <row r="672" spans="2:2">
      <c r="B672" s="100"/>
    </row>
    <row r="673" spans="2:2">
      <c r="B673" s="100"/>
    </row>
    <row r="674" spans="2:2">
      <c r="B674" s="100"/>
    </row>
    <row r="675" spans="2:2">
      <c r="B675" s="100"/>
    </row>
    <row r="676" spans="2:2">
      <c r="B676" s="100"/>
    </row>
    <row r="677" spans="2:2">
      <c r="B677" s="100"/>
    </row>
    <row r="678" spans="2:2">
      <c r="B678" s="100"/>
    </row>
    <row r="679" spans="2:2">
      <c r="B679" s="100"/>
    </row>
    <row r="680" spans="2:2">
      <c r="B680" s="100"/>
    </row>
    <row r="681" spans="2:2">
      <c r="B681" s="100"/>
    </row>
    <row r="682" spans="2:2">
      <c r="B682" s="100"/>
    </row>
    <row r="683" spans="2:2">
      <c r="B683" s="100"/>
    </row>
    <row r="684" spans="2:2">
      <c r="B684" s="100"/>
    </row>
    <row r="685" spans="2:2">
      <c r="B685" s="100"/>
    </row>
    <row r="686" spans="2:2">
      <c r="B686" s="100"/>
    </row>
    <row r="687" spans="2:2">
      <c r="B687" s="100"/>
    </row>
    <row r="688" spans="2:2">
      <c r="B688" s="100"/>
    </row>
    <row r="689" spans="2:2">
      <c r="B689" s="100"/>
    </row>
    <row r="690" spans="2:2">
      <c r="B690" s="100"/>
    </row>
    <row r="691" spans="2:2">
      <c r="B691" s="100"/>
    </row>
    <row r="692" spans="2:2">
      <c r="B692" s="100"/>
    </row>
    <row r="693" spans="2:2">
      <c r="B693" s="100"/>
    </row>
    <row r="694" spans="2:2">
      <c r="B694" s="100"/>
    </row>
    <row r="695" spans="2:2">
      <c r="B695" s="100"/>
    </row>
    <row r="696" spans="2:2">
      <c r="B696" s="100"/>
    </row>
    <row r="697" spans="2:2">
      <c r="B697" s="100"/>
    </row>
    <row r="698" spans="2:2">
      <c r="B698" s="100"/>
    </row>
    <row r="699" spans="2:2">
      <c r="B699" s="100"/>
    </row>
    <row r="700" spans="2:2">
      <c r="B700" s="100"/>
    </row>
    <row r="701" spans="2:2">
      <c r="B701" s="100"/>
    </row>
    <row r="702" spans="2:2">
      <c r="B702" s="100"/>
    </row>
    <row r="703" spans="2:2">
      <c r="B703" s="100"/>
    </row>
    <row r="704" spans="2:2">
      <c r="B704" s="100"/>
    </row>
    <row r="705" spans="2:2">
      <c r="B705" s="100"/>
    </row>
    <row r="706" spans="2:2">
      <c r="B706" s="100"/>
    </row>
    <row r="707" spans="2:2">
      <c r="B707" s="100"/>
    </row>
    <row r="708" spans="2:2">
      <c r="B708" s="100"/>
    </row>
    <row r="709" spans="2:2">
      <c r="B709" s="100"/>
    </row>
    <row r="710" spans="2:2">
      <c r="B710" s="100"/>
    </row>
    <row r="711" spans="2:2">
      <c r="B711" s="100"/>
    </row>
    <row r="712" spans="2:2">
      <c r="B712" s="100"/>
    </row>
    <row r="713" spans="2:2">
      <c r="B713" s="100"/>
    </row>
    <row r="714" spans="2:2">
      <c r="B714" s="100"/>
    </row>
    <row r="715" spans="2:2">
      <c r="B715" s="100"/>
    </row>
    <row r="716" spans="2:2">
      <c r="B716" s="100"/>
    </row>
    <row r="717" spans="2:2">
      <c r="B717" s="100"/>
    </row>
    <row r="718" spans="2:2">
      <c r="B718" s="100"/>
    </row>
    <row r="719" spans="2:2">
      <c r="B719" s="100"/>
    </row>
    <row r="720" spans="2:2">
      <c r="B720" s="100"/>
    </row>
    <row r="721" spans="2:2">
      <c r="B721" s="100"/>
    </row>
    <row r="722" spans="2:2">
      <c r="B722" s="100"/>
    </row>
    <row r="723" spans="2:2">
      <c r="B723" s="100"/>
    </row>
    <row r="724" spans="2:2">
      <c r="B724" s="100"/>
    </row>
    <row r="725" spans="2:2">
      <c r="B725" s="100"/>
    </row>
    <row r="726" spans="2:2">
      <c r="B726" s="100"/>
    </row>
    <row r="727" spans="2:2">
      <c r="B727" s="100"/>
    </row>
    <row r="728" spans="2:2">
      <c r="B728" s="100"/>
    </row>
    <row r="729" spans="2:2">
      <c r="B729" s="100"/>
    </row>
    <row r="730" spans="2:2">
      <c r="B730" s="100"/>
    </row>
    <row r="731" spans="2:2">
      <c r="B731" s="100"/>
    </row>
    <row r="732" spans="2:2">
      <c r="B732" s="100"/>
    </row>
    <row r="733" spans="2:2">
      <c r="B733" s="100"/>
    </row>
    <row r="734" spans="2:2">
      <c r="B734" s="100"/>
    </row>
    <row r="735" spans="2:2">
      <c r="B735" s="100"/>
    </row>
    <row r="736" spans="2:2">
      <c r="B736" s="100"/>
    </row>
    <row r="737" spans="2:2">
      <c r="B737" s="100"/>
    </row>
    <row r="738" spans="2:2">
      <c r="B738" s="100"/>
    </row>
    <row r="739" spans="2:2">
      <c r="B739" s="100"/>
    </row>
    <row r="740" spans="2:2">
      <c r="B740" s="100"/>
    </row>
    <row r="741" spans="2:2">
      <c r="B741" s="100"/>
    </row>
    <row r="742" spans="2:2">
      <c r="B742" s="100"/>
    </row>
    <row r="743" spans="2:2">
      <c r="B743" s="100"/>
    </row>
    <row r="744" spans="2:2">
      <c r="B744" s="100"/>
    </row>
    <row r="745" spans="2:2">
      <c r="B745" s="100"/>
    </row>
    <row r="746" spans="2:2">
      <c r="B746" s="100"/>
    </row>
    <row r="747" spans="2:2">
      <c r="B747" s="100"/>
    </row>
    <row r="748" spans="2:2">
      <c r="B748" s="100"/>
    </row>
    <row r="749" spans="2:2">
      <c r="B749" s="100"/>
    </row>
    <row r="750" spans="2:2">
      <c r="B750" s="100"/>
    </row>
    <row r="751" spans="2:2">
      <c r="B751" s="100"/>
    </row>
    <row r="752" spans="2:2">
      <c r="B752" s="100"/>
    </row>
    <row r="753" spans="2:2">
      <c r="B753" s="100"/>
    </row>
    <row r="754" spans="2:2">
      <c r="B754" s="100"/>
    </row>
    <row r="755" spans="2:2">
      <c r="B755" s="100"/>
    </row>
    <row r="756" spans="2:2">
      <c r="B756" s="100"/>
    </row>
    <row r="757" spans="2:2">
      <c r="B757" s="100"/>
    </row>
    <row r="758" spans="2:2">
      <c r="B758" s="100"/>
    </row>
    <row r="759" spans="2:2">
      <c r="B759" s="100"/>
    </row>
    <row r="760" spans="2:2">
      <c r="B760" s="100"/>
    </row>
    <row r="761" spans="2:2">
      <c r="B761" s="100"/>
    </row>
    <row r="762" spans="2:2">
      <c r="B762" s="100"/>
    </row>
    <row r="763" spans="2:2">
      <c r="B763" s="100"/>
    </row>
    <row r="764" spans="2:2">
      <c r="B764" s="100"/>
    </row>
    <row r="765" spans="2:2">
      <c r="B765" s="100"/>
    </row>
    <row r="766" spans="2:2">
      <c r="B766" s="100"/>
    </row>
    <row r="767" spans="2:2">
      <c r="B767" s="100"/>
    </row>
    <row r="768" spans="2:2">
      <c r="B768" s="100"/>
    </row>
    <row r="769" spans="2:2">
      <c r="B769" s="100"/>
    </row>
    <row r="770" spans="2:2">
      <c r="B770" s="100"/>
    </row>
    <row r="771" spans="2:2">
      <c r="B771" s="100"/>
    </row>
    <row r="772" spans="2:2">
      <c r="B772" s="100"/>
    </row>
    <row r="773" spans="2:2">
      <c r="B773" s="100"/>
    </row>
    <row r="774" spans="2:2">
      <c r="B774" s="100"/>
    </row>
    <row r="775" spans="2:2">
      <c r="B775" s="100"/>
    </row>
    <row r="776" spans="2:2">
      <c r="B776" s="100"/>
    </row>
    <row r="777" spans="2:2">
      <c r="B777" s="100"/>
    </row>
    <row r="778" spans="2:2">
      <c r="B778" s="100"/>
    </row>
    <row r="779" spans="2:2">
      <c r="B779" s="100"/>
    </row>
    <row r="780" spans="2:2">
      <c r="B780" s="100"/>
    </row>
    <row r="781" spans="2:2">
      <c r="B781" s="100"/>
    </row>
    <row r="782" spans="2:2">
      <c r="B782" s="100"/>
    </row>
    <row r="783" spans="2:2">
      <c r="B783" s="100"/>
    </row>
    <row r="784" spans="2:2">
      <c r="B784" s="100"/>
    </row>
    <row r="785" spans="2:2">
      <c r="B785" s="100"/>
    </row>
    <row r="786" spans="2:2">
      <c r="B786" s="100"/>
    </row>
    <row r="787" spans="2:2">
      <c r="B787" s="100"/>
    </row>
    <row r="788" spans="2:2">
      <c r="B788" s="100"/>
    </row>
    <row r="789" spans="2:2">
      <c r="B789" s="100"/>
    </row>
    <row r="790" spans="2:2">
      <c r="B790" s="100"/>
    </row>
    <row r="791" spans="2:2">
      <c r="B791" s="100"/>
    </row>
    <row r="792" spans="2:2">
      <c r="B792" s="100"/>
    </row>
    <row r="793" spans="2:2">
      <c r="B793" s="100"/>
    </row>
    <row r="794" spans="2:2">
      <c r="B794" s="100"/>
    </row>
    <row r="795" spans="2:2">
      <c r="B795" s="100"/>
    </row>
    <row r="796" spans="2:2">
      <c r="B796" s="100"/>
    </row>
    <row r="797" spans="2:2">
      <c r="B797" s="100"/>
    </row>
    <row r="798" spans="2:2">
      <c r="B798" s="100"/>
    </row>
    <row r="799" spans="2:2">
      <c r="B799" s="100"/>
    </row>
    <row r="800" spans="2:2">
      <c r="B800" s="100"/>
    </row>
    <row r="801" spans="2:2">
      <c r="B801" s="100"/>
    </row>
    <row r="802" spans="2:2">
      <c r="B802" s="100"/>
    </row>
    <row r="803" spans="2:2">
      <c r="B803" s="100"/>
    </row>
    <row r="804" spans="2:2">
      <c r="B804" s="100"/>
    </row>
    <row r="805" spans="2:2">
      <c r="B805" s="100"/>
    </row>
    <row r="806" spans="2:2">
      <c r="B806" s="100"/>
    </row>
    <row r="807" spans="2:2">
      <c r="B807" s="100"/>
    </row>
    <row r="808" spans="2:2">
      <c r="B808" s="100"/>
    </row>
    <row r="809" spans="2:2">
      <c r="B809" s="100"/>
    </row>
    <row r="810" spans="2:2">
      <c r="B810" s="100"/>
    </row>
    <row r="811" spans="2:2">
      <c r="B811" s="100"/>
    </row>
    <row r="812" spans="2:2">
      <c r="B812" s="100"/>
    </row>
    <row r="813" spans="2:2">
      <c r="B813" s="100"/>
    </row>
    <row r="814" spans="2:2">
      <c r="B814" s="100"/>
    </row>
    <row r="815" spans="2:2">
      <c r="B815" s="100"/>
    </row>
    <row r="816" spans="2:2">
      <c r="B816" s="100"/>
    </row>
    <row r="817" spans="2:2">
      <c r="B817" s="100"/>
    </row>
    <row r="818" spans="2:2">
      <c r="B818" s="100"/>
    </row>
    <row r="819" spans="2:2">
      <c r="B819" s="100"/>
    </row>
    <row r="820" spans="2:2">
      <c r="B820" s="100"/>
    </row>
    <row r="821" spans="2:2">
      <c r="B821" s="100"/>
    </row>
    <row r="822" spans="2:2">
      <c r="B822" s="100"/>
    </row>
    <row r="823" spans="2:2">
      <c r="B823" s="100"/>
    </row>
    <row r="824" spans="2:2">
      <c r="B824" s="100"/>
    </row>
    <row r="825" spans="2:2">
      <c r="B825" s="100"/>
    </row>
    <row r="826" spans="2:2">
      <c r="B826" s="100"/>
    </row>
    <row r="827" spans="2:2">
      <c r="B827" s="100"/>
    </row>
    <row r="828" spans="2:2">
      <c r="B828" s="100"/>
    </row>
    <row r="829" spans="2:2">
      <c r="B829" s="100"/>
    </row>
    <row r="830" spans="2:2">
      <c r="B830" s="100"/>
    </row>
    <row r="831" spans="2:2">
      <c r="B831" s="100"/>
    </row>
    <row r="832" spans="2:2">
      <c r="B832" s="100"/>
    </row>
    <row r="833" spans="2:2">
      <c r="B833" s="100"/>
    </row>
    <row r="834" spans="2:2">
      <c r="B834" s="100"/>
    </row>
    <row r="835" spans="2:2">
      <c r="B835" s="100"/>
    </row>
    <row r="836" spans="2:2">
      <c r="B836" s="100"/>
    </row>
    <row r="837" spans="2:2">
      <c r="B837" s="100"/>
    </row>
    <row r="838" spans="2:2">
      <c r="B838" s="100"/>
    </row>
    <row r="839" spans="2:2">
      <c r="B839" s="100"/>
    </row>
    <row r="840" spans="2:2">
      <c r="B840" s="100"/>
    </row>
    <row r="841" spans="2:2">
      <c r="B841" s="100"/>
    </row>
    <row r="842" spans="2:2">
      <c r="B842" s="100"/>
    </row>
    <row r="843" spans="2:2">
      <c r="B843" s="100"/>
    </row>
    <row r="844" spans="2:2">
      <c r="B844" s="100"/>
    </row>
    <row r="845" spans="2:2">
      <c r="B845" s="100"/>
    </row>
    <row r="846" spans="2:2">
      <c r="B846" s="100"/>
    </row>
    <row r="847" spans="2:2">
      <c r="B847" s="100"/>
    </row>
    <row r="848" spans="2:2">
      <c r="B848" s="100"/>
    </row>
    <row r="849" spans="2:2">
      <c r="B849" s="100"/>
    </row>
    <row r="850" spans="2:2">
      <c r="B850" s="100"/>
    </row>
    <row r="851" spans="2:2">
      <c r="B851" s="100"/>
    </row>
    <row r="852" spans="2:2">
      <c r="B852" s="100"/>
    </row>
    <row r="853" spans="2:2">
      <c r="B853" s="100"/>
    </row>
    <row r="854" spans="2:2">
      <c r="B854" s="100"/>
    </row>
    <row r="855" spans="2:2">
      <c r="B855" s="100"/>
    </row>
    <row r="856" spans="2:2">
      <c r="B856" s="100"/>
    </row>
    <row r="857" spans="2:2">
      <c r="B857" s="100"/>
    </row>
    <row r="858" spans="2:2">
      <c r="B858" s="100"/>
    </row>
    <row r="859" spans="2:2">
      <c r="B859" s="100"/>
    </row>
    <row r="860" spans="2:2">
      <c r="B860" s="100"/>
    </row>
    <row r="861" spans="2:2">
      <c r="B861" s="100"/>
    </row>
    <row r="862" spans="2:2">
      <c r="B862" s="100"/>
    </row>
    <row r="863" spans="2:2">
      <c r="B863" s="100"/>
    </row>
    <row r="864" spans="2:2">
      <c r="B864" s="100"/>
    </row>
    <row r="865" spans="2:2">
      <c r="B865" s="100"/>
    </row>
    <row r="866" spans="2:2">
      <c r="B866" s="100"/>
    </row>
    <row r="867" spans="2:2">
      <c r="B867" s="100"/>
    </row>
    <row r="868" spans="2:2">
      <c r="B868" s="100"/>
    </row>
    <row r="869" spans="2:2">
      <c r="B869" s="100"/>
    </row>
    <row r="870" spans="2:2">
      <c r="B870" s="100"/>
    </row>
    <row r="871" spans="2:2">
      <c r="B871" s="100"/>
    </row>
    <row r="872" spans="2:2">
      <c r="B872" s="100"/>
    </row>
    <row r="873" spans="2:2">
      <c r="B873" s="100"/>
    </row>
    <row r="874" spans="2:2">
      <c r="B874" s="100"/>
    </row>
    <row r="875" spans="2:2">
      <c r="B875" s="100"/>
    </row>
    <row r="876" spans="2:2">
      <c r="B876" s="100"/>
    </row>
    <row r="877" spans="2:2">
      <c r="B877" s="100"/>
    </row>
    <row r="878" spans="2:2">
      <c r="B878" s="100"/>
    </row>
    <row r="879" spans="2:2">
      <c r="B879" s="100"/>
    </row>
    <row r="880" spans="2:2">
      <c r="B880" s="100"/>
    </row>
    <row r="881" spans="2:2">
      <c r="B881" s="100"/>
    </row>
    <row r="882" spans="2:2">
      <c r="B882" s="100"/>
    </row>
    <row r="883" spans="2:2">
      <c r="B883" s="100"/>
    </row>
    <row r="884" spans="2:2">
      <c r="B884" s="100"/>
    </row>
    <row r="885" spans="2:2">
      <c r="B885" s="100"/>
    </row>
    <row r="886" spans="2:2">
      <c r="B886" s="100"/>
    </row>
    <row r="887" spans="2:2">
      <c r="B887" s="100"/>
    </row>
    <row r="888" spans="2:2">
      <c r="B888" s="100"/>
    </row>
    <row r="889" spans="2:2">
      <c r="B889" s="100"/>
    </row>
    <row r="890" spans="2:2">
      <c r="B890" s="100"/>
    </row>
    <row r="891" spans="2:2">
      <c r="B891" s="100"/>
    </row>
    <row r="892" spans="2:2">
      <c r="B892" s="100"/>
    </row>
    <row r="893" spans="2:2">
      <c r="B893" s="100"/>
    </row>
    <row r="894" spans="2:2">
      <c r="B894" s="100"/>
    </row>
    <row r="895" spans="2:2">
      <c r="B895" s="100"/>
    </row>
    <row r="896" spans="2:2">
      <c r="B896" s="100"/>
    </row>
    <row r="897" spans="2:2">
      <c r="B897" s="100"/>
    </row>
    <row r="898" spans="2:2">
      <c r="B898" s="100"/>
    </row>
    <row r="899" spans="2:2">
      <c r="B899" s="100"/>
    </row>
    <row r="900" spans="2:2">
      <c r="B900" s="100"/>
    </row>
    <row r="901" spans="2:2">
      <c r="B901" s="100"/>
    </row>
    <row r="902" spans="2:2">
      <c r="B902" s="100"/>
    </row>
    <row r="903" spans="2:2">
      <c r="B903" s="100"/>
    </row>
    <row r="904" spans="2:2">
      <c r="B904" s="100"/>
    </row>
    <row r="905" spans="2:2">
      <c r="B905" s="100"/>
    </row>
    <row r="906" spans="2:2">
      <c r="B906" s="100"/>
    </row>
    <row r="907" spans="2:2">
      <c r="B907" s="100"/>
    </row>
    <row r="908" spans="2:2">
      <c r="B908" s="100"/>
    </row>
    <row r="909" spans="2:2">
      <c r="B909" s="100"/>
    </row>
    <row r="910" spans="2:2">
      <c r="B910" s="100"/>
    </row>
    <row r="911" spans="2:2">
      <c r="B911" s="100"/>
    </row>
    <row r="912" spans="2:2">
      <c r="B912" s="100"/>
    </row>
    <row r="913" spans="2:2">
      <c r="B913" s="100"/>
    </row>
    <row r="914" spans="2:2">
      <c r="B914" s="100"/>
    </row>
    <row r="915" spans="2:2">
      <c r="B915" s="100"/>
    </row>
    <row r="916" spans="2:2">
      <c r="B916" s="100"/>
    </row>
    <row r="917" spans="2:2">
      <c r="B917" s="100"/>
    </row>
    <row r="918" spans="2:2">
      <c r="B918" s="100"/>
    </row>
    <row r="919" spans="2:2">
      <c r="B919" s="100"/>
    </row>
    <row r="920" spans="2:2">
      <c r="B920" s="100"/>
    </row>
    <row r="921" spans="2:2">
      <c r="B921" s="100"/>
    </row>
    <row r="922" spans="2:2">
      <c r="B922" s="100"/>
    </row>
    <row r="923" spans="2:2">
      <c r="B923" s="100"/>
    </row>
    <row r="924" spans="2:2">
      <c r="B924" s="100"/>
    </row>
    <row r="925" spans="2:2">
      <c r="B925" s="100"/>
    </row>
    <row r="926" spans="2:2">
      <c r="B926" s="100"/>
    </row>
    <row r="927" spans="2:2">
      <c r="B927" s="100"/>
    </row>
    <row r="928" spans="2:2">
      <c r="B928" s="100"/>
    </row>
    <row r="929" spans="2:2">
      <c r="B929" s="100"/>
    </row>
    <row r="930" spans="2:2">
      <c r="B930" s="100"/>
    </row>
    <row r="931" spans="2:2">
      <c r="B931" s="100"/>
    </row>
    <row r="932" spans="2:2">
      <c r="B932" s="100"/>
    </row>
    <row r="933" spans="2:2">
      <c r="B933" s="100"/>
    </row>
    <row r="934" spans="2:2">
      <c r="B934" s="100"/>
    </row>
    <row r="935" spans="2:2">
      <c r="B935" s="100"/>
    </row>
    <row r="936" spans="2:2">
      <c r="B936" s="100"/>
    </row>
    <row r="937" spans="2:2">
      <c r="B937" s="100"/>
    </row>
    <row r="938" spans="2:2">
      <c r="B938" s="100"/>
    </row>
    <row r="939" spans="2:2">
      <c r="B939" s="100"/>
    </row>
    <row r="940" spans="2:2">
      <c r="B940" s="100"/>
    </row>
    <row r="941" spans="2:2">
      <c r="B941" s="100"/>
    </row>
    <row r="942" spans="2:2">
      <c r="B942" s="100"/>
    </row>
    <row r="943" spans="2:2">
      <c r="B943" s="100"/>
    </row>
    <row r="944" spans="2:2">
      <c r="B944" s="100"/>
    </row>
    <row r="945" spans="2:2">
      <c r="B945" s="100"/>
    </row>
    <row r="946" spans="2:2">
      <c r="B946" s="100"/>
    </row>
    <row r="947" spans="2:2">
      <c r="B947" s="100"/>
    </row>
    <row r="948" spans="2:2">
      <c r="B948" s="100"/>
    </row>
    <row r="949" spans="2:2">
      <c r="B949" s="100"/>
    </row>
    <row r="950" spans="2:2">
      <c r="B950" s="100"/>
    </row>
    <row r="951" spans="2:2">
      <c r="B951" s="100"/>
    </row>
    <row r="952" spans="2:2">
      <c r="B952" s="100"/>
    </row>
    <row r="953" spans="2:2">
      <c r="B953" s="100"/>
    </row>
    <row r="954" spans="2:2">
      <c r="B954" s="100"/>
    </row>
    <row r="955" spans="2:2">
      <c r="B955" s="100"/>
    </row>
    <row r="956" spans="2:2">
      <c r="B956" s="100"/>
    </row>
    <row r="957" spans="2:2">
      <c r="B957" s="100"/>
    </row>
    <row r="958" spans="2:2">
      <c r="B958" s="100"/>
    </row>
    <row r="959" spans="2:2">
      <c r="B959" s="100"/>
    </row>
    <row r="960" spans="2:2">
      <c r="B960" s="100"/>
    </row>
    <row r="961" spans="2:2">
      <c r="B961" s="100"/>
    </row>
    <row r="962" spans="2:2">
      <c r="B962" s="100"/>
    </row>
    <row r="963" spans="2:2">
      <c r="B963" s="100"/>
    </row>
    <row r="964" spans="2:2">
      <c r="B964" s="100"/>
    </row>
    <row r="965" spans="2:2">
      <c r="B965" s="100"/>
    </row>
    <row r="966" spans="2:2">
      <c r="B966" s="100"/>
    </row>
    <row r="967" spans="2:2">
      <c r="B967" s="100"/>
    </row>
    <row r="968" spans="2:2">
      <c r="B968" s="100"/>
    </row>
    <row r="969" spans="2:2">
      <c r="B969" s="100"/>
    </row>
    <row r="970" spans="2:2">
      <c r="B970" s="100"/>
    </row>
    <row r="971" spans="2:2">
      <c r="B971" s="100"/>
    </row>
    <row r="972" spans="2:2">
      <c r="B972" s="100"/>
    </row>
    <row r="973" spans="2:2">
      <c r="B973" s="100"/>
    </row>
    <row r="974" spans="2:2">
      <c r="B974" s="100"/>
    </row>
    <row r="975" spans="2:2">
      <c r="B975" s="100"/>
    </row>
    <row r="976" spans="2:2">
      <c r="B976" s="100"/>
    </row>
    <row r="977" spans="2:2">
      <c r="B977" s="100"/>
    </row>
    <row r="978" spans="2:2">
      <c r="B978" s="100"/>
    </row>
    <row r="979" spans="2:2">
      <c r="B979" s="100"/>
    </row>
    <row r="980" spans="2:2">
      <c r="B980" s="100"/>
    </row>
    <row r="981" spans="2:2">
      <c r="B981" s="100"/>
    </row>
    <row r="982" spans="2:2">
      <c r="B982" s="100"/>
    </row>
    <row r="983" spans="2:2">
      <c r="B983" s="100"/>
    </row>
    <row r="984" spans="2:2">
      <c r="B984" s="100"/>
    </row>
    <row r="985" spans="2:2">
      <c r="B985" s="100"/>
    </row>
    <row r="986" spans="2:2">
      <c r="B986" s="100"/>
    </row>
    <row r="987" spans="2:2">
      <c r="B987" s="100"/>
    </row>
    <row r="988" spans="2:2">
      <c r="B988" s="100"/>
    </row>
    <row r="989" spans="2:2">
      <c r="B989" s="100"/>
    </row>
    <row r="990" spans="2:2">
      <c r="B990" s="100"/>
    </row>
    <row r="991" spans="2:2">
      <c r="B991" s="100"/>
    </row>
    <row r="992" spans="2:2">
      <c r="B992" s="100"/>
    </row>
    <row r="993" spans="2:2">
      <c r="B993" s="100"/>
    </row>
    <row r="994" spans="2:2">
      <c r="B994" s="100"/>
    </row>
    <row r="995" spans="2:2">
      <c r="B995" s="100"/>
    </row>
    <row r="996" spans="2:2">
      <c r="B996" s="100"/>
    </row>
    <row r="997" spans="2:2">
      <c r="B997" s="100"/>
    </row>
    <row r="998" spans="2:2">
      <c r="B998" s="100"/>
    </row>
    <row r="999" spans="2:2">
      <c r="B999" s="100"/>
    </row>
    <row r="1000" spans="2:2">
      <c r="B1000" s="100"/>
    </row>
  </sheetData>
  <conditionalFormatting sqref="C2:C29">
    <cfRule type="containsText" dxfId="0" priority="1" operator="containsText" text="Promedio">
      <formula>NOT(ISERROR(SEARCH(("Promedio"),(C2))))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959"/>
  <sheetViews>
    <sheetView workbookViewId="0"/>
  </sheetViews>
  <sheetFormatPr baseColWidth="10" defaultColWidth="14.42578125" defaultRowHeight="15" customHeight="1"/>
  <cols>
    <col min="1" max="1" width="7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22.5703125" customWidth="1"/>
    <col min="7" max="7" width="21.7109375" customWidth="1"/>
    <col min="8" max="8" width="21.140625" customWidth="1"/>
    <col min="9" max="9" width="29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  <col min="19" max="19" width="14" customWidth="1"/>
    <col min="20" max="30" width="10.7109375" customWidth="1"/>
    <col min="31" max="31" width="13.85546875" customWidth="1"/>
    <col min="32" max="32" width="37.28515625" customWidth="1"/>
    <col min="33" max="33" width="18.7109375" customWidth="1"/>
  </cols>
  <sheetData>
    <row r="1" spans="1:19" ht="15.75">
      <c r="A1" s="51"/>
      <c r="B1" s="52"/>
      <c r="C1" s="52"/>
      <c r="D1" s="53"/>
      <c r="E1" s="53"/>
      <c r="F1" s="53"/>
      <c r="G1" s="53"/>
      <c r="H1" s="53"/>
      <c r="I1" s="52"/>
      <c r="J1" s="54"/>
      <c r="K1" s="54"/>
      <c r="L1" s="52"/>
      <c r="M1" s="52"/>
      <c r="N1" s="54"/>
      <c r="O1" s="54"/>
      <c r="P1" s="54"/>
      <c r="Q1" s="52"/>
      <c r="R1" s="52"/>
    </row>
    <row r="2" spans="1:19" ht="15.75">
      <c r="A2" s="51"/>
      <c r="B2" s="52"/>
      <c r="C2" s="52"/>
      <c r="D2" s="53"/>
      <c r="E2" s="53"/>
      <c r="F2" s="53"/>
      <c r="G2" s="53"/>
      <c r="H2" s="53"/>
      <c r="I2" s="52"/>
      <c r="J2" s="54"/>
      <c r="K2" s="54"/>
      <c r="L2" s="52"/>
      <c r="M2" s="52"/>
      <c r="N2" s="54"/>
      <c r="O2" s="54"/>
      <c r="P2" s="54"/>
      <c r="Q2" s="52"/>
      <c r="R2" s="52"/>
    </row>
    <row r="3" spans="1:19" ht="15.75">
      <c r="A3" s="51"/>
      <c r="B3" s="52"/>
      <c r="C3" s="52"/>
      <c r="D3" s="53"/>
      <c r="E3" s="53"/>
      <c r="F3" s="53"/>
      <c r="G3" s="53"/>
      <c r="H3" s="53"/>
      <c r="I3" s="52"/>
      <c r="J3" s="54"/>
      <c r="K3" s="54"/>
      <c r="L3" s="52"/>
      <c r="M3" s="52"/>
      <c r="N3" s="54"/>
      <c r="O3" s="54"/>
      <c r="P3" s="54"/>
      <c r="Q3" s="52"/>
      <c r="R3" s="52"/>
    </row>
    <row r="4" spans="1:19" ht="15.75">
      <c r="A4" s="51"/>
      <c r="B4" s="52"/>
      <c r="C4" s="52"/>
      <c r="D4" s="219" t="s">
        <v>0</v>
      </c>
      <c r="E4" s="220"/>
      <c r="F4" s="220"/>
      <c r="G4" s="220"/>
      <c r="H4" s="220"/>
      <c r="I4" s="52"/>
      <c r="J4" s="54"/>
      <c r="K4" s="54"/>
      <c r="L4" s="52"/>
      <c r="M4" s="52"/>
      <c r="N4" s="54"/>
      <c r="O4" s="54"/>
      <c r="P4" s="54"/>
      <c r="Q4" s="52"/>
      <c r="R4" s="52"/>
    </row>
    <row r="5" spans="1:19" ht="15.75">
      <c r="A5" s="51"/>
      <c r="B5" s="52"/>
      <c r="C5" s="52"/>
      <c r="D5" s="219" t="s">
        <v>1</v>
      </c>
      <c r="E5" s="220"/>
      <c r="F5" s="220"/>
      <c r="G5" s="220"/>
      <c r="H5" s="220"/>
      <c r="I5" s="52"/>
      <c r="J5" s="54"/>
      <c r="K5" s="54"/>
      <c r="L5" s="52"/>
      <c r="M5" s="52"/>
      <c r="N5" s="54"/>
      <c r="O5" s="54"/>
      <c r="P5" s="54"/>
      <c r="Q5" s="52"/>
      <c r="R5" s="52"/>
    </row>
    <row r="6" spans="1:19" ht="15.75">
      <c r="A6" s="51"/>
      <c r="B6" s="52"/>
      <c r="C6" s="52"/>
      <c r="D6" s="219" t="s">
        <v>2</v>
      </c>
      <c r="E6" s="220"/>
      <c r="F6" s="220"/>
      <c r="G6" s="220"/>
      <c r="H6" s="220"/>
      <c r="I6" s="52"/>
      <c r="J6" s="54"/>
      <c r="K6" s="54"/>
      <c r="L6" s="52"/>
      <c r="M6" s="52"/>
      <c r="N6" s="54"/>
      <c r="O6" s="54"/>
      <c r="P6" s="54"/>
      <c r="Q6" s="52"/>
      <c r="R6" s="52"/>
    </row>
    <row r="7" spans="1:19" ht="15.75">
      <c r="A7" s="51"/>
      <c r="B7" s="52"/>
      <c r="C7" s="52"/>
      <c r="D7" s="219"/>
      <c r="E7" s="220"/>
      <c r="F7" s="220"/>
      <c r="G7" s="220"/>
      <c r="H7" s="220"/>
      <c r="I7" s="52"/>
      <c r="J7" s="54"/>
      <c r="K7" s="54"/>
      <c r="L7" s="52"/>
      <c r="M7" s="52"/>
      <c r="N7" s="54"/>
      <c r="O7" s="54"/>
      <c r="P7" s="54"/>
      <c r="Q7" s="52"/>
      <c r="R7" s="52"/>
    </row>
    <row r="8" spans="1:19" ht="15.75">
      <c r="A8" s="51"/>
      <c r="B8" s="52"/>
      <c r="C8" s="52"/>
      <c r="D8" s="55"/>
      <c r="E8" s="55"/>
      <c r="F8" s="55"/>
      <c r="G8" s="55"/>
      <c r="H8" s="55"/>
      <c r="I8" s="52"/>
      <c r="J8" s="54"/>
      <c r="K8" s="54"/>
      <c r="L8" s="52"/>
      <c r="M8" s="52"/>
      <c r="N8" s="54"/>
      <c r="O8" s="54"/>
      <c r="P8" s="54"/>
      <c r="Q8" s="52"/>
      <c r="R8" s="52"/>
    </row>
    <row r="9" spans="1:19" ht="15.75">
      <c r="A9" s="51"/>
      <c r="B9" s="52"/>
      <c r="C9" s="52"/>
      <c r="D9" s="53"/>
      <c r="E9" s="53"/>
      <c r="F9" s="53"/>
      <c r="G9" s="53"/>
      <c r="H9" s="53"/>
      <c r="I9" s="52"/>
      <c r="J9" s="54"/>
      <c r="K9" s="54"/>
      <c r="L9" s="52"/>
      <c r="M9" s="52"/>
      <c r="N9" s="54"/>
      <c r="O9" s="54"/>
      <c r="P9" s="54"/>
      <c r="Q9" s="52"/>
      <c r="R9" s="52"/>
    </row>
    <row r="10" spans="1:19" ht="15.75">
      <c r="A10" s="51"/>
      <c r="B10" s="52"/>
      <c r="C10" s="52"/>
      <c r="D10" s="53"/>
      <c r="E10" s="53"/>
      <c r="F10" s="53"/>
      <c r="G10" s="53"/>
      <c r="H10" s="53"/>
      <c r="I10" s="52"/>
      <c r="J10" s="54"/>
      <c r="K10" s="54"/>
      <c r="L10" s="52"/>
      <c r="M10" s="52"/>
      <c r="N10" s="54"/>
      <c r="O10" s="54"/>
      <c r="P10" s="54"/>
      <c r="Q10" s="52"/>
      <c r="R10" s="52"/>
    </row>
    <row r="11" spans="1:19" ht="15.75">
      <c r="A11" s="51"/>
      <c r="B11" s="52"/>
      <c r="C11" s="52"/>
      <c r="D11" s="53"/>
      <c r="E11" s="53"/>
      <c r="F11" s="53"/>
      <c r="G11" s="53"/>
      <c r="H11" s="53"/>
      <c r="I11" s="52"/>
      <c r="J11" s="54"/>
      <c r="K11" s="54"/>
      <c r="L11" s="52"/>
      <c r="M11" s="52"/>
      <c r="N11" s="54"/>
      <c r="O11" s="54"/>
      <c r="P11" s="54"/>
      <c r="Q11" s="52"/>
      <c r="R11" s="52"/>
    </row>
    <row r="12" spans="1:19" ht="15.75">
      <c r="A12" s="56"/>
      <c r="B12" s="57"/>
      <c r="C12" s="57"/>
      <c r="D12" s="57"/>
      <c r="E12" s="57"/>
      <c r="F12" s="57"/>
      <c r="G12" s="57"/>
      <c r="H12" s="57"/>
      <c r="I12" s="57"/>
      <c r="J12" s="58"/>
      <c r="K12" s="58"/>
      <c r="L12" s="57"/>
      <c r="M12" s="57"/>
      <c r="N12" s="58"/>
      <c r="O12" s="58"/>
      <c r="P12" s="58"/>
      <c r="Q12" s="57"/>
      <c r="R12" s="57"/>
      <c r="S12" s="92"/>
    </row>
    <row r="13" spans="1:19" ht="15.75">
      <c r="A13" s="56"/>
      <c r="B13" s="57"/>
      <c r="C13" s="3" t="s">
        <v>3</v>
      </c>
      <c r="D13" s="221" t="s">
        <v>4</v>
      </c>
      <c r="E13" s="203"/>
      <c r="F13" s="203"/>
      <c r="G13" s="203"/>
      <c r="H13" s="204"/>
      <c r="I13" s="2"/>
      <c r="J13" s="58"/>
      <c r="K13" s="58"/>
      <c r="L13" s="57"/>
      <c r="M13" s="57"/>
      <c r="N13" s="58"/>
      <c r="O13" s="58"/>
      <c r="P13" s="58"/>
      <c r="Q13" s="57"/>
      <c r="R13" s="57"/>
      <c r="S13" s="92"/>
    </row>
    <row r="14" spans="1:19" ht="15.75">
      <c r="A14" s="56"/>
      <c r="B14" s="57"/>
      <c r="C14" s="3" t="s">
        <v>5</v>
      </c>
      <c r="D14" s="208" t="s">
        <v>6</v>
      </c>
      <c r="E14" s="203"/>
      <c r="F14" s="203"/>
      <c r="G14" s="203"/>
      <c r="H14" s="204"/>
      <c r="I14" s="59" t="s">
        <v>7</v>
      </c>
      <c r="J14" s="58"/>
      <c r="K14" s="58"/>
      <c r="L14" s="57"/>
      <c r="M14" s="57"/>
      <c r="N14" s="58"/>
      <c r="O14" s="58"/>
      <c r="P14" s="58"/>
      <c r="Q14" s="57"/>
      <c r="R14" s="57"/>
      <c r="S14" s="92"/>
    </row>
    <row r="15" spans="1:19" ht="15.75">
      <c r="A15" s="56"/>
      <c r="B15" s="57"/>
      <c r="C15" s="3" t="s">
        <v>8</v>
      </c>
      <c r="D15" s="208" t="s">
        <v>9</v>
      </c>
      <c r="E15" s="203"/>
      <c r="F15" s="203"/>
      <c r="G15" s="203"/>
      <c r="H15" s="204"/>
      <c r="I15" s="59" t="s">
        <v>7</v>
      </c>
      <c r="J15" s="58"/>
      <c r="K15" s="58"/>
      <c r="L15" s="57"/>
      <c r="M15" s="57"/>
      <c r="N15" s="58"/>
      <c r="O15" s="58"/>
      <c r="P15" s="58"/>
      <c r="Q15" s="57"/>
      <c r="R15" s="57"/>
      <c r="S15" s="92"/>
    </row>
    <row r="16" spans="1:19" ht="60">
      <c r="A16" s="56"/>
      <c r="B16" s="57"/>
      <c r="C16" s="3" t="s">
        <v>10</v>
      </c>
      <c r="D16" s="208" t="s">
        <v>11</v>
      </c>
      <c r="E16" s="203"/>
      <c r="F16" s="203"/>
      <c r="G16" s="203"/>
      <c r="H16" s="204"/>
      <c r="I16" s="4" t="s">
        <v>12</v>
      </c>
      <c r="J16" s="58"/>
      <c r="K16" s="58"/>
      <c r="L16" s="57"/>
      <c r="M16" s="57"/>
      <c r="N16" s="58"/>
      <c r="O16" s="58"/>
      <c r="P16" s="58"/>
      <c r="Q16" s="57"/>
      <c r="R16" s="57"/>
      <c r="S16" s="92"/>
    </row>
    <row r="17" spans="1:33" ht="15.75">
      <c r="A17" s="56"/>
      <c r="B17" s="57"/>
      <c r="C17" s="3" t="s">
        <v>13</v>
      </c>
      <c r="D17" s="208" t="s">
        <v>14</v>
      </c>
      <c r="E17" s="203"/>
      <c r="F17" s="203"/>
      <c r="G17" s="203"/>
      <c r="H17" s="204"/>
      <c r="I17" s="59" t="s">
        <v>7</v>
      </c>
      <c r="J17" s="58"/>
      <c r="K17" s="58"/>
      <c r="L17" s="57"/>
      <c r="M17" s="57"/>
      <c r="N17" s="58"/>
      <c r="O17" s="58"/>
      <c r="P17" s="58"/>
      <c r="Q17" s="57"/>
      <c r="R17" s="57"/>
      <c r="S17" s="92"/>
    </row>
    <row r="18" spans="1:33" ht="15.75">
      <c r="A18" s="60"/>
      <c r="B18" s="60"/>
      <c r="C18" s="3" t="s">
        <v>15</v>
      </c>
      <c r="D18" s="208" t="s">
        <v>16</v>
      </c>
      <c r="E18" s="203"/>
      <c r="F18" s="203"/>
      <c r="G18" s="203"/>
      <c r="H18" s="204"/>
      <c r="I18" s="59" t="s">
        <v>7</v>
      </c>
      <c r="J18" s="58"/>
      <c r="K18" s="58"/>
      <c r="L18" s="57"/>
      <c r="M18" s="57"/>
      <c r="N18" s="58"/>
      <c r="O18" s="58"/>
      <c r="P18" s="58"/>
      <c r="Q18" s="57"/>
      <c r="R18" s="57"/>
      <c r="S18" s="92"/>
    </row>
    <row r="19" spans="1:33" ht="15.75" hidden="1">
      <c r="A19" s="61"/>
      <c r="B19" s="62"/>
      <c r="C19" s="3" t="s">
        <v>17</v>
      </c>
      <c r="D19" s="208"/>
      <c r="E19" s="203"/>
      <c r="F19" s="203"/>
      <c r="G19" s="203"/>
      <c r="H19" s="204"/>
      <c r="I19" s="2"/>
      <c r="J19" s="58"/>
      <c r="K19" s="58"/>
      <c r="L19" s="57"/>
      <c r="M19" s="57"/>
      <c r="N19" s="58"/>
      <c r="O19" s="58"/>
      <c r="P19" s="58"/>
      <c r="Q19" s="57"/>
      <c r="R19" s="57"/>
      <c r="S19" s="92"/>
    </row>
    <row r="20" spans="1:33" ht="15.75">
      <c r="C20" s="3" t="s">
        <v>17</v>
      </c>
      <c r="D20" s="208" t="s">
        <v>18</v>
      </c>
      <c r="E20" s="203"/>
      <c r="F20" s="203"/>
      <c r="G20" s="203"/>
      <c r="H20" s="204"/>
      <c r="I20" s="59" t="s">
        <v>7</v>
      </c>
      <c r="J20" s="58"/>
      <c r="K20" s="58"/>
      <c r="L20" s="57"/>
      <c r="M20" s="57"/>
      <c r="N20" s="58"/>
      <c r="O20" s="58"/>
      <c r="P20" s="58"/>
      <c r="Q20" s="57"/>
      <c r="R20" s="57"/>
      <c r="S20" s="92"/>
    </row>
    <row r="21" spans="1:33" ht="15.75">
      <c r="A21" s="5"/>
      <c r="B21" s="215" t="s">
        <v>19</v>
      </c>
      <c r="C21" s="3" t="s">
        <v>20</v>
      </c>
      <c r="D21" s="208" t="s">
        <v>21</v>
      </c>
      <c r="E21" s="203"/>
      <c r="F21" s="203"/>
      <c r="G21" s="203"/>
      <c r="H21" s="204"/>
      <c r="I21" s="59" t="s">
        <v>7</v>
      </c>
      <c r="K21" s="58"/>
      <c r="L21" s="57"/>
      <c r="M21" s="57"/>
      <c r="N21" s="58"/>
      <c r="O21" s="58"/>
      <c r="P21" s="58"/>
      <c r="Q21" s="57"/>
      <c r="R21" s="57"/>
      <c r="S21" s="92"/>
    </row>
    <row r="22" spans="1:33" ht="15.75">
      <c r="A22" s="5"/>
      <c r="B22" s="216"/>
      <c r="C22" s="3" t="s">
        <v>22</v>
      </c>
      <c r="D22" s="208" t="s">
        <v>23</v>
      </c>
      <c r="E22" s="203"/>
      <c r="F22" s="203"/>
      <c r="G22" s="203"/>
      <c r="H22" s="204"/>
      <c r="I22" s="59" t="s">
        <v>7</v>
      </c>
      <c r="J22" s="58"/>
      <c r="K22" s="58"/>
      <c r="L22" s="57"/>
      <c r="M22" s="57"/>
      <c r="N22" s="58"/>
      <c r="O22" s="58"/>
      <c r="P22" s="58"/>
      <c r="Q22" s="57"/>
      <c r="R22" s="57"/>
      <c r="S22" s="92"/>
    </row>
    <row r="23" spans="1:33" ht="15.75">
      <c r="A23" s="6"/>
      <c r="B23" s="217" t="s">
        <v>24</v>
      </c>
      <c r="C23" s="3" t="s">
        <v>25</v>
      </c>
      <c r="D23" s="208" t="s">
        <v>26</v>
      </c>
      <c r="E23" s="203"/>
      <c r="F23" s="203"/>
      <c r="G23" s="203"/>
      <c r="H23" s="204"/>
      <c r="I23" s="59" t="s">
        <v>7</v>
      </c>
      <c r="J23" s="58"/>
      <c r="K23" s="58"/>
      <c r="L23" s="57"/>
      <c r="M23" s="57"/>
      <c r="N23" s="58"/>
      <c r="O23" s="58"/>
      <c r="P23" s="58"/>
      <c r="Q23" s="57"/>
      <c r="R23" s="57"/>
      <c r="S23" s="92"/>
    </row>
    <row r="24" spans="1:33" ht="31.5">
      <c r="A24" s="6"/>
      <c r="B24" s="218"/>
      <c r="C24" s="3" t="s">
        <v>27</v>
      </c>
      <c r="D24" s="208" t="s">
        <v>28</v>
      </c>
      <c r="E24" s="203"/>
      <c r="F24" s="203"/>
      <c r="G24" s="203"/>
      <c r="H24" s="204"/>
      <c r="I24" s="59" t="s">
        <v>7</v>
      </c>
      <c r="J24" s="58"/>
      <c r="K24" s="58"/>
      <c r="L24" s="57"/>
      <c r="M24" s="57"/>
      <c r="N24" s="58"/>
      <c r="O24" s="58"/>
      <c r="P24" s="58"/>
      <c r="Q24" s="57"/>
      <c r="R24" s="57"/>
      <c r="S24" s="92"/>
    </row>
    <row r="25" spans="1:33" ht="15.75">
      <c r="A25" s="6"/>
      <c r="B25" s="217" t="s">
        <v>29</v>
      </c>
      <c r="C25" s="3" t="s">
        <v>30</v>
      </c>
      <c r="D25" s="208" t="s">
        <v>31</v>
      </c>
      <c r="E25" s="203"/>
      <c r="F25" s="203"/>
      <c r="G25" s="203"/>
      <c r="H25" s="204"/>
      <c r="I25" s="59" t="s">
        <v>7</v>
      </c>
      <c r="J25" s="58"/>
      <c r="K25" s="58"/>
      <c r="L25" s="57"/>
      <c r="M25" s="57"/>
      <c r="N25" s="58"/>
      <c r="O25" s="58"/>
      <c r="P25" s="58"/>
      <c r="Q25" s="57"/>
      <c r="R25" s="57"/>
      <c r="S25" s="92"/>
    </row>
    <row r="26" spans="1:33" ht="15.75">
      <c r="A26" s="6"/>
      <c r="B26" s="216"/>
      <c r="C26" s="3" t="s">
        <v>32</v>
      </c>
      <c r="D26" s="208" t="s">
        <v>33</v>
      </c>
      <c r="E26" s="203"/>
      <c r="F26" s="203"/>
      <c r="G26" s="203"/>
      <c r="H26" s="204"/>
      <c r="I26" s="59" t="s">
        <v>7</v>
      </c>
      <c r="J26" s="58"/>
      <c r="K26" s="58"/>
      <c r="L26" s="57"/>
      <c r="M26" s="57"/>
      <c r="N26" s="58"/>
      <c r="O26" s="58"/>
      <c r="P26" s="58"/>
      <c r="Q26" s="57"/>
      <c r="R26" s="57"/>
      <c r="S26" s="92"/>
    </row>
    <row r="27" spans="1:33" ht="15.75">
      <c r="A27" s="6"/>
      <c r="B27" s="216"/>
      <c r="C27" s="3" t="s">
        <v>34</v>
      </c>
      <c r="D27" s="208" t="s">
        <v>35</v>
      </c>
      <c r="E27" s="203"/>
      <c r="F27" s="203"/>
      <c r="G27" s="203"/>
      <c r="H27" s="204"/>
      <c r="I27" s="59" t="s">
        <v>7</v>
      </c>
      <c r="J27" s="58"/>
      <c r="K27" s="58"/>
      <c r="L27" s="57"/>
      <c r="M27" s="57"/>
      <c r="N27" s="58"/>
      <c r="O27" s="58"/>
      <c r="P27" s="58"/>
      <c r="Q27" s="57"/>
      <c r="R27" s="57"/>
      <c r="S27" s="92"/>
    </row>
    <row r="28" spans="1:33" ht="15.75">
      <c r="A28" s="6"/>
      <c r="B28" s="216"/>
      <c r="C28" s="3" t="s">
        <v>36</v>
      </c>
      <c r="D28" s="208" t="s">
        <v>37</v>
      </c>
      <c r="E28" s="203"/>
      <c r="F28" s="203"/>
      <c r="G28" s="203"/>
      <c r="H28" s="204"/>
      <c r="I28" s="57"/>
      <c r="J28" s="58"/>
      <c r="K28" s="58"/>
      <c r="L28" s="57"/>
      <c r="M28" s="57"/>
      <c r="N28" s="58"/>
      <c r="O28" s="63"/>
      <c r="P28" s="63"/>
      <c r="Q28" s="57"/>
      <c r="R28" s="57"/>
      <c r="S28" s="92"/>
    </row>
    <row r="29" spans="1:33" ht="31.5">
      <c r="A29" s="60"/>
      <c r="B29" s="60"/>
      <c r="C29" s="3" t="s">
        <v>38</v>
      </c>
      <c r="D29" s="209" t="s">
        <v>39</v>
      </c>
      <c r="E29" s="203"/>
      <c r="F29" s="203"/>
      <c r="G29" s="203"/>
      <c r="H29" s="203"/>
      <c r="I29" s="57"/>
      <c r="J29" s="58"/>
      <c r="K29" s="58"/>
      <c r="L29" s="57"/>
      <c r="M29" s="57"/>
      <c r="N29" s="58"/>
      <c r="O29" s="63"/>
      <c r="P29" s="63"/>
      <c r="Q29" s="57"/>
      <c r="R29" s="57"/>
      <c r="S29" s="92"/>
    </row>
    <row r="30" spans="1:33" ht="15.75">
      <c r="A30" s="60"/>
      <c r="B30" s="60"/>
      <c r="C30" s="7" t="s">
        <v>40</v>
      </c>
      <c r="D30" s="211"/>
      <c r="E30" s="203"/>
      <c r="F30" s="203"/>
      <c r="G30" s="203"/>
      <c r="H30" s="204"/>
      <c r="I30" s="2"/>
      <c r="J30" s="58"/>
      <c r="K30" s="58"/>
      <c r="L30" s="57"/>
      <c r="M30" s="57"/>
      <c r="N30" s="58"/>
      <c r="O30" s="58"/>
      <c r="P30" s="58"/>
      <c r="Q30" s="57"/>
      <c r="R30" s="57"/>
      <c r="S30" s="92"/>
    </row>
    <row r="31" spans="1:33" ht="15.75">
      <c r="A31" s="56"/>
      <c r="B31" s="57"/>
      <c r="C31" s="57"/>
      <c r="D31" s="8"/>
      <c r="E31" s="8"/>
      <c r="F31" s="8"/>
      <c r="G31" s="8"/>
      <c r="H31" s="8"/>
      <c r="I31" s="9"/>
      <c r="J31" s="9"/>
      <c r="K31" s="9"/>
      <c r="L31" s="9"/>
      <c r="M31" s="9"/>
      <c r="N31" s="9"/>
      <c r="O31" s="9"/>
      <c r="P31" s="9"/>
      <c r="Q31" s="9"/>
      <c r="R31" s="9"/>
      <c r="S31" s="92"/>
      <c r="AF31" s="93" t="s">
        <v>41</v>
      </c>
      <c r="AG31" s="93">
        <v>3</v>
      </c>
    </row>
    <row r="32" spans="1:33" ht="63">
      <c r="A32" s="64"/>
      <c r="B32" s="65" t="s">
        <v>42</v>
      </c>
      <c r="C32" s="10" t="s">
        <v>43</v>
      </c>
      <c r="D32" s="7" t="s">
        <v>44</v>
      </c>
      <c r="E32" s="7" t="s">
        <v>45</v>
      </c>
      <c r="F32" s="7" t="s">
        <v>46</v>
      </c>
      <c r="G32" s="7" t="s">
        <v>47</v>
      </c>
      <c r="H32" s="7" t="s">
        <v>48</v>
      </c>
      <c r="I32" s="7" t="s">
        <v>49</v>
      </c>
      <c r="J32" s="11" t="s">
        <v>50</v>
      </c>
      <c r="K32" s="11" t="s">
        <v>51</v>
      </c>
      <c r="L32" s="7" t="s">
        <v>52</v>
      </c>
      <c r="M32" s="7" t="s">
        <v>53</v>
      </c>
      <c r="N32" s="11" t="s">
        <v>54</v>
      </c>
      <c r="O32" s="11" t="s">
        <v>55</v>
      </c>
      <c r="P32" s="11" t="s">
        <v>56</v>
      </c>
      <c r="Q32" s="7" t="s">
        <v>57</v>
      </c>
      <c r="R32" s="7" t="s">
        <v>58</v>
      </c>
      <c r="S32" s="106" t="s">
        <v>59</v>
      </c>
      <c r="T32" s="107" t="s">
        <v>60</v>
      </c>
      <c r="U32" s="107" t="s">
        <v>61</v>
      </c>
      <c r="V32" s="107" t="s">
        <v>62</v>
      </c>
      <c r="W32" s="107" t="s">
        <v>63</v>
      </c>
      <c r="X32" s="107" t="s">
        <v>64</v>
      </c>
      <c r="Y32" s="107" t="s">
        <v>65</v>
      </c>
      <c r="Z32" s="107" t="s">
        <v>66</v>
      </c>
      <c r="AA32" s="107" t="s">
        <v>67</v>
      </c>
      <c r="AB32" s="107" t="s">
        <v>68</v>
      </c>
      <c r="AC32" s="107" t="s">
        <v>69</v>
      </c>
      <c r="AD32" s="107" t="s">
        <v>70</v>
      </c>
      <c r="AE32" s="108" t="s">
        <v>71</v>
      </c>
      <c r="AF32" s="108" t="s">
        <v>72</v>
      </c>
      <c r="AG32" s="108" t="s">
        <v>73</v>
      </c>
    </row>
    <row r="33" spans="1:33" ht="370.5">
      <c r="B33" s="57"/>
      <c r="C33" s="3" t="s">
        <v>74</v>
      </c>
      <c r="D33" s="12" t="s">
        <v>75</v>
      </c>
      <c r="E33" s="12" t="s">
        <v>76</v>
      </c>
      <c r="F33" s="12" t="s">
        <v>77</v>
      </c>
      <c r="G33" s="13" t="s">
        <v>78</v>
      </c>
      <c r="H33" s="13" t="s">
        <v>79</v>
      </c>
      <c r="I33" s="12" t="s">
        <v>80</v>
      </c>
      <c r="J33" s="14" t="s">
        <v>81</v>
      </c>
      <c r="K33" s="14" t="s">
        <v>82</v>
      </c>
      <c r="L33" s="13" t="s">
        <v>83</v>
      </c>
      <c r="M33" s="13" t="s">
        <v>338</v>
      </c>
      <c r="N33" s="15" t="s">
        <v>85</v>
      </c>
      <c r="O33" s="109">
        <v>44511</v>
      </c>
      <c r="P33" s="17"/>
      <c r="Q33" s="12" t="s">
        <v>86</v>
      </c>
      <c r="R33" s="12" t="s">
        <v>87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110">
        <v>11637</v>
      </c>
      <c r="AF33" s="110"/>
      <c r="AG33" s="92"/>
    </row>
    <row r="34" spans="1:33" ht="199.5">
      <c r="B34" s="67" t="s">
        <v>7</v>
      </c>
      <c r="C34" s="3" t="s">
        <v>88</v>
      </c>
      <c r="D34" s="12" t="s">
        <v>89</v>
      </c>
      <c r="E34" s="12" t="s">
        <v>90</v>
      </c>
      <c r="F34" s="12" t="s">
        <v>91</v>
      </c>
      <c r="G34" s="13" t="s">
        <v>92</v>
      </c>
      <c r="H34" s="13" t="s">
        <v>79</v>
      </c>
      <c r="I34" s="12" t="s">
        <v>93</v>
      </c>
      <c r="J34" s="18" t="s">
        <v>94</v>
      </c>
      <c r="K34" s="19" t="s">
        <v>95</v>
      </c>
      <c r="L34" s="13" t="s">
        <v>83</v>
      </c>
      <c r="M34" s="13" t="s">
        <v>338</v>
      </c>
      <c r="N34" s="15" t="s">
        <v>85</v>
      </c>
      <c r="O34" s="109">
        <v>1505977</v>
      </c>
      <c r="P34" s="17"/>
      <c r="Q34" s="12" t="s">
        <v>96</v>
      </c>
      <c r="R34" s="12" t="s">
        <v>97</v>
      </c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68">
        <v>90912</v>
      </c>
      <c r="AF34" s="92"/>
      <c r="AG34" s="92"/>
    </row>
    <row r="35" spans="1:33" ht="185.25">
      <c r="B35" s="70" t="s">
        <v>98</v>
      </c>
      <c r="C35" s="20" t="s">
        <v>99</v>
      </c>
      <c r="D35" s="12" t="s">
        <v>100</v>
      </c>
      <c r="E35" s="12" t="s">
        <v>101</v>
      </c>
      <c r="F35" s="12" t="s">
        <v>102</v>
      </c>
      <c r="G35" s="12" t="s">
        <v>103</v>
      </c>
      <c r="H35" s="12" t="s">
        <v>79</v>
      </c>
      <c r="I35" s="12" t="s">
        <v>104</v>
      </c>
      <c r="J35" s="12" t="s">
        <v>105</v>
      </c>
      <c r="K35" s="71" t="s">
        <v>106</v>
      </c>
      <c r="L35" s="12" t="s">
        <v>107</v>
      </c>
      <c r="M35" s="12" t="s">
        <v>84</v>
      </c>
      <c r="N35" s="12" t="s">
        <v>85</v>
      </c>
      <c r="O35" s="111">
        <v>0.9</v>
      </c>
      <c r="P35" s="17"/>
      <c r="Q35" s="12" t="s">
        <v>86</v>
      </c>
      <c r="R35" s="12" t="s">
        <v>108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21"/>
      <c r="AF35" s="21"/>
      <c r="AG35" s="21"/>
    </row>
    <row r="36" spans="1:33" ht="156.75">
      <c r="A36" s="72" t="s">
        <v>74</v>
      </c>
      <c r="B36" s="73"/>
      <c r="C36" s="22" t="s">
        <v>109</v>
      </c>
      <c r="D36" s="12" t="s">
        <v>110</v>
      </c>
      <c r="E36" s="23" t="s">
        <v>111</v>
      </c>
      <c r="F36" s="12" t="s">
        <v>112</v>
      </c>
      <c r="G36" s="24" t="s">
        <v>103</v>
      </c>
      <c r="H36" s="24" t="s">
        <v>113</v>
      </c>
      <c r="I36" s="23" t="s">
        <v>114</v>
      </c>
      <c r="J36" s="25" t="s">
        <v>115</v>
      </c>
      <c r="K36" s="14" t="s">
        <v>116</v>
      </c>
      <c r="L36" s="12" t="s">
        <v>107</v>
      </c>
      <c r="M36" s="26" t="s">
        <v>84</v>
      </c>
      <c r="N36" s="12">
        <v>517</v>
      </c>
      <c r="O36" s="12">
        <v>7450</v>
      </c>
      <c r="P36" s="27"/>
      <c r="Q36" s="13" t="s">
        <v>117</v>
      </c>
      <c r="R36" s="12" t="s">
        <v>118</v>
      </c>
      <c r="S36" s="12">
        <v>0</v>
      </c>
      <c r="T36" s="12">
        <v>6</v>
      </c>
      <c r="U36" s="12">
        <v>457</v>
      </c>
      <c r="V36" s="12">
        <v>15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21">
        <v>463</v>
      </c>
      <c r="AF36" s="21" t="s">
        <v>365</v>
      </c>
      <c r="AG36" s="21">
        <v>463</v>
      </c>
    </row>
    <row r="37" spans="1:33" ht="142.5">
      <c r="A37" s="74" t="s">
        <v>88</v>
      </c>
      <c r="B37" s="73"/>
      <c r="C37" s="22" t="s">
        <v>119</v>
      </c>
      <c r="D37" s="12" t="s">
        <v>120</v>
      </c>
      <c r="E37" s="12" t="s">
        <v>121</v>
      </c>
      <c r="F37" s="12" t="s">
        <v>122</v>
      </c>
      <c r="G37" s="24" t="s">
        <v>103</v>
      </c>
      <c r="H37" s="24" t="s">
        <v>113</v>
      </c>
      <c r="I37" s="12" t="s">
        <v>123</v>
      </c>
      <c r="J37" s="25" t="s">
        <v>124</v>
      </c>
      <c r="K37" s="14" t="s">
        <v>125</v>
      </c>
      <c r="L37" s="12" t="s">
        <v>107</v>
      </c>
      <c r="M37" s="28" t="s">
        <v>84</v>
      </c>
      <c r="N37" s="12">
        <v>925</v>
      </c>
      <c r="O37" s="35">
        <v>640</v>
      </c>
      <c r="P37" s="27"/>
      <c r="Q37" s="12" t="s">
        <v>126</v>
      </c>
      <c r="R37" s="12" t="s">
        <v>127</v>
      </c>
      <c r="S37" s="12">
        <v>50</v>
      </c>
      <c r="T37" s="12">
        <v>48</v>
      </c>
      <c r="U37" s="12">
        <v>55</v>
      </c>
      <c r="V37" s="12">
        <v>13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21">
        <v>153</v>
      </c>
      <c r="AF37" s="21" t="s">
        <v>366</v>
      </c>
      <c r="AG37" s="21">
        <v>153</v>
      </c>
    </row>
    <row r="38" spans="1:33" ht="128.25">
      <c r="A38" s="74" t="s">
        <v>128</v>
      </c>
      <c r="B38" s="73"/>
      <c r="C38" s="22" t="s">
        <v>129</v>
      </c>
      <c r="D38" s="12" t="s">
        <v>130</v>
      </c>
      <c r="E38" s="12" t="s">
        <v>131</v>
      </c>
      <c r="F38" s="12" t="s">
        <v>132</v>
      </c>
      <c r="G38" s="24" t="s">
        <v>103</v>
      </c>
      <c r="H38" s="24" t="s">
        <v>113</v>
      </c>
      <c r="I38" s="23" t="s">
        <v>133</v>
      </c>
      <c r="J38" s="30" t="s">
        <v>134</v>
      </c>
      <c r="K38" s="30" t="s">
        <v>135</v>
      </c>
      <c r="L38" s="12" t="s">
        <v>107</v>
      </c>
      <c r="M38" s="28" t="s">
        <v>84</v>
      </c>
      <c r="N38" s="12">
        <v>10405</v>
      </c>
      <c r="O38" s="33">
        <v>5000</v>
      </c>
      <c r="P38" s="27"/>
      <c r="Q38" s="12" t="s">
        <v>136</v>
      </c>
      <c r="R38" s="12" t="s">
        <v>137</v>
      </c>
      <c r="S38" s="12">
        <v>1086</v>
      </c>
      <c r="T38" s="12">
        <v>1126</v>
      </c>
      <c r="U38" s="12">
        <v>1236</v>
      </c>
      <c r="V38" s="12">
        <v>667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21">
        <v>3448</v>
      </c>
      <c r="AF38" s="21" t="s">
        <v>367</v>
      </c>
      <c r="AG38" s="21">
        <v>3448</v>
      </c>
    </row>
    <row r="39" spans="1:33" ht="199.5">
      <c r="A39" s="74" t="s">
        <v>74</v>
      </c>
      <c r="B39" s="73"/>
      <c r="C39" s="22" t="s">
        <v>138</v>
      </c>
      <c r="D39" s="12" t="s">
        <v>139</v>
      </c>
      <c r="E39" s="12" t="s">
        <v>140</v>
      </c>
      <c r="F39" s="12" t="s">
        <v>141</v>
      </c>
      <c r="G39" s="24" t="s">
        <v>103</v>
      </c>
      <c r="H39" s="24" t="s">
        <v>113</v>
      </c>
      <c r="I39" s="23" t="s">
        <v>142</v>
      </c>
      <c r="J39" s="32" t="s">
        <v>143</v>
      </c>
      <c r="K39" s="32" t="s">
        <v>144</v>
      </c>
      <c r="L39" s="12" t="s">
        <v>107</v>
      </c>
      <c r="M39" s="28" t="s">
        <v>84</v>
      </c>
      <c r="N39" s="33">
        <v>9826</v>
      </c>
      <c r="O39" s="33">
        <v>8791</v>
      </c>
      <c r="P39" s="17"/>
      <c r="Q39" s="23" t="s">
        <v>117</v>
      </c>
      <c r="R39" s="12" t="s">
        <v>145</v>
      </c>
      <c r="S39" s="12">
        <v>0</v>
      </c>
      <c r="T39" s="12">
        <v>0</v>
      </c>
      <c r="U39" s="12">
        <v>2526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21">
        <v>2526</v>
      </c>
      <c r="AF39" s="21" t="s">
        <v>368</v>
      </c>
      <c r="AG39" s="21">
        <v>2526</v>
      </c>
    </row>
    <row r="40" spans="1:33" ht="114">
      <c r="A40" s="74" t="s">
        <v>88</v>
      </c>
      <c r="B40" s="73"/>
      <c r="C40" s="22" t="s">
        <v>146</v>
      </c>
      <c r="D40" s="12" t="s">
        <v>147</v>
      </c>
      <c r="E40" s="12" t="s">
        <v>148</v>
      </c>
      <c r="F40" s="12" t="s">
        <v>149</v>
      </c>
      <c r="G40" s="24" t="s">
        <v>103</v>
      </c>
      <c r="H40" s="12" t="s">
        <v>113</v>
      </c>
      <c r="I40" s="23" t="s">
        <v>150</v>
      </c>
      <c r="J40" s="30" t="s">
        <v>151</v>
      </c>
      <c r="K40" s="30" t="s">
        <v>152</v>
      </c>
      <c r="L40" s="12" t="s">
        <v>107</v>
      </c>
      <c r="M40" s="34" t="s">
        <v>84</v>
      </c>
      <c r="N40" s="35">
        <v>1378450</v>
      </c>
      <c r="O40" s="33">
        <v>1190350</v>
      </c>
      <c r="P40" s="17"/>
      <c r="Q40" s="13" t="s">
        <v>153</v>
      </c>
      <c r="R40" s="12" t="s">
        <v>154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21">
        <v>0</v>
      </c>
      <c r="AF40" s="21" t="s">
        <v>369</v>
      </c>
      <c r="AG40" s="21">
        <v>0</v>
      </c>
    </row>
    <row r="41" spans="1:33" ht="128.25">
      <c r="A41" s="74" t="s">
        <v>88</v>
      </c>
      <c r="B41" s="73"/>
      <c r="C41" s="22" t="s">
        <v>155</v>
      </c>
      <c r="D41" s="12" t="s">
        <v>156</v>
      </c>
      <c r="E41" s="12" t="s">
        <v>157</v>
      </c>
      <c r="F41" s="12" t="s">
        <v>158</v>
      </c>
      <c r="G41" s="24" t="s">
        <v>103</v>
      </c>
      <c r="H41" s="12" t="s">
        <v>113</v>
      </c>
      <c r="I41" s="23" t="s">
        <v>159</v>
      </c>
      <c r="J41" s="30" t="s">
        <v>151</v>
      </c>
      <c r="K41" s="30" t="s">
        <v>160</v>
      </c>
      <c r="L41" s="12" t="s">
        <v>107</v>
      </c>
      <c r="M41" s="34" t="s">
        <v>84</v>
      </c>
      <c r="N41" s="33">
        <v>26296</v>
      </c>
      <c r="O41" s="33">
        <v>26292</v>
      </c>
      <c r="P41" s="17"/>
      <c r="Q41" s="13" t="s">
        <v>153</v>
      </c>
      <c r="R41" s="12" t="s">
        <v>161</v>
      </c>
      <c r="S41" s="12">
        <v>0</v>
      </c>
      <c r="T41" s="12">
        <v>0</v>
      </c>
      <c r="U41" s="12">
        <v>6573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21">
        <v>6573</v>
      </c>
      <c r="AF41" s="21" t="s">
        <v>370</v>
      </c>
      <c r="AG41" s="21">
        <v>6573</v>
      </c>
    </row>
    <row r="42" spans="1:33" ht="156.75">
      <c r="A42" s="74" t="s">
        <v>88</v>
      </c>
      <c r="B42" s="73"/>
      <c r="C42" s="22" t="s">
        <v>162</v>
      </c>
      <c r="D42" s="12" t="s">
        <v>163</v>
      </c>
      <c r="E42" s="12" t="s">
        <v>164</v>
      </c>
      <c r="F42" s="12" t="s">
        <v>165</v>
      </c>
      <c r="G42" s="24" t="s">
        <v>103</v>
      </c>
      <c r="H42" s="12" t="s">
        <v>113</v>
      </c>
      <c r="I42" s="23" t="s">
        <v>150</v>
      </c>
      <c r="J42" s="30" t="s">
        <v>151</v>
      </c>
      <c r="K42" s="30" t="s">
        <v>152</v>
      </c>
      <c r="L42" s="12" t="s">
        <v>107</v>
      </c>
      <c r="M42" s="34" t="s">
        <v>84</v>
      </c>
      <c r="N42" s="35">
        <v>4560</v>
      </c>
      <c r="O42" s="33">
        <v>4020</v>
      </c>
      <c r="P42" s="17"/>
      <c r="Q42" s="13" t="s">
        <v>153</v>
      </c>
      <c r="R42" s="12" t="s">
        <v>166</v>
      </c>
      <c r="S42" s="12">
        <v>0</v>
      </c>
      <c r="T42" s="12">
        <v>0</v>
      </c>
      <c r="U42" s="12">
        <v>1005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21">
        <v>1005</v>
      </c>
      <c r="AF42" s="21" t="s">
        <v>370</v>
      </c>
      <c r="AG42" s="21">
        <v>1005</v>
      </c>
    </row>
    <row r="43" spans="1:33" ht="114">
      <c r="A43" s="74" t="s">
        <v>128</v>
      </c>
      <c r="B43" s="73"/>
      <c r="C43" s="22" t="s">
        <v>167</v>
      </c>
      <c r="D43" s="12" t="s">
        <v>168</v>
      </c>
      <c r="E43" s="12" t="s">
        <v>169</v>
      </c>
      <c r="F43" s="12" t="s">
        <v>170</v>
      </c>
      <c r="G43" s="24" t="s">
        <v>103</v>
      </c>
      <c r="H43" s="12" t="s">
        <v>113</v>
      </c>
      <c r="I43" s="12" t="s">
        <v>171</v>
      </c>
      <c r="J43" s="30" t="s">
        <v>172</v>
      </c>
      <c r="K43" s="30" t="s">
        <v>173</v>
      </c>
      <c r="L43" s="12" t="s">
        <v>107</v>
      </c>
      <c r="M43" s="34" t="s">
        <v>84</v>
      </c>
      <c r="N43" s="35">
        <v>7997</v>
      </c>
      <c r="O43" s="33">
        <v>6000</v>
      </c>
      <c r="P43" s="17"/>
      <c r="Q43" s="12" t="s">
        <v>174</v>
      </c>
      <c r="R43" s="12" t="s">
        <v>175</v>
      </c>
      <c r="S43" s="12">
        <v>669</v>
      </c>
      <c r="T43" s="12">
        <v>562</v>
      </c>
      <c r="U43" s="12">
        <v>709</v>
      </c>
      <c r="V43" s="12">
        <v>297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21">
        <v>1940</v>
      </c>
      <c r="AF43" s="21" t="s">
        <v>371</v>
      </c>
      <c r="AG43" s="21">
        <v>1940</v>
      </c>
    </row>
    <row r="44" spans="1:33" ht="128.25">
      <c r="A44" s="74" t="s">
        <v>74</v>
      </c>
      <c r="B44" s="73"/>
      <c r="C44" s="22" t="s">
        <v>176</v>
      </c>
      <c r="D44" s="12" t="s">
        <v>177</v>
      </c>
      <c r="E44" s="12" t="s">
        <v>178</v>
      </c>
      <c r="F44" s="12" t="s">
        <v>179</v>
      </c>
      <c r="G44" s="12" t="s">
        <v>103</v>
      </c>
      <c r="H44" s="12" t="s">
        <v>113</v>
      </c>
      <c r="I44" s="12" t="s">
        <v>180</v>
      </c>
      <c r="J44" s="12" t="s">
        <v>181</v>
      </c>
      <c r="K44" s="12">
        <v>4</v>
      </c>
      <c r="L44" s="12" t="s">
        <v>182</v>
      </c>
      <c r="M44" s="12" t="s">
        <v>183</v>
      </c>
      <c r="N44" s="12">
        <v>2676</v>
      </c>
      <c r="O44" s="12">
        <v>2550</v>
      </c>
      <c r="P44" s="12"/>
      <c r="Q44" s="12" t="s">
        <v>184</v>
      </c>
      <c r="R44" s="12" t="s">
        <v>185</v>
      </c>
      <c r="S44" s="12">
        <v>654</v>
      </c>
      <c r="T44" s="12">
        <v>914</v>
      </c>
      <c r="U44" s="12">
        <v>724</v>
      </c>
      <c r="V44" s="12">
        <v>678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21">
        <v>2292</v>
      </c>
      <c r="AF44" s="21">
        <v>573</v>
      </c>
      <c r="AG44" s="21">
        <v>764</v>
      </c>
    </row>
    <row r="45" spans="1:33" ht="128.25">
      <c r="A45" s="74" t="s">
        <v>88</v>
      </c>
      <c r="B45" s="73"/>
      <c r="C45" s="22" t="s">
        <v>186</v>
      </c>
      <c r="D45" s="12" t="s">
        <v>187</v>
      </c>
      <c r="E45" s="12" t="s">
        <v>188</v>
      </c>
      <c r="F45" s="12" t="s">
        <v>189</v>
      </c>
      <c r="G45" s="12" t="s">
        <v>103</v>
      </c>
      <c r="H45" s="12" t="s">
        <v>113</v>
      </c>
      <c r="I45" s="12" t="s">
        <v>190</v>
      </c>
      <c r="J45" s="12" t="s">
        <v>191</v>
      </c>
      <c r="K45" s="12" t="s">
        <v>192</v>
      </c>
      <c r="L45" s="12" t="s">
        <v>107</v>
      </c>
      <c r="M45" s="12" t="s">
        <v>84</v>
      </c>
      <c r="N45" s="12" t="s">
        <v>85</v>
      </c>
      <c r="O45" s="12">
        <v>15000</v>
      </c>
      <c r="P45" s="12"/>
      <c r="Q45" s="12" t="s">
        <v>184</v>
      </c>
      <c r="R45" s="12" t="s">
        <v>185</v>
      </c>
      <c r="S45" s="12">
        <v>1336</v>
      </c>
      <c r="T45" s="12">
        <v>1635</v>
      </c>
      <c r="U45" s="12">
        <v>1178</v>
      </c>
      <c r="V45" s="12">
        <v>819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21">
        <v>4149</v>
      </c>
      <c r="AF45" s="21" t="s">
        <v>372</v>
      </c>
      <c r="AG45" s="21">
        <v>4149</v>
      </c>
    </row>
    <row r="46" spans="1:33" ht="128.25">
      <c r="A46" s="74" t="s">
        <v>88</v>
      </c>
      <c r="B46" s="73"/>
      <c r="C46" s="22" t="s">
        <v>193</v>
      </c>
      <c r="D46" s="12" t="s">
        <v>194</v>
      </c>
      <c r="E46" s="12" t="s">
        <v>195</v>
      </c>
      <c r="F46" s="12" t="s">
        <v>196</v>
      </c>
      <c r="G46" s="24" t="s">
        <v>103</v>
      </c>
      <c r="H46" s="12" t="s">
        <v>113</v>
      </c>
      <c r="I46" s="23" t="s">
        <v>197</v>
      </c>
      <c r="J46" s="30" t="s">
        <v>198</v>
      </c>
      <c r="K46" s="30" t="s">
        <v>199</v>
      </c>
      <c r="L46" s="12" t="s">
        <v>107</v>
      </c>
      <c r="M46" s="34" t="s">
        <v>84</v>
      </c>
      <c r="N46" s="35">
        <v>28995</v>
      </c>
      <c r="O46" s="33">
        <v>29000</v>
      </c>
      <c r="P46" s="17"/>
      <c r="Q46" s="13" t="s">
        <v>200</v>
      </c>
      <c r="R46" s="12" t="s">
        <v>201</v>
      </c>
      <c r="S46" s="12">
        <v>1527</v>
      </c>
      <c r="T46" s="12">
        <v>4190</v>
      </c>
      <c r="U46" s="12">
        <v>1152</v>
      </c>
      <c r="V46" s="12">
        <v>1286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21">
        <v>6869</v>
      </c>
      <c r="AF46" s="21" t="s">
        <v>373</v>
      </c>
      <c r="AG46" s="21">
        <v>6869</v>
      </c>
    </row>
    <row r="47" spans="1:33" ht="171">
      <c r="A47" s="74" t="s">
        <v>74</v>
      </c>
      <c r="B47" s="73"/>
      <c r="C47" s="22" t="s">
        <v>202</v>
      </c>
      <c r="D47" s="12" t="s">
        <v>203</v>
      </c>
      <c r="E47" s="12" t="s">
        <v>204</v>
      </c>
      <c r="F47" s="12" t="s">
        <v>205</v>
      </c>
      <c r="G47" s="24" t="s">
        <v>103</v>
      </c>
      <c r="H47" s="12" t="s">
        <v>113</v>
      </c>
      <c r="I47" s="12" t="s">
        <v>206</v>
      </c>
      <c r="J47" s="30" t="s">
        <v>207</v>
      </c>
      <c r="K47" s="30">
        <v>4</v>
      </c>
      <c r="L47" s="12" t="s">
        <v>182</v>
      </c>
      <c r="M47" s="34" t="s">
        <v>183</v>
      </c>
      <c r="N47" s="12" t="s">
        <v>85</v>
      </c>
      <c r="O47" s="35">
        <v>1500</v>
      </c>
      <c r="P47" s="17"/>
      <c r="Q47" s="13" t="s">
        <v>117</v>
      </c>
      <c r="R47" s="12" t="s">
        <v>208</v>
      </c>
      <c r="S47" s="12">
        <v>510</v>
      </c>
      <c r="T47" s="12">
        <v>510</v>
      </c>
      <c r="U47" s="12">
        <v>510</v>
      </c>
      <c r="V47" s="12">
        <v>510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21">
        <v>1530</v>
      </c>
      <c r="AF47" s="21">
        <v>382.5</v>
      </c>
      <c r="AG47" s="21">
        <v>510</v>
      </c>
    </row>
    <row r="48" spans="1:33" ht="171">
      <c r="A48" s="74" t="s">
        <v>88</v>
      </c>
      <c r="B48" s="73"/>
      <c r="C48" s="22" t="s">
        <v>209</v>
      </c>
      <c r="D48" s="12" t="s">
        <v>210</v>
      </c>
      <c r="E48" s="12" t="s">
        <v>211</v>
      </c>
      <c r="F48" s="12" t="s">
        <v>212</v>
      </c>
      <c r="G48" s="24" t="s">
        <v>103</v>
      </c>
      <c r="H48" s="12" t="s">
        <v>113</v>
      </c>
      <c r="I48" s="23" t="s">
        <v>213</v>
      </c>
      <c r="J48" s="30" t="s">
        <v>214</v>
      </c>
      <c r="K48" s="30" t="s">
        <v>215</v>
      </c>
      <c r="L48" s="12" t="s">
        <v>107</v>
      </c>
      <c r="M48" s="34" t="s">
        <v>84</v>
      </c>
      <c r="N48" s="35">
        <v>203457</v>
      </c>
      <c r="O48" s="35">
        <v>224400</v>
      </c>
      <c r="P48" s="17"/>
      <c r="Q48" s="13" t="s">
        <v>117</v>
      </c>
      <c r="R48" s="12" t="s">
        <v>208</v>
      </c>
      <c r="S48" s="12">
        <v>22440</v>
      </c>
      <c r="T48" s="12">
        <v>19380</v>
      </c>
      <c r="U48" s="12">
        <v>23460</v>
      </c>
      <c r="V48" s="12">
        <v>10200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21">
        <v>65280</v>
      </c>
      <c r="AF48" s="21" t="s">
        <v>374</v>
      </c>
      <c r="AG48" s="21">
        <v>65280</v>
      </c>
    </row>
    <row r="49" spans="1:33" ht="114">
      <c r="A49" s="74" t="s">
        <v>74</v>
      </c>
      <c r="B49" s="73"/>
      <c r="C49" s="22" t="s">
        <v>216</v>
      </c>
      <c r="D49" s="37" t="s">
        <v>217</v>
      </c>
      <c r="E49" s="37" t="s">
        <v>218</v>
      </c>
      <c r="F49" s="37" t="s">
        <v>219</v>
      </c>
      <c r="G49" s="38" t="s">
        <v>103</v>
      </c>
      <c r="H49" s="37" t="s">
        <v>113</v>
      </c>
      <c r="I49" s="37" t="s">
        <v>220</v>
      </c>
      <c r="J49" s="39" t="s">
        <v>221</v>
      </c>
      <c r="K49" s="39">
        <v>4</v>
      </c>
      <c r="L49" s="12" t="s">
        <v>182</v>
      </c>
      <c r="M49" s="40" t="s">
        <v>183</v>
      </c>
      <c r="N49" s="41" t="s">
        <v>85</v>
      </c>
      <c r="O49" s="41">
        <v>4500</v>
      </c>
      <c r="P49" s="43"/>
      <c r="Q49" s="12" t="s">
        <v>222</v>
      </c>
      <c r="R49" s="12" t="s">
        <v>223</v>
      </c>
      <c r="S49" s="12">
        <v>1558</v>
      </c>
      <c r="T49" s="12">
        <v>1711</v>
      </c>
      <c r="U49" s="12">
        <v>1813</v>
      </c>
      <c r="V49" s="12">
        <v>1440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21">
        <v>5082</v>
      </c>
      <c r="AF49" s="21">
        <v>1270.5</v>
      </c>
      <c r="AG49" s="21">
        <v>1694</v>
      </c>
    </row>
    <row r="50" spans="1:33" ht="114">
      <c r="A50" s="74" t="s">
        <v>88</v>
      </c>
      <c r="B50" s="73"/>
      <c r="C50" s="22" t="s">
        <v>224</v>
      </c>
      <c r="D50" s="12" t="s">
        <v>225</v>
      </c>
      <c r="E50" s="12" t="s">
        <v>226</v>
      </c>
      <c r="F50" s="12" t="s">
        <v>227</v>
      </c>
      <c r="G50" s="24" t="s">
        <v>103</v>
      </c>
      <c r="H50" s="12" t="s">
        <v>113</v>
      </c>
      <c r="I50" s="12" t="s">
        <v>228</v>
      </c>
      <c r="J50" s="30" t="s">
        <v>229</v>
      </c>
      <c r="K50" s="30">
        <v>4</v>
      </c>
      <c r="L50" s="12" t="s">
        <v>182</v>
      </c>
      <c r="M50" s="34" t="s">
        <v>183</v>
      </c>
      <c r="N50" s="17"/>
      <c r="O50" s="35">
        <v>780</v>
      </c>
      <c r="P50" s="17"/>
      <c r="Q50" s="12" t="s">
        <v>230</v>
      </c>
      <c r="R50" s="12" t="s">
        <v>231</v>
      </c>
      <c r="S50" s="12">
        <v>276</v>
      </c>
      <c r="T50" s="12">
        <v>307</v>
      </c>
      <c r="U50" s="12">
        <v>293</v>
      </c>
      <c r="V50" s="12">
        <v>261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21">
        <v>876</v>
      </c>
      <c r="AF50" s="21">
        <v>219</v>
      </c>
      <c r="AG50" s="21">
        <v>292</v>
      </c>
    </row>
    <row r="51" spans="1:33" ht="99.75">
      <c r="A51" s="74" t="s">
        <v>74</v>
      </c>
      <c r="B51" s="73"/>
      <c r="C51" s="22" t="s">
        <v>232</v>
      </c>
      <c r="D51" s="12" t="s">
        <v>233</v>
      </c>
      <c r="E51" s="12" t="s">
        <v>234</v>
      </c>
      <c r="F51" s="12" t="s">
        <v>235</v>
      </c>
      <c r="G51" s="24" t="s">
        <v>103</v>
      </c>
      <c r="H51" s="12" t="s">
        <v>113</v>
      </c>
      <c r="I51" s="23" t="s">
        <v>236</v>
      </c>
      <c r="J51" s="30" t="s">
        <v>237</v>
      </c>
      <c r="K51" s="30" t="s">
        <v>238</v>
      </c>
      <c r="L51" s="12" t="s">
        <v>107</v>
      </c>
      <c r="M51" s="34" t="s">
        <v>84</v>
      </c>
      <c r="N51" s="35">
        <v>2037</v>
      </c>
      <c r="O51" s="35">
        <v>2030</v>
      </c>
      <c r="P51" s="17"/>
      <c r="Q51" s="13" t="s">
        <v>239</v>
      </c>
      <c r="R51" s="12" t="s">
        <v>240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21">
        <v>0</v>
      </c>
      <c r="AF51" s="21" t="s">
        <v>369</v>
      </c>
      <c r="AG51" s="21">
        <v>0</v>
      </c>
    </row>
    <row r="52" spans="1:33" ht="99.75">
      <c r="A52" s="75" t="s">
        <v>88</v>
      </c>
      <c r="B52" s="73"/>
      <c r="C52" s="22" t="s">
        <v>241</v>
      </c>
      <c r="D52" s="12" t="s">
        <v>242</v>
      </c>
      <c r="E52" s="12" t="s">
        <v>243</v>
      </c>
      <c r="F52" s="12" t="s">
        <v>244</v>
      </c>
      <c r="G52" s="24" t="s">
        <v>103</v>
      </c>
      <c r="H52" s="12" t="s">
        <v>113</v>
      </c>
      <c r="I52" s="23" t="s">
        <v>245</v>
      </c>
      <c r="J52" s="30" t="s">
        <v>246</v>
      </c>
      <c r="K52" s="30" t="s">
        <v>247</v>
      </c>
      <c r="L52" s="12" t="s">
        <v>107</v>
      </c>
      <c r="M52" s="34" t="s">
        <v>84</v>
      </c>
      <c r="N52" s="12" t="s">
        <v>85</v>
      </c>
      <c r="O52" s="35">
        <v>1188</v>
      </c>
      <c r="P52" s="17"/>
      <c r="Q52" s="13" t="s">
        <v>248</v>
      </c>
      <c r="R52" s="12" t="s">
        <v>240</v>
      </c>
      <c r="S52" s="12">
        <v>99</v>
      </c>
      <c r="T52" s="12">
        <v>99</v>
      </c>
      <c r="U52" s="12">
        <v>99</v>
      </c>
      <c r="V52" s="12">
        <v>99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21">
        <v>297</v>
      </c>
      <c r="AF52" s="21" t="s">
        <v>370</v>
      </c>
      <c r="AG52" s="21">
        <v>297</v>
      </c>
    </row>
    <row r="53" spans="1:33" ht="99.75">
      <c r="A53" s="93" t="s">
        <v>74</v>
      </c>
      <c r="B53" s="76" t="s">
        <v>98</v>
      </c>
      <c r="C53" s="44" t="s">
        <v>249</v>
      </c>
      <c r="D53" s="12" t="s">
        <v>250</v>
      </c>
      <c r="E53" s="12" t="s">
        <v>350</v>
      </c>
      <c r="F53" s="12" t="s">
        <v>112</v>
      </c>
      <c r="G53" s="12" t="s">
        <v>103</v>
      </c>
      <c r="H53" s="12" t="s">
        <v>79</v>
      </c>
      <c r="I53" s="12" t="s">
        <v>251</v>
      </c>
      <c r="J53" s="30" t="s">
        <v>252</v>
      </c>
      <c r="K53" s="30" t="s">
        <v>253</v>
      </c>
      <c r="L53" s="12" t="s">
        <v>107</v>
      </c>
      <c r="M53" s="12" t="s">
        <v>84</v>
      </c>
      <c r="N53" s="12">
        <v>4431</v>
      </c>
      <c r="O53" s="12">
        <v>5000</v>
      </c>
      <c r="P53" s="17"/>
      <c r="Q53" s="12" t="s">
        <v>254</v>
      </c>
      <c r="R53" s="12" t="s">
        <v>255</v>
      </c>
      <c r="S53" s="12">
        <v>0</v>
      </c>
      <c r="T53" s="12">
        <v>33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21">
        <v>33</v>
      </c>
      <c r="AF53" s="21" t="s">
        <v>375</v>
      </c>
      <c r="AG53" s="21">
        <v>33</v>
      </c>
    </row>
    <row r="54" spans="1:33" ht="199.5">
      <c r="A54" s="73" t="s">
        <v>88</v>
      </c>
      <c r="B54" s="73"/>
      <c r="C54" s="45" t="s">
        <v>256</v>
      </c>
      <c r="D54" s="12" t="s">
        <v>257</v>
      </c>
      <c r="E54" s="12" t="s">
        <v>258</v>
      </c>
      <c r="F54" s="12" t="s">
        <v>259</v>
      </c>
      <c r="G54" s="12" t="s">
        <v>103</v>
      </c>
      <c r="H54" s="12" t="s">
        <v>113</v>
      </c>
      <c r="I54" s="12" t="s">
        <v>260</v>
      </c>
      <c r="J54" s="30" t="s">
        <v>261</v>
      </c>
      <c r="K54" s="30" t="s">
        <v>262</v>
      </c>
      <c r="L54" s="12" t="s">
        <v>107</v>
      </c>
      <c r="M54" s="12" t="s">
        <v>84</v>
      </c>
      <c r="N54" s="12">
        <v>17</v>
      </c>
      <c r="O54" s="12">
        <v>7</v>
      </c>
      <c r="P54" s="27"/>
      <c r="Q54" s="12" t="s">
        <v>263</v>
      </c>
      <c r="R54" s="12" t="s">
        <v>264</v>
      </c>
      <c r="S54" s="12">
        <v>1</v>
      </c>
      <c r="T54" s="12">
        <v>1</v>
      </c>
      <c r="U54" s="12">
        <v>2</v>
      </c>
      <c r="V54" s="12">
        <v>7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21">
        <v>4</v>
      </c>
      <c r="AF54" s="21" t="s">
        <v>376</v>
      </c>
      <c r="AG54" s="21">
        <v>4</v>
      </c>
    </row>
    <row r="55" spans="1:33" ht="128.25">
      <c r="A55" s="93" t="s">
        <v>88</v>
      </c>
      <c r="B55" s="77" t="s">
        <v>98</v>
      </c>
      <c r="C55" s="20" t="s">
        <v>265</v>
      </c>
      <c r="D55" s="12" t="s">
        <v>266</v>
      </c>
      <c r="E55" s="12" t="s">
        <v>267</v>
      </c>
      <c r="F55" s="12" t="s">
        <v>268</v>
      </c>
      <c r="G55" s="12" t="s">
        <v>103</v>
      </c>
      <c r="H55" s="12" t="s">
        <v>79</v>
      </c>
      <c r="I55" s="12" t="s">
        <v>269</v>
      </c>
      <c r="J55" s="46" t="s">
        <v>270</v>
      </c>
      <c r="K55" s="47" t="s">
        <v>271</v>
      </c>
      <c r="L55" s="12" t="s">
        <v>107</v>
      </c>
      <c r="M55" s="12" t="s">
        <v>84</v>
      </c>
      <c r="N55" s="48" t="s">
        <v>85</v>
      </c>
      <c r="O55" s="12">
        <v>1100</v>
      </c>
      <c r="P55" s="17"/>
      <c r="Q55" s="12" t="s">
        <v>272</v>
      </c>
      <c r="R55" s="12" t="s">
        <v>273</v>
      </c>
      <c r="S55" s="12">
        <v>89</v>
      </c>
      <c r="T55" s="12">
        <v>101</v>
      </c>
      <c r="U55" s="12">
        <v>90</v>
      </c>
      <c r="V55" s="12">
        <v>71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21">
        <v>280</v>
      </c>
      <c r="AF55" s="21" t="s">
        <v>377</v>
      </c>
      <c r="AG55" s="21">
        <v>280</v>
      </c>
    </row>
    <row r="56" spans="1:33" ht="156.75">
      <c r="A56" s="72" t="s">
        <v>74</v>
      </c>
      <c r="B56" s="78"/>
      <c r="C56" s="22" t="s">
        <v>274</v>
      </c>
      <c r="D56" s="12" t="s">
        <v>275</v>
      </c>
      <c r="E56" s="12" t="s">
        <v>276</v>
      </c>
      <c r="F56" s="12" t="s">
        <v>277</v>
      </c>
      <c r="G56" s="12" t="s">
        <v>103</v>
      </c>
      <c r="H56" s="12" t="s">
        <v>113</v>
      </c>
      <c r="I56" s="12" t="s">
        <v>278</v>
      </c>
      <c r="J56" s="30" t="s">
        <v>279</v>
      </c>
      <c r="K56" s="30" t="s">
        <v>280</v>
      </c>
      <c r="L56" s="12" t="s">
        <v>107</v>
      </c>
      <c r="M56" s="12" t="s">
        <v>84</v>
      </c>
      <c r="N56" s="48" t="s">
        <v>85</v>
      </c>
      <c r="O56" s="12">
        <v>700</v>
      </c>
      <c r="P56" s="17"/>
      <c r="Q56" s="12" t="s">
        <v>281</v>
      </c>
      <c r="R56" s="12" t="s">
        <v>282</v>
      </c>
      <c r="S56" s="12">
        <v>46</v>
      </c>
      <c r="T56" s="12">
        <v>61</v>
      </c>
      <c r="U56" s="12">
        <v>71</v>
      </c>
      <c r="V56" s="12">
        <v>30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21">
        <v>178</v>
      </c>
      <c r="AF56" s="21" t="s">
        <v>378</v>
      </c>
      <c r="AG56" s="21">
        <v>178</v>
      </c>
    </row>
    <row r="57" spans="1:33" ht="114">
      <c r="A57" s="75" t="s">
        <v>88</v>
      </c>
      <c r="B57" s="78"/>
      <c r="C57" s="22" t="s">
        <v>283</v>
      </c>
      <c r="D57" s="12" t="s">
        <v>284</v>
      </c>
      <c r="E57" s="12" t="s">
        <v>285</v>
      </c>
      <c r="F57" s="12" t="s">
        <v>286</v>
      </c>
      <c r="G57" s="12" t="s">
        <v>103</v>
      </c>
      <c r="H57" s="12" t="s">
        <v>113</v>
      </c>
      <c r="I57" s="12" t="s">
        <v>287</v>
      </c>
      <c r="J57" s="30" t="s">
        <v>288</v>
      </c>
      <c r="K57" s="30" t="s">
        <v>289</v>
      </c>
      <c r="L57" s="12" t="s">
        <v>107</v>
      </c>
      <c r="M57" s="12" t="s">
        <v>84</v>
      </c>
      <c r="N57" s="48" t="s">
        <v>85</v>
      </c>
      <c r="O57" s="12">
        <v>400</v>
      </c>
      <c r="P57" s="112"/>
      <c r="Q57" s="12" t="s">
        <v>290</v>
      </c>
      <c r="R57" s="12" t="s">
        <v>291</v>
      </c>
      <c r="S57" s="12">
        <v>36</v>
      </c>
      <c r="T57" s="12">
        <v>29</v>
      </c>
      <c r="U57" s="12">
        <v>31</v>
      </c>
      <c r="V57" s="12">
        <v>19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21">
        <v>96</v>
      </c>
      <c r="AF57" s="21" t="s">
        <v>379</v>
      </c>
      <c r="AG57" s="21">
        <v>96</v>
      </c>
    </row>
    <row r="58" spans="1:33" ht="128.25">
      <c r="B58" s="76" t="s">
        <v>292</v>
      </c>
      <c r="C58" s="20" t="s">
        <v>293</v>
      </c>
      <c r="D58" s="12" t="s">
        <v>294</v>
      </c>
      <c r="E58" s="12" t="s">
        <v>295</v>
      </c>
      <c r="F58" s="12" t="s">
        <v>296</v>
      </c>
      <c r="G58" s="12" t="s">
        <v>103</v>
      </c>
      <c r="H58" s="12" t="s">
        <v>79</v>
      </c>
      <c r="I58" s="12" t="s">
        <v>297</v>
      </c>
      <c r="J58" s="30" t="s">
        <v>298</v>
      </c>
      <c r="K58" s="30" t="s">
        <v>299</v>
      </c>
      <c r="L58" s="12" t="s">
        <v>107</v>
      </c>
      <c r="M58" s="12" t="s">
        <v>84</v>
      </c>
      <c r="N58" s="49">
        <v>12</v>
      </c>
      <c r="O58" s="12">
        <v>12</v>
      </c>
      <c r="P58" s="112"/>
      <c r="Q58" s="12" t="s">
        <v>300</v>
      </c>
      <c r="R58" s="12" t="s">
        <v>301</v>
      </c>
      <c r="S58" s="12">
        <v>1</v>
      </c>
      <c r="T58" s="12">
        <v>1</v>
      </c>
      <c r="U58" s="12">
        <v>1</v>
      </c>
      <c r="V58" s="12">
        <v>1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21">
        <v>3</v>
      </c>
      <c r="AF58" s="21" t="s">
        <v>370</v>
      </c>
      <c r="AG58" s="21">
        <v>3</v>
      </c>
    </row>
    <row r="59" spans="1:33" ht="128.25">
      <c r="A59" s="73" t="s">
        <v>74</v>
      </c>
      <c r="B59" s="73"/>
      <c r="C59" s="22" t="s">
        <v>302</v>
      </c>
      <c r="D59" s="12" t="s">
        <v>303</v>
      </c>
      <c r="E59" s="12" t="s">
        <v>304</v>
      </c>
      <c r="F59" s="13" t="s">
        <v>305</v>
      </c>
      <c r="G59" s="12" t="s">
        <v>103</v>
      </c>
      <c r="H59" s="12" t="s">
        <v>113</v>
      </c>
      <c r="I59" s="12" t="s">
        <v>380</v>
      </c>
      <c r="J59" s="30" t="s">
        <v>307</v>
      </c>
      <c r="K59" s="30">
        <v>4</v>
      </c>
      <c r="L59" s="12" t="s">
        <v>182</v>
      </c>
      <c r="M59" s="12" t="s">
        <v>183</v>
      </c>
      <c r="N59" s="48" t="s">
        <v>85</v>
      </c>
      <c r="O59" s="12">
        <v>990</v>
      </c>
      <c r="P59" s="17"/>
      <c r="Q59" s="12" t="s">
        <v>308</v>
      </c>
      <c r="R59" s="12" t="s">
        <v>309</v>
      </c>
      <c r="S59" s="12">
        <v>82</v>
      </c>
      <c r="T59" s="12">
        <v>84</v>
      </c>
      <c r="U59" s="12">
        <v>77</v>
      </c>
      <c r="V59" s="12">
        <v>62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21">
        <v>243</v>
      </c>
      <c r="AF59" s="21">
        <v>60.8</v>
      </c>
      <c r="AG59" s="21">
        <v>81</v>
      </c>
    </row>
    <row r="60" spans="1:33" ht="171.75">
      <c r="A60" s="73" t="s">
        <v>88</v>
      </c>
      <c r="B60" s="73"/>
      <c r="C60" s="22" t="s">
        <v>310</v>
      </c>
      <c r="D60" s="79" t="s">
        <v>311</v>
      </c>
      <c r="E60" s="80" t="s">
        <v>312</v>
      </c>
      <c r="F60" s="81" t="s">
        <v>313</v>
      </c>
      <c r="G60" s="80" t="s">
        <v>103</v>
      </c>
      <c r="H60" s="80" t="s">
        <v>113</v>
      </c>
      <c r="I60" s="81" t="s">
        <v>314</v>
      </c>
      <c r="J60" s="82" t="s">
        <v>315</v>
      </c>
      <c r="K60" s="83" t="s">
        <v>316</v>
      </c>
      <c r="L60" s="81" t="s">
        <v>107</v>
      </c>
      <c r="M60" s="81" t="s">
        <v>84</v>
      </c>
      <c r="N60" s="84" t="s">
        <v>85</v>
      </c>
      <c r="O60" s="81">
        <v>1800</v>
      </c>
      <c r="P60" s="113"/>
      <c r="Q60" s="80" t="s">
        <v>317</v>
      </c>
      <c r="R60" s="80" t="s">
        <v>309</v>
      </c>
      <c r="S60" s="12">
        <v>155</v>
      </c>
      <c r="T60" s="12">
        <v>164</v>
      </c>
      <c r="U60" s="12">
        <v>207</v>
      </c>
      <c r="V60" s="12">
        <v>170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21">
        <v>526</v>
      </c>
      <c r="AF60" s="21" t="s">
        <v>381</v>
      </c>
      <c r="AG60" s="21">
        <v>526</v>
      </c>
    </row>
    <row r="61" spans="1:33" ht="15.75">
      <c r="A61" s="86"/>
      <c r="B61" s="87"/>
      <c r="S61" s="92"/>
    </row>
    <row r="62" spans="1:33" ht="15.75">
      <c r="D62" s="88"/>
      <c r="E62" s="88"/>
      <c r="F62" s="88"/>
      <c r="G62" s="88"/>
      <c r="H62" s="88"/>
    </row>
    <row r="63" spans="1:33" ht="15.75">
      <c r="D63" s="88"/>
      <c r="E63" s="88"/>
      <c r="F63" s="88"/>
      <c r="G63" s="88"/>
      <c r="H63" s="88"/>
    </row>
    <row r="64" spans="1:33" ht="15.75">
      <c r="D64" s="88"/>
      <c r="E64" s="88"/>
      <c r="F64" s="88"/>
      <c r="G64" s="88"/>
      <c r="H64" s="88"/>
    </row>
    <row r="65" spans="4:8" ht="15.75">
      <c r="D65" s="88"/>
      <c r="E65" s="88"/>
      <c r="F65" s="88"/>
      <c r="G65" s="88"/>
      <c r="H65" s="88"/>
    </row>
    <row r="66" spans="4:8" ht="15.75">
      <c r="D66" s="88"/>
      <c r="E66" s="88"/>
      <c r="F66" s="88"/>
      <c r="G66" s="88"/>
      <c r="H66" s="88"/>
    </row>
    <row r="67" spans="4:8" ht="15.75">
      <c r="D67" s="88"/>
      <c r="E67" s="88"/>
      <c r="F67" s="88"/>
      <c r="G67" s="88"/>
      <c r="H67" s="88"/>
    </row>
    <row r="68" spans="4:8" ht="15.75">
      <c r="D68" s="88"/>
      <c r="E68" s="88"/>
      <c r="F68" s="88"/>
      <c r="G68" s="88"/>
      <c r="H68" s="88"/>
    </row>
    <row r="69" spans="4:8" ht="15.75">
      <c r="D69" s="88"/>
      <c r="E69" s="88"/>
      <c r="F69" s="88"/>
      <c r="G69" s="88"/>
      <c r="H69" s="88"/>
    </row>
    <row r="70" spans="4:8" ht="15.75">
      <c r="D70" s="88"/>
      <c r="E70" s="88"/>
      <c r="F70" s="88"/>
      <c r="G70" s="88"/>
      <c r="H70" s="88"/>
    </row>
    <row r="71" spans="4:8" ht="15.75">
      <c r="D71" s="88"/>
      <c r="E71" s="88"/>
      <c r="F71" s="88"/>
      <c r="G71" s="88"/>
      <c r="H71" s="88"/>
    </row>
    <row r="72" spans="4:8" ht="15.75">
      <c r="D72" s="88"/>
      <c r="E72" s="88"/>
      <c r="F72" s="88"/>
      <c r="G72" s="88"/>
      <c r="H72" s="88"/>
    </row>
    <row r="73" spans="4:8" ht="15.75">
      <c r="D73" s="88"/>
      <c r="E73" s="88"/>
      <c r="F73" s="88"/>
      <c r="G73" s="88"/>
      <c r="H73" s="88"/>
    </row>
    <row r="74" spans="4:8" ht="15.75">
      <c r="D74" s="88"/>
      <c r="E74" s="88"/>
      <c r="F74" s="88"/>
      <c r="G74" s="88"/>
      <c r="H74" s="88"/>
    </row>
    <row r="75" spans="4:8" ht="15.75">
      <c r="D75" s="88"/>
      <c r="E75" s="88"/>
      <c r="F75" s="88"/>
      <c r="G75" s="88"/>
      <c r="H75" s="88"/>
    </row>
    <row r="76" spans="4:8" ht="15.75">
      <c r="D76" s="88"/>
      <c r="E76" s="88"/>
      <c r="F76" s="88"/>
      <c r="G76" s="88"/>
      <c r="H76" s="88"/>
    </row>
    <row r="77" spans="4:8" ht="15.75">
      <c r="D77" s="88"/>
      <c r="E77" s="88"/>
      <c r="F77" s="88"/>
      <c r="G77" s="88"/>
      <c r="H77" s="88"/>
    </row>
    <row r="78" spans="4:8" ht="15.75">
      <c r="D78" s="88"/>
      <c r="E78" s="88"/>
      <c r="F78" s="88"/>
      <c r="G78" s="88"/>
      <c r="H78" s="88"/>
    </row>
    <row r="79" spans="4:8" ht="15.75">
      <c r="D79" s="88"/>
      <c r="E79" s="88"/>
      <c r="F79" s="88"/>
      <c r="G79" s="88"/>
      <c r="H79" s="88"/>
    </row>
    <row r="80" spans="4:8" ht="15.75">
      <c r="D80" s="88"/>
      <c r="E80" s="88"/>
      <c r="F80" s="88"/>
      <c r="G80" s="88"/>
      <c r="H80" s="88"/>
    </row>
    <row r="81" spans="4:8" ht="15.75">
      <c r="D81" s="88"/>
      <c r="E81" s="88"/>
      <c r="F81" s="88"/>
      <c r="G81" s="88"/>
      <c r="H81" s="88"/>
    </row>
    <row r="82" spans="4:8" ht="15.75">
      <c r="D82" s="88"/>
      <c r="E82" s="88"/>
      <c r="F82" s="88"/>
      <c r="G82" s="88"/>
      <c r="H82" s="88"/>
    </row>
    <row r="83" spans="4:8" ht="15.75">
      <c r="D83" s="88"/>
      <c r="E83" s="88"/>
      <c r="F83" s="88"/>
      <c r="G83" s="88"/>
      <c r="H83" s="88"/>
    </row>
    <row r="84" spans="4:8" ht="15.75">
      <c r="D84" s="88"/>
      <c r="E84" s="88"/>
      <c r="F84" s="88"/>
      <c r="G84" s="88"/>
      <c r="H84" s="88"/>
    </row>
    <row r="85" spans="4:8" ht="15.75">
      <c r="D85" s="88"/>
      <c r="E85" s="88"/>
      <c r="F85" s="88"/>
      <c r="G85" s="88"/>
      <c r="H85" s="88"/>
    </row>
    <row r="86" spans="4:8" ht="15.75">
      <c r="D86" s="88"/>
      <c r="E86" s="88"/>
      <c r="F86" s="88"/>
      <c r="G86" s="88"/>
      <c r="H86" s="88"/>
    </row>
    <row r="87" spans="4:8" ht="15.75">
      <c r="D87" s="88"/>
      <c r="E87" s="88"/>
      <c r="F87" s="88"/>
      <c r="G87" s="88"/>
      <c r="H87" s="88"/>
    </row>
    <row r="88" spans="4:8" ht="15.75">
      <c r="D88" s="88"/>
      <c r="E88" s="88"/>
      <c r="F88" s="88"/>
      <c r="G88" s="88"/>
      <c r="H88" s="88"/>
    </row>
    <row r="89" spans="4:8" ht="15.75">
      <c r="D89" s="88"/>
      <c r="E89" s="88"/>
      <c r="F89" s="88"/>
      <c r="G89" s="88"/>
      <c r="H89" s="88"/>
    </row>
    <row r="90" spans="4:8" ht="15.75">
      <c r="D90" s="88"/>
      <c r="E90" s="88"/>
      <c r="F90" s="88"/>
      <c r="G90" s="88"/>
      <c r="H90" s="88"/>
    </row>
    <row r="91" spans="4:8" ht="15.75">
      <c r="D91" s="88"/>
      <c r="E91" s="88"/>
      <c r="F91" s="88"/>
      <c r="G91" s="88"/>
      <c r="H91" s="88"/>
    </row>
    <row r="92" spans="4:8" ht="15.75">
      <c r="D92" s="88"/>
      <c r="E92" s="88"/>
      <c r="F92" s="88"/>
      <c r="G92" s="88"/>
      <c r="H92" s="88"/>
    </row>
    <row r="93" spans="4:8" ht="15.75">
      <c r="D93" s="88"/>
      <c r="E93" s="88"/>
      <c r="F93" s="88"/>
      <c r="G93" s="88"/>
      <c r="H93" s="88"/>
    </row>
    <row r="94" spans="4:8" ht="15.75">
      <c r="D94" s="88"/>
      <c r="E94" s="88"/>
      <c r="F94" s="88"/>
      <c r="G94" s="88"/>
      <c r="H94" s="88"/>
    </row>
    <row r="95" spans="4:8" ht="15.75">
      <c r="D95" s="88"/>
      <c r="E95" s="88"/>
      <c r="F95" s="88"/>
      <c r="G95" s="88"/>
      <c r="H95" s="88"/>
    </row>
    <row r="96" spans="4:8" ht="15.75">
      <c r="D96" s="88"/>
      <c r="E96" s="88"/>
      <c r="F96" s="88"/>
      <c r="G96" s="88"/>
      <c r="H96" s="88"/>
    </row>
    <row r="97" spans="4:8" ht="15.75">
      <c r="D97" s="88"/>
      <c r="E97" s="88"/>
      <c r="F97" s="88"/>
      <c r="G97" s="88"/>
      <c r="H97" s="88"/>
    </row>
    <row r="98" spans="4:8" ht="15.75">
      <c r="D98" s="88"/>
      <c r="E98" s="88"/>
      <c r="F98" s="88"/>
      <c r="G98" s="88"/>
      <c r="H98" s="88"/>
    </row>
    <row r="99" spans="4:8" ht="15.75">
      <c r="D99" s="88"/>
      <c r="E99" s="88"/>
      <c r="F99" s="88"/>
      <c r="G99" s="88"/>
      <c r="H99" s="88"/>
    </row>
    <row r="100" spans="4:8" ht="15.75">
      <c r="D100" s="88"/>
      <c r="E100" s="88"/>
      <c r="F100" s="88"/>
      <c r="G100" s="88"/>
      <c r="H100" s="88"/>
    </row>
    <row r="101" spans="4:8" ht="15.75">
      <c r="D101" s="88"/>
      <c r="E101" s="88"/>
      <c r="F101" s="88"/>
      <c r="G101" s="88"/>
      <c r="H101" s="88"/>
    </row>
    <row r="102" spans="4:8" ht="15.75">
      <c r="D102" s="88"/>
      <c r="E102" s="88"/>
      <c r="F102" s="88"/>
      <c r="G102" s="88"/>
      <c r="H102" s="88"/>
    </row>
    <row r="103" spans="4:8" ht="15.75">
      <c r="D103" s="88"/>
      <c r="E103" s="88"/>
      <c r="F103" s="88"/>
      <c r="G103" s="88"/>
      <c r="H103" s="88"/>
    </row>
    <row r="104" spans="4:8" ht="15.75">
      <c r="D104" s="88"/>
      <c r="E104" s="88"/>
      <c r="F104" s="88"/>
      <c r="G104" s="88"/>
      <c r="H104" s="88"/>
    </row>
    <row r="105" spans="4:8" ht="15.75">
      <c r="D105" s="88"/>
      <c r="E105" s="88"/>
      <c r="F105" s="88"/>
      <c r="G105" s="88"/>
      <c r="H105" s="88"/>
    </row>
    <row r="106" spans="4:8" ht="15.75">
      <c r="D106" s="88"/>
      <c r="E106" s="88"/>
      <c r="F106" s="88"/>
      <c r="G106" s="88"/>
      <c r="H106" s="88"/>
    </row>
    <row r="107" spans="4:8" ht="15.75">
      <c r="D107" s="88"/>
      <c r="E107" s="88"/>
      <c r="F107" s="88"/>
      <c r="G107" s="88"/>
      <c r="H107" s="88"/>
    </row>
    <row r="108" spans="4:8" ht="15.75">
      <c r="D108" s="88"/>
      <c r="E108" s="88"/>
      <c r="F108" s="88"/>
      <c r="G108" s="88"/>
      <c r="H108" s="88"/>
    </row>
    <row r="109" spans="4:8" ht="15.75">
      <c r="D109" s="88"/>
      <c r="E109" s="88"/>
      <c r="F109" s="88"/>
      <c r="G109" s="88"/>
      <c r="H109" s="88"/>
    </row>
    <row r="110" spans="4:8" ht="15.75">
      <c r="D110" s="88"/>
      <c r="E110" s="88"/>
      <c r="F110" s="88"/>
      <c r="G110" s="88"/>
      <c r="H110" s="88"/>
    </row>
    <row r="111" spans="4:8" ht="15.75">
      <c r="D111" s="88"/>
      <c r="E111" s="88"/>
      <c r="F111" s="88"/>
      <c r="G111" s="88"/>
      <c r="H111" s="88"/>
    </row>
    <row r="112" spans="4:8" ht="15.75">
      <c r="D112" s="88"/>
      <c r="E112" s="88"/>
      <c r="F112" s="88"/>
      <c r="G112" s="88"/>
      <c r="H112" s="88"/>
    </row>
    <row r="113" spans="3:20" ht="15.75">
      <c r="D113" s="88"/>
      <c r="E113" s="88"/>
      <c r="F113" s="88"/>
      <c r="G113" s="88"/>
      <c r="H113" s="88"/>
    </row>
    <row r="114" spans="3:20" ht="15.75">
      <c r="D114" s="88"/>
      <c r="E114" s="88"/>
      <c r="F114" s="88"/>
      <c r="G114" s="88"/>
      <c r="H114" s="88"/>
    </row>
    <row r="115" spans="3:20" ht="15.75">
      <c r="D115" s="88"/>
      <c r="E115" s="88"/>
      <c r="F115" s="88"/>
      <c r="G115" s="88"/>
      <c r="H115" s="88"/>
    </row>
    <row r="116" spans="3:20" ht="15.75">
      <c r="D116" s="88"/>
      <c r="E116" s="88"/>
      <c r="F116" s="88"/>
      <c r="G116" s="88"/>
      <c r="H116" s="88"/>
    </row>
    <row r="117" spans="3:20" ht="15.75">
      <c r="D117" s="88"/>
      <c r="E117" s="88"/>
      <c r="F117" s="88"/>
      <c r="G117" s="88"/>
      <c r="H117" s="88"/>
    </row>
    <row r="118" spans="3:20" ht="15.75">
      <c r="D118" s="88"/>
      <c r="E118" s="88"/>
      <c r="F118" s="88"/>
      <c r="G118" s="88"/>
      <c r="H118" s="88"/>
    </row>
    <row r="119" spans="3:20" ht="15.75">
      <c r="D119" s="88"/>
      <c r="E119" s="88"/>
      <c r="F119" s="88"/>
      <c r="G119" s="88"/>
      <c r="H119" s="88"/>
    </row>
    <row r="120" spans="3:20" ht="15.75">
      <c r="D120" s="88"/>
      <c r="E120" s="88"/>
      <c r="F120" s="88"/>
      <c r="G120" s="88"/>
      <c r="H120" s="88"/>
    </row>
    <row r="121" spans="3:20" ht="15.75">
      <c r="D121" s="88"/>
      <c r="E121" s="88"/>
      <c r="F121" s="88"/>
      <c r="G121" s="88"/>
      <c r="H121" s="88"/>
    </row>
    <row r="122" spans="3:20" ht="15.75">
      <c r="D122" s="88"/>
      <c r="E122" s="88"/>
      <c r="F122" s="88"/>
      <c r="G122" s="88"/>
      <c r="H122" s="88"/>
    </row>
    <row r="123" spans="3:20" ht="15.75">
      <c r="D123" s="88"/>
      <c r="E123" s="88"/>
      <c r="F123" s="88"/>
      <c r="G123" s="88"/>
      <c r="H123" s="88"/>
    </row>
    <row r="124" spans="3:20" ht="15.75">
      <c r="D124" s="88"/>
      <c r="E124" s="88"/>
      <c r="F124" s="88"/>
      <c r="G124" s="88"/>
      <c r="H124" s="88"/>
    </row>
    <row r="125" spans="3:20" ht="15.75">
      <c r="D125" s="88"/>
      <c r="E125" s="88"/>
      <c r="F125" s="88"/>
      <c r="G125" s="88"/>
      <c r="H125" s="88"/>
    </row>
    <row r="126" spans="3:20" ht="15.75">
      <c r="D126" s="88"/>
      <c r="E126" s="88"/>
      <c r="F126" s="88"/>
      <c r="G126" s="88"/>
      <c r="H126" s="88"/>
    </row>
    <row r="127" spans="3:20" ht="15.75">
      <c r="C127" s="50" t="s">
        <v>318</v>
      </c>
      <c r="D127" s="212"/>
      <c r="E127" s="213"/>
      <c r="F127" s="213"/>
      <c r="G127" s="214"/>
      <c r="H127" s="59" t="s">
        <v>7</v>
      </c>
      <c r="I127" s="202" t="s">
        <v>319</v>
      </c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4"/>
    </row>
    <row r="128" spans="3:20" ht="15.75">
      <c r="C128" s="3" t="s">
        <v>320</v>
      </c>
      <c r="D128" s="205"/>
      <c r="E128" s="203"/>
      <c r="F128" s="203"/>
      <c r="G128" s="204"/>
      <c r="H128" s="59" t="s">
        <v>7</v>
      </c>
      <c r="I128" s="89" t="s">
        <v>321</v>
      </c>
      <c r="J128" s="90" t="s">
        <v>322</v>
      </c>
      <c r="K128" s="90" t="s">
        <v>323</v>
      </c>
      <c r="L128" s="90" t="s">
        <v>324</v>
      </c>
      <c r="M128" s="90" t="s">
        <v>325</v>
      </c>
      <c r="N128" s="90" t="s">
        <v>326</v>
      </c>
      <c r="O128" s="90" t="s">
        <v>327</v>
      </c>
      <c r="P128" s="90" t="s">
        <v>328</v>
      </c>
      <c r="Q128" s="90" t="s">
        <v>329</v>
      </c>
      <c r="R128" s="90" t="s">
        <v>330</v>
      </c>
      <c r="S128" s="90" t="s">
        <v>331</v>
      </c>
      <c r="T128" s="90" t="s">
        <v>332</v>
      </c>
    </row>
    <row r="129" spans="3:20" ht="15.75">
      <c r="C129" s="3" t="s">
        <v>333</v>
      </c>
      <c r="D129" s="205"/>
      <c r="E129" s="203"/>
      <c r="F129" s="203"/>
      <c r="G129" s="204"/>
      <c r="H129" s="59" t="s">
        <v>7</v>
      </c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</row>
    <row r="130" spans="3:20" ht="15.75">
      <c r="C130" s="22" t="s">
        <v>334</v>
      </c>
      <c r="D130" s="206"/>
      <c r="E130" s="203"/>
      <c r="F130" s="203"/>
      <c r="G130" s="204"/>
      <c r="H130" s="88"/>
      <c r="I130" s="92"/>
      <c r="J130" s="92"/>
      <c r="K130" s="92"/>
      <c r="L130" s="92"/>
      <c r="M130" s="92"/>
      <c r="N130" s="92"/>
      <c r="O130" s="92"/>
      <c r="P130" s="92"/>
      <c r="Q130" s="92"/>
      <c r="R130" s="92"/>
    </row>
    <row r="131" spans="3:20" ht="15.75">
      <c r="C131" s="3" t="s">
        <v>335</v>
      </c>
      <c r="D131" s="207"/>
      <c r="E131" s="203"/>
      <c r="F131" s="203"/>
      <c r="G131" s="204"/>
      <c r="H131" s="59" t="s">
        <v>7</v>
      </c>
      <c r="I131" s="92"/>
      <c r="J131" s="92"/>
      <c r="K131" s="92"/>
      <c r="L131" s="92"/>
      <c r="M131" s="92"/>
      <c r="N131" s="92"/>
      <c r="O131" s="92"/>
      <c r="P131" s="92"/>
      <c r="Q131" s="92"/>
      <c r="R131" s="92"/>
    </row>
    <row r="132" spans="3:20" ht="31.5">
      <c r="C132" s="3" t="s">
        <v>336</v>
      </c>
      <c r="D132" s="205"/>
      <c r="E132" s="203"/>
      <c r="F132" s="203"/>
      <c r="G132" s="204"/>
      <c r="H132" s="88"/>
      <c r="I132" s="92"/>
      <c r="J132" s="92"/>
      <c r="K132" s="92"/>
      <c r="L132" s="92"/>
      <c r="M132" s="92"/>
      <c r="N132" s="92"/>
      <c r="O132" s="92"/>
      <c r="P132" s="92"/>
      <c r="Q132" s="92"/>
      <c r="R132" s="92"/>
    </row>
    <row r="133" spans="3:20" ht="31.5">
      <c r="C133" s="3" t="s">
        <v>337</v>
      </c>
      <c r="D133" s="210"/>
      <c r="E133" s="203"/>
      <c r="F133" s="203"/>
      <c r="G133" s="204"/>
      <c r="H133" s="88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3:20" ht="15.75">
      <c r="D134" s="88"/>
      <c r="E134" s="88"/>
      <c r="F134" s="88"/>
      <c r="G134" s="88"/>
      <c r="H134" s="88"/>
    </row>
    <row r="135" spans="3:20" ht="15.75">
      <c r="D135" s="88"/>
      <c r="E135" s="88"/>
      <c r="F135" s="88"/>
      <c r="G135" s="88"/>
      <c r="H135" s="88"/>
    </row>
    <row r="136" spans="3:20" ht="15.75">
      <c r="D136" s="88"/>
      <c r="E136" s="88"/>
      <c r="F136" s="88"/>
      <c r="G136" s="88"/>
      <c r="H136" s="88"/>
    </row>
    <row r="137" spans="3:20" ht="15.75">
      <c r="D137" s="88"/>
      <c r="E137" s="88"/>
      <c r="F137" s="88"/>
      <c r="G137" s="88"/>
      <c r="H137" s="88"/>
    </row>
    <row r="138" spans="3:20" ht="15.75">
      <c r="D138" s="88"/>
      <c r="E138" s="88"/>
      <c r="F138" s="88"/>
      <c r="G138" s="88"/>
      <c r="H138" s="88"/>
    </row>
    <row r="139" spans="3:20" ht="15.75">
      <c r="D139" s="88"/>
      <c r="E139" s="88"/>
      <c r="F139" s="88"/>
      <c r="G139" s="88"/>
      <c r="H139" s="88"/>
    </row>
    <row r="140" spans="3:20" ht="15.75">
      <c r="D140" s="88"/>
      <c r="E140" s="88"/>
      <c r="F140" s="88"/>
      <c r="G140" s="88"/>
      <c r="H140" s="88"/>
    </row>
    <row r="141" spans="3:20" ht="15.75">
      <c r="D141" s="88"/>
      <c r="E141" s="88"/>
      <c r="F141" s="88"/>
      <c r="G141" s="88"/>
      <c r="H141" s="88"/>
    </row>
    <row r="142" spans="3:20" ht="15.75">
      <c r="D142" s="88"/>
      <c r="E142" s="88"/>
      <c r="F142" s="88"/>
      <c r="G142" s="88"/>
      <c r="H142" s="88"/>
    </row>
    <row r="143" spans="3:20" ht="15.75">
      <c r="D143" s="88"/>
      <c r="E143" s="88"/>
      <c r="F143" s="88"/>
      <c r="G143" s="88"/>
      <c r="H143" s="88"/>
    </row>
    <row r="144" spans="3:20" ht="15.75">
      <c r="D144" s="88"/>
      <c r="E144" s="88"/>
      <c r="F144" s="88"/>
      <c r="G144" s="88"/>
      <c r="H144" s="88"/>
    </row>
    <row r="145" spans="4:8" ht="15.75">
      <c r="D145" s="88"/>
      <c r="E145" s="88"/>
      <c r="F145" s="88"/>
      <c r="G145" s="88"/>
      <c r="H145" s="88"/>
    </row>
    <row r="146" spans="4:8" ht="15.75">
      <c r="D146" s="88"/>
      <c r="E146" s="88"/>
      <c r="F146" s="88"/>
      <c r="G146" s="88"/>
      <c r="H146" s="88"/>
    </row>
    <row r="147" spans="4:8" ht="15.75">
      <c r="D147" s="88"/>
      <c r="E147" s="88"/>
      <c r="F147" s="88"/>
      <c r="G147" s="88"/>
      <c r="H147" s="88"/>
    </row>
    <row r="148" spans="4:8" ht="15.75">
      <c r="D148" s="88"/>
      <c r="E148" s="88"/>
      <c r="F148" s="88"/>
      <c r="G148" s="88"/>
      <c r="H148" s="88"/>
    </row>
    <row r="149" spans="4:8" ht="15.75">
      <c r="D149" s="88"/>
      <c r="E149" s="88"/>
      <c r="F149" s="88"/>
      <c r="G149" s="88"/>
      <c r="H149" s="88"/>
    </row>
    <row r="150" spans="4:8" ht="15.75">
      <c r="D150" s="88"/>
      <c r="E150" s="88"/>
      <c r="F150" s="88"/>
      <c r="G150" s="88"/>
      <c r="H150" s="88"/>
    </row>
    <row r="151" spans="4:8" ht="15.75">
      <c r="D151" s="88"/>
      <c r="E151" s="88"/>
      <c r="F151" s="88"/>
      <c r="G151" s="88"/>
      <c r="H151" s="88"/>
    </row>
    <row r="152" spans="4:8" ht="15.75">
      <c r="D152" s="88"/>
      <c r="E152" s="88"/>
      <c r="F152" s="88"/>
      <c r="G152" s="88"/>
      <c r="H152" s="88"/>
    </row>
    <row r="153" spans="4:8" ht="15.75">
      <c r="D153" s="88"/>
      <c r="E153" s="88"/>
      <c r="F153" s="88"/>
      <c r="G153" s="88"/>
      <c r="H153" s="88"/>
    </row>
    <row r="154" spans="4:8" ht="15.75">
      <c r="D154" s="88"/>
      <c r="E154" s="88"/>
      <c r="F154" s="88"/>
      <c r="G154" s="88"/>
      <c r="H154" s="88"/>
    </row>
    <row r="155" spans="4:8" ht="15.75">
      <c r="D155" s="88"/>
      <c r="E155" s="88"/>
      <c r="F155" s="88"/>
      <c r="G155" s="88"/>
      <c r="H155" s="88"/>
    </row>
    <row r="156" spans="4:8" ht="15.75">
      <c r="D156" s="88"/>
      <c r="E156" s="88"/>
      <c r="F156" s="88"/>
      <c r="G156" s="88"/>
      <c r="H156" s="88"/>
    </row>
    <row r="157" spans="4:8" ht="15.75">
      <c r="D157" s="88"/>
      <c r="E157" s="88"/>
      <c r="F157" s="88"/>
      <c r="G157" s="88"/>
      <c r="H157" s="88"/>
    </row>
    <row r="158" spans="4:8" ht="15.75">
      <c r="D158" s="88"/>
      <c r="E158" s="88"/>
      <c r="F158" s="88"/>
      <c r="G158" s="88"/>
      <c r="H158" s="88"/>
    </row>
    <row r="159" spans="4:8" ht="15.75">
      <c r="D159" s="88"/>
      <c r="E159" s="88"/>
      <c r="F159" s="88"/>
      <c r="G159" s="88"/>
      <c r="H159" s="88"/>
    </row>
    <row r="160" spans="4:8" ht="15.75">
      <c r="D160" s="88"/>
      <c r="E160" s="88"/>
      <c r="F160" s="88"/>
      <c r="G160" s="88"/>
      <c r="H160" s="88"/>
    </row>
    <row r="161" spans="4:8" ht="15.75">
      <c r="D161" s="88"/>
      <c r="E161" s="88"/>
      <c r="F161" s="88"/>
      <c r="G161" s="88"/>
      <c r="H161" s="88"/>
    </row>
    <row r="162" spans="4:8" ht="15.75">
      <c r="D162" s="88"/>
      <c r="E162" s="88"/>
      <c r="F162" s="88"/>
      <c r="G162" s="88"/>
      <c r="H162" s="88"/>
    </row>
    <row r="163" spans="4:8" ht="15.75">
      <c r="D163" s="88"/>
      <c r="E163" s="88"/>
      <c r="F163" s="88"/>
      <c r="G163" s="88"/>
      <c r="H163" s="88"/>
    </row>
    <row r="164" spans="4:8" ht="15.75">
      <c r="D164" s="88"/>
      <c r="E164" s="88"/>
      <c r="F164" s="88"/>
      <c r="G164" s="88"/>
      <c r="H164" s="88"/>
    </row>
    <row r="165" spans="4:8" ht="15.75">
      <c r="D165" s="88"/>
      <c r="E165" s="88"/>
      <c r="F165" s="88"/>
      <c r="G165" s="88"/>
      <c r="H165" s="88"/>
    </row>
    <row r="166" spans="4:8" ht="15.75">
      <c r="D166" s="88"/>
      <c r="E166" s="88"/>
      <c r="F166" s="88"/>
      <c r="G166" s="88"/>
      <c r="H166" s="88"/>
    </row>
    <row r="167" spans="4:8" ht="15.75">
      <c r="D167" s="88"/>
      <c r="E167" s="88"/>
      <c r="F167" s="88"/>
      <c r="G167" s="88"/>
      <c r="H167" s="88"/>
    </row>
    <row r="168" spans="4:8" ht="15.75">
      <c r="D168" s="88"/>
      <c r="E168" s="88"/>
      <c r="F168" s="88"/>
      <c r="G168" s="88"/>
      <c r="H168" s="88"/>
    </row>
    <row r="169" spans="4:8" ht="15.75">
      <c r="D169" s="88"/>
      <c r="E169" s="88"/>
      <c r="F169" s="88"/>
      <c r="G169" s="88"/>
      <c r="H169" s="88"/>
    </row>
    <row r="170" spans="4:8" ht="15.75">
      <c r="D170" s="88"/>
      <c r="E170" s="88"/>
      <c r="F170" s="88"/>
      <c r="G170" s="88"/>
      <c r="H170" s="88"/>
    </row>
    <row r="171" spans="4:8" ht="15.75">
      <c r="D171" s="88"/>
      <c r="E171" s="88"/>
      <c r="F171" s="88"/>
      <c r="G171" s="88"/>
      <c r="H171" s="88"/>
    </row>
    <row r="172" spans="4:8" ht="15.75">
      <c r="D172" s="88"/>
      <c r="E172" s="88"/>
      <c r="F172" s="88"/>
      <c r="G172" s="88"/>
      <c r="H172" s="88"/>
    </row>
    <row r="173" spans="4:8" ht="15.75">
      <c r="D173" s="88"/>
      <c r="E173" s="88"/>
      <c r="F173" s="88"/>
      <c r="G173" s="88"/>
      <c r="H173" s="88"/>
    </row>
    <row r="174" spans="4:8" ht="15.75">
      <c r="D174" s="88"/>
      <c r="E174" s="88"/>
      <c r="F174" s="88"/>
      <c r="G174" s="88"/>
      <c r="H174" s="88"/>
    </row>
    <row r="175" spans="4:8" ht="15.75">
      <c r="D175" s="88"/>
      <c r="E175" s="88"/>
      <c r="F175" s="88"/>
      <c r="G175" s="88"/>
      <c r="H175" s="88"/>
    </row>
    <row r="176" spans="4:8" ht="15.75">
      <c r="D176" s="88"/>
      <c r="E176" s="88"/>
      <c r="F176" s="88"/>
      <c r="G176" s="88"/>
      <c r="H176" s="88"/>
    </row>
    <row r="177" spans="4:8" ht="15.75">
      <c r="D177" s="88"/>
      <c r="E177" s="88"/>
      <c r="F177" s="88"/>
      <c r="G177" s="88"/>
      <c r="H177" s="88"/>
    </row>
    <row r="178" spans="4:8" ht="15.75">
      <c r="D178" s="88"/>
      <c r="E178" s="88"/>
      <c r="F178" s="88"/>
      <c r="G178" s="88"/>
      <c r="H178" s="88"/>
    </row>
    <row r="179" spans="4:8" ht="15.75">
      <c r="D179" s="88"/>
      <c r="E179" s="88"/>
      <c r="F179" s="88"/>
      <c r="G179" s="88"/>
      <c r="H179" s="88"/>
    </row>
    <row r="180" spans="4:8" ht="15.75">
      <c r="D180" s="88"/>
      <c r="E180" s="88"/>
      <c r="F180" s="88"/>
      <c r="G180" s="88"/>
      <c r="H180" s="88"/>
    </row>
    <row r="181" spans="4:8" ht="15.75">
      <c r="D181" s="88"/>
      <c r="E181" s="88"/>
      <c r="F181" s="88"/>
      <c r="G181" s="88"/>
      <c r="H181" s="88"/>
    </row>
    <row r="182" spans="4:8" ht="15.75">
      <c r="D182" s="88"/>
      <c r="E182" s="88"/>
      <c r="F182" s="88"/>
      <c r="G182" s="88"/>
      <c r="H182" s="88"/>
    </row>
    <row r="183" spans="4:8" ht="15.75">
      <c r="D183" s="88"/>
      <c r="E183" s="88"/>
      <c r="F183" s="88"/>
      <c r="G183" s="88"/>
      <c r="H183" s="88"/>
    </row>
    <row r="184" spans="4:8" ht="15.75">
      <c r="D184" s="88"/>
      <c r="E184" s="88"/>
      <c r="F184" s="88"/>
      <c r="G184" s="88"/>
      <c r="H184" s="88"/>
    </row>
    <row r="185" spans="4:8" ht="15.75">
      <c r="D185" s="88"/>
      <c r="E185" s="88"/>
      <c r="F185" s="88"/>
      <c r="G185" s="88"/>
      <c r="H185" s="88"/>
    </row>
    <row r="186" spans="4:8" ht="15.75">
      <c r="D186" s="88"/>
      <c r="E186" s="88"/>
      <c r="F186" s="88"/>
      <c r="G186" s="88"/>
      <c r="H186" s="88"/>
    </row>
    <row r="187" spans="4:8" ht="15.75">
      <c r="D187" s="88"/>
      <c r="E187" s="88"/>
      <c r="F187" s="88"/>
      <c r="G187" s="88"/>
      <c r="H187" s="88"/>
    </row>
    <row r="188" spans="4:8" ht="15.75">
      <c r="D188" s="88"/>
      <c r="E188" s="88"/>
      <c r="F188" s="88"/>
      <c r="G188" s="88"/>
      <c r="H188" s="88"/>
    </row>
    <row r="189" spans="4:8" ht="15.75">
      <c r="D189" s="88"/>
      <c r="E189" s="88"/>
      <c r="F189" s="88"/>
      <c r="G189" s="88"/>
      <c r="H189" s="88"/>
    </row>
    <row r="190" spans="4:8" ht="15.75">
      <c r="D190" s="88"/>
      <c r="E190" s="88"/>
      <c r="F190" s="88"/>
      <c r="G190" s="88"/>
      <c r="H190" s="88"/>
    </row>
    <row r="191" spans="4:8" ht="15.75">
      <c r="D191" s="88"/>
      <c r="E191" s="88"/>
      <c r="F191" s="88"/>
      <c r="G191" s="88"/>
      <c r="H191" s="88"/>
    </row>
    <row r="192" spans="4:8" ht="15.75">
      <c r="D192" s="88"/>
      <c r="E192" s="88"/>
      <c r="F192" s="88"/>
      <c r="G192" s="88"/>
      <c r="H192" s="88"/>
    </row>
    <row r="193" spans="4:8" ht="15.75">
      <c r="D193" s="88"/>
      <c r="E193" s="88"/>
      <c r="F193" s="88"/>
      <c r="G193" s="88"/>
      <c r="H193" s="88"/>
    </row>
    <row r="194" spans="4:8" ht="15.75">
      <c r="D194" s="88"/>
      <c r="E194" s="88"/>
      <c r="F194" s="88"/>
      <c r="G194" s="88"/>
      <c r="H194" s="88"/>
    </row>
    <row r="195" spans="4:8" ht="15.75">
      <c r="D195" s="88"/>
      <c r="E195" s="88"/>
      <c r="F195" s="88"/>
      <c r="G195" s="88"/>
      <c r="H195" s="88"/>
    </row>
    <row r="196" spans="4:8" ht="15.75">
      <c r="D196" s="88"/>
      <c r="E196" s="88"/>
      <c r="F196" s="88"/>
      <c r="G196" s="88"/>
      <c r="H196" s="88"/>
    </row>
    <row r="197" spans="4:8" ht="15.75">
      <c r="D197" s="88"/>
      <c r="E197" s="88"/>
      <c r="F197" s="88"/>
      <c r="G197" s="88"/>
      <c r="H197" s="88"/>
    </row>
    <row r="198" spans="4:8" ht="15.75">
      <c r="D198" s="88"/>
      <c r="E198" s="88"/>
      <c r="F198" s="88"/>
      <c r="G198" s="88"/>
      <c r="H198" s="88"/>
    </row>
    <row r="199" spans="4:8" ht="15.75">
      <c r="D199" s="88"/>
      <c r="E199" s="88"/>
      <c r="F199" s="88"/>
      <c r="G199" s="88"/>
      <c r="H199" s="88"/>
    </row>
    <row r="200" spans="4:8" ht="15.75">
      <c r="D200" s="88"/>
      <c r="E200" s="88"/>
      <c r="F200" s="88"/>
      <c r="G200" s="88"/>
      <c r="H200" s="88"/>
    </row>
    <row r="201" spans="4:8" ht="15.75">
      <c r="D201" s="88"/>
      <c r="E201" s="88"/>
      <c r="F201" s="88"/>
      <c r="G201" s="88"/>
      <c r="H201" s="88"/>
    </row>
    <row r="202" spans="4:8" ht="15.75">
      <c r="D202" s="88"/>
      <c r="E202" s="88"/>
      <c r="F202" s="88"/>
      <c r="G202" s="88"/>
      <c r="H202" s="88"/>
    </row>
    <row r="203" spans="4:8" ht="15.75">
      <c r="D203" s="88"/>
      <c r="E203" s="88"/>
      <c r="F203" s="88"/>
      <c r="G203" s="88"/>
      <c r="H203" s="88"/>
    </row>
    <row r="204" spans="4:8" ht="15.75">
      <c r="D204" s="88"/>
      <c r="E204" s="88"/>
      <c r="F204" s="88"/>
      <c r="G204" s="88"/>
      <c r="H204" s="88"/>
    </row>
    <row r="205" spans="4:8" ht="15.75">
      <c r="D205" s="88"/>
      <c r="E205" s="88"/>
      <c r="F205" s="88"/>
      <c r="G205" s="88"/>
      <c r="H205" s="88"/>
    </row>
    <row r="206" spans="4:8" ht="15.75">
      <c r="D206" s="88"/>
      <c r="E206" s="88"/>
      <c r="F206" s="88"/>
      <c r="G206" s="88"/>
      <c r="H206" s="88"/>
    </row>
    <row r="207" spans="4:8" ht="15.75">
      <c r="D207" s="88"/>
      <c r="E207" s="88"/>
      <c r="F207" s="88"/>
      <c r="G207" s="88"/>
      <c r="H207" s="88"/>
    </row>
    <row r="208" spans="4:8" ht="15.75">
      <c r="D208" s="88"/>
      <c r="E208" s="88"/>
      <c r="F208" s="88"/>
      <c r="G208" s="88"/>
      <c r="H208" s="88"/>
    </row>
    <row r="209" spans="4:8" ht="15.75">
      <c r="D209" s="88"/>
      <c r="E209" s="88"/>
      <c r="F209" s="88"/>
      <c r="G209" s="88"/>
      <c r="H209" s="88"/>
    </row>
    <row r="210" spans="4:8" ht="15.75">
      <c r="D210" s="88"/>
      <c r="E210" s="88"/>
      <c r="F210" s="88"/>
      <c r="G210" s="88"/>
      <c r="H210" s="88"/>
    </row>
    <row r="211" spans="4:8" ht="15.75">
      <c r="D211" s="88"/>
      <c r="E211" s="88"/>
      <c r="F211" s="88"/>
      <c r="G211" s="88"/>
      <c r="H211" s="88"/>
    </row>
    <row r="212" spans="4:8" ht="15.75">
      <c r="D212" s="88"/>
      <c r="E212" s="88"/>
      <c r="F212" s="88"/>
      <c r="G212" s="88"/>
      <c r="H212" s="88"/>
    </row>
    <row r="213" spans="4:8" ht="15.75">
      <c r="D213" s="88"/>
      <c r="E213" s="88"/>
      <c r="F213" s="88"/>
      <c r="G213" s="88"/>
      <c r="H213" s="88"/>
    </row>
    <row r="214" spans="4:8" ht="15.75">
      <c r="D214" s="88"/>
      <c r="E214" s="88"/>
      <c r="F214" s="88"/>
      <c r="G214" s="88"/>
      <c r="H214" s="88"/>
    </row>
    <row r="215" spans="4:8" ht="15.75">
      <c r="D215" s="88"/>
      <c r="E215" s="88"/>
      <c r="F215" s="88"/>
      <c r="G215" s="88"/>
      <c r="H215" s="88"/>
    </row>
    <row r="216" spans="4:8" ht="15.75">
      <c r="D216" s="88"/>
      <c r="E216" s="88"/>
      <c r="F216" s="88"/>
      <c r="G216" s="88"/>
      <c r="H216" s="88"/>
    </row>
    <row r="217" spans="4:8" ht="15.75">
      <c r="D217" s="88"/>
      <c r="E217" s="88"/>
      <c r="F217" s="88"/>
      <c r="G217" s="88"/>
      <c r="H217" s="88"/>
    </row>
    <row r="218" spans="4:8" ht="15.75">
      <c r="D218" s="88"/>
      <c r="E218" s="88"/>
      <c r="F218" s="88"/>
      <c r="G218" s="88"/>
      <c r="H218" s="88"/>
    </row>
    <row r="219" spans="4:8" ht="15.75">
      <c r="D219" s="88"/>
      <c r="E219" s="88"/>
      <c r="F219" s="88"/>
      <c r="G219" s="88"/>
      <c r="H219" s="88"/>
    </row>
    <row r="220" spans="4:8" ht="15.75">
      <c r="D220" s="88"/>
      <c r="E220" s="88"/>
      <c r="F220" s="88"/>
      <c r="G220" s="88"/>
      <c r="H220" s="88"/>
    </row>
    <row r="221" spans="4:8" ht="15.75">
      <c r="D221" s="88"/>
      <c r="E221" s="88"/>
      <c r="F221" s="88"/>
      <c r="G221" s="88"/>
      <c r="H221" s="88"/>
    </row>
    <row r="222" spans="4:8" ht="15.75">
      <c r="D222" s="88"/>
      <c r="E222" s="88"/>
      <c r="F222" s="88"/>
      <c r="G222" s="88"/>
      <c r="H222" s="88"/>
    </row>
    <row r="223" spans="4:8" ht="15.75">
      <c r="D223" s="88"/>
      <c r="E223" s="88"/>
      <c r="F223" s="88"/>
      <c r="G223" s="88"/>
      <c r="H223" s="88"/>
    </row>
    <row r="224" spans="4:8" ht="15.75">
      <c r="D224" s="88"/>
      <c r="E224" s="88"/>
      <c r="F224" s="88"/>
      <c r="G224" s="88"/>
      <c r="H224" s="88"/>
    </row>
    <row r="225" spans="4:8" ht="15.75">
      <c r="D225" s="88"/>
      <c r="E225" s="88"/>
      <c r="F225" s="88"/>
      <c r="G225" s="88"/>
      <c r="H225" s="88"/>
    </row>
    <row r="226" spans="4:8" ht="15.75">
      <c r="D226" s="88"/>
      <c r="E226" s="88"/>
      <c r="F226" s="88"/>
      <c r="G226" s="88"/>
      <c r="H226" s="88"/>
    </row>
    <row r="227" spans="4:8" ht="15.75">
      <c r="D227" s="88"/>
      <c r="E227" s="88"/>
      <c r="F227" s="88"/>
      <c r="G227" s="88"/>
      <c r="H227" s="88"/>
    </row>
    <row r="228" spans="4:8" ht="15.75">
      <c r="D228" s="88"/>
      <c r="E228" s="88"/>
      <c r="F228" s="88"/>
      <c r="G228" s="88"/>
      <c r="H228" s="88"/>
    </row>
    <row r="229" spans="4:8" ht="15.75">
      <c r="D229" s="88"/>
      <c r="E229" s="88"/>
      <c r="F229" s="88"/>
      <c r="G229" s="88"/>
      <c r="H229" s="88"/>
    </row>
    <row r="230" spans="4:8" ht="15.75">
      <c r="D230" s="88"/>
      <c r="E230" s="88"/>
      <c r="F230" s="88"/>
      <c r="G230" s="88"/>
      <c r="H230" s="88"/>
    </row>
    <row r="231" spans="4:8" ht="15.75">
      <c r="D231" s="88"/>
      <c r="E231" s="88"/>
      <c r="F231" s="88"/>
      <c r="G231" s="88"/>
      <c r="H231" s="88"/>
    </row>
    <row r="232" spans="4:8" ht="15.75">
      <c r="D232" s="88"/>
      <c r="E232" s="88"/>
      <c r="F232" s="88"/>
      <c r="G232" s="88"/>
      <c r="H232" s="88"/>
    </row>
    <row r="233" spans="4:8" ht="15.75">
      <c r="D233" s="88"/>
      <c r="E233" s="88"/>
      <c r="F233" s="88"/>
      <c r="G233" s="88"/>
      <c r="H233" s="88"/>
    </row>
    <row r="234" spans="4:8" ht="15.75">
      <c r="D234" s="88"/>
      <c r="E234" s="88"/>
      <c r="F234" s="88"/>
      <c r="G234" s="88"/>
      <c r="H234" s="88"/>
    </row>
    <row r="235" spans="4:8" ht="15.75">
      <c r="D235" s="88"/>
      <c r="E235" s="88"/>
      <c r="F235" s="88"/>
      <c r="G235" s="88"/>
      <c r="H235" s="88"/>
    </row>
    <row r="236" spans="4:8" ht="15.75">
      <c r="D236" s="88"/>
      <c r="E236" s="88"/>
      <c r="F236" s="88"/>
      <c r="G236" s="88"/>
      <c r="H236" s="88"/>
    </row>
    <row r="237" spans="4:8" ht="15.75">
      <c r="D237" s="88"/>
      <c r="E237" s="88"/>
      <c r="F237" s="88"/>
      <c r="G237" s="88"/>
      <c r="H237" s="88"/>
    </row>
    <row r="238" spans="4:8" ht="15.75">
      <c r="D238" s="88"/>
      <c r="E238" s="88"/>
      <c r="F238" s="88"/>
      <c r="G238" s="88"/>
      <c r="H238" s="88"/>
    </row>
    <row r="239" spans="4:8" ht="15.75">
      <c r="D239" s="88"/>
      <c r="E239" s="88"/>
      <c r="F239" s="88"/>
      <c r="G239" s="88"/>
      <c r="H239" s="88"/>
    </row>
    <row r="240" spans="4:8" ht="15.75">
      <c r="D240" s="88"/>
      <c r="E240" s="88"/>
      <c r="F240" s="88"/>
      <c r="G240" s="88"/>
      <c r="H240" s="88"/>
    </row>
    <row r="241" spans="4:8" ht="15.75">
      <c r="D241" s="88"/>
      <c r="E241" s="88"/>
      <c r="F241" s="88"/>
      <c r="G241" s="88"/>
      <c r="H241" s="88"/>
    </row>
    <row r="242" spans="4:8" ht="15.75">
      <c r="D242" s="88"/>
      <c r="E242" s="88"/>
      <c r="F242" s="88"/>
      <c r="G242" s="88"/>
      <c r="H242" s="88"/>
    </row>
    <row r="243" spans="4:8" ht="15.75">
      <c r="D243" s="88"/>
      <c r="E243" s="88"/>
      <c r="F243" s="88"/>
      <c r="G243" s="88"/>
      <c r="H243" s="88"/>
    </row>
    <row r="244" spans="4:8" ht="15.75">
      <c r="D244" s="88"/>
      <c r="E244" s="88"/>
      <c r="F244" s="88"/>
      <c r="G244" s="88"/>
      <c r="H244" s="88"/>
    </row>
    <row r="245" spans="4:8" ht="15.75">
      <c r="D245" s="88"/>
      <c r="E245" s="88"/>
      <c r="F245" s="88"/>
      <c r="G245" s="88"/>
      <c r="H245" s="88"/>
    </row>
    <row r="246" spans="4:8" ht="15.75">
      <c r="D246" s="88"/>
      <c r="E246" s="88"/>
      <c r="F246" s="88"/>
      <c r="G246" s="88"/>
      <c r="H246" s="88"/>
    </row>
    <row r="247" spans="4:8" ht="15.75">
      <c r="D247" s="88"/>
      <c r="E247" s="88"/>
      <c r="F247" s="88"/>
      <c r="G247" s="88"/>
      <c r="H247" s="88"/>
    </row>
    <row r="248" spans="4:8" ht="15.75">
      <c r="D248" s="88"/>
      <c r="E248" s="88"/>
      <c r="F248" s="88"/>
      <c r="G248" s="88"/>
      <c r="H248" s="88"/>
    </row>
    <row r="249" spans="4:8" ht="15.75">
      <c r="D249" s="88"/>
      <c r="E249" s="88"/>
      <c r="F249" s="88"/>
      <c r="G249" s="88"/>
      <c r="H249" s="88"/>
    </row>
    <row r="250" spans="4:8" ht="15.75">
      <c r="D250" s="88"/>
      <c r="E250" s="88"/>
      <c r="F250" s="88"/>
      <c r="G250" s="88"/>
      <c r="H250" s="88"/>
    </row>
    <row r="251" spans="4:8" ht="15.75">
      <c r="D251" s="88"/>
      <c r="E251" s="88"/>
      <c r="F251" s="88"/>
      <c r="G251" s="88"/>
      <c r="H251" s="88"/>
    </row>
    <row r="252" spans="4:8" ht="15.75">
      <c r="D252" s="88"/>
      <c r="E252" s="88"/>
      <c r="F252" s="88"/>
      <c r="G252" s="88"/>
      <c r="H252" s="88"/>
    </row>
    <row r="253" spans="4:8" ht="15.75">
      <c r="D253" s="88"/>
      <c r="E253" s="88"/>
      <c r="F253" s="88"/>
      <c r="G253" s="88"/>
      <c r="H253" s="88"/>
    </row>
    <row r="254" spans="4:8" ht="15.75">
      <c r="D254" s="88"/>
      <c r="E254" s="88"/>
      <c r="F254" s="88"/>
      <c r="G254" s="88"/>
      <c r="H254" s="88"/>
    </row>
    <row r="255" spans="4:8" ht="15.75">
      <c r="D255" s="88"/>
      <c r="E255" s="88"/>
      <c r="F255" s="88"/>
      <c r="G255" s="88"/>
      <c r="H255" s="88"/>
    </row>
    <row r="256" spans="4:8" ht="15.75">
      <c r="D256" s="88"/>
      <c r="E256" s="88"/>
      <c r="F256" s="88"/>
      <c r="G256" s="88"/>
      <c r="H256" s="88"/>
    </row>
    <row r="257" spans="4:8" ht="15.75">
      <c r="D257" s="88"/>
      <c r="E257" s="88"/>
      <c r="F257" s="88"/>
      <c r="G257" s="88"/>
      <c r="H257" s="88"/>
    </row>
    <row r="258" spans="4:8" ht="15.75">
      <c r="D258" s="88"/>
      <c r="E258" s="88"/>
      <c r="F258" s="88"/>
      <c r="G258" s="88"/>
      <c r="H258" s="88"/>
    </row>
    <row r="259" spans="4:8" ht="15.75">
      <c r="D259" s="88"/>
      <c r="E259" s="88"/>
      <c r="F259" s="88"/>
      <c r="G259" s="88"/>
      <c r="H259" s="88"/>
    </row>
    <row r="260" spans="4:8" ht="15.75">
      <c r="D260" s="88"/>
      <c r="E260" s="88"/>
      <c r="F260" s="88"/>
      <c r="G260" s="88"/>
      <c r="H260" s="88"/>
    </row>
    <row r="261" spans="4:8" ht="15.75">
      <c r="D261" s="88"/>
      <c r="E261" s="88"/>
      <c r="F261" s="88"/>
      <c r="G261" s="88"/>
      <c r="H261" s="88"/>
    </row>
    <row r="262" spans="4:8" ht="15.75">
      <c r="D262" s="88"/>
      <c r="E262" s="88"/>
      <c r="F262" s="88"/>
      <c r="G262" s="88"/>
      <c r="H262" s="88"/>
    </row>
    <row r="263" spans="4:8" ht="15.75">
      <c r="D263" s="88"/>
      <c r="E263" s="88"/>
      <c r="F263" s="88"/>
      <c r="G263" s="88"/>
      <c r="H263" s="88"/>
    </row>
    <row r="264" spans="4:8" ht="15.75">
      <c r="D264" s="88"/>
      <c r="E264" s="88"/>
      <c r="F264" s="88"/>
      <c r="G264" s="88"/>
      <c r="H264" s="88"/>
    </row>
    <row r="265" spans="4:8" ht="15.75">
      <c r="D265" s="88"/>
      <c r="E265" s="88"/>
      <c r="F265" s="88"/>
      <c r="G265" s="88"/>
      <c r="H265" s="88"/>
    </row>
    <row r="266" spans="4:8" ht="15.75">
      <c r="D266" s="88"/>
      <c r="E266" s="88"/>
      <c r="F266" s="88"/>
      <c r="G266" s="88"/>
      <c r="H266" s="88"/>
    </row>
    <row r="267" spans="4:8" ht="15.75">
      <c r="D267" s="88"/>
      <c r="E267" s="88"/>
      <c r="F267" s="88"/>
      <c r="G267" s="88"/>
      <c r="H267" s="88"/>
    </row>
    <row r="268" spans="4:8" ht="15.75">
      <c r="D268" s="88"/>
      <c r="E268" s="88"/>
      <c r="F268" s="88"/>
      <c r="G268" s="88"/>
      <c r="H268" s="88"/>
    </row>
    <row r="269" spans="4:8" ht="15.75">
      <c r="D269" s="88"/>
      <c r="E269" s="88"/>
      <c r="F269" s="88"/>
      <c r="G269" s="88"/>
      <c r="H269" s="88"/>
    </row>
    <row r="270" spans="4:8" ht="15.75">
      <c r="D270" s="88"/>
      <c r="E270" s="88"/>
      <c r="F270" s="88"/>
      <c r="G270" s="88"/>
      <c r="H270" s="88"/>
    </row>
    <row r="271" spans="4:8" ht="15.75">
      <c r="D271" s="88"/>
      <c r="E271" s="88"/>
      <c r="F271" s="88"/>
      <c r="G271" s="88"/>
      <c r="H271" s="88"/>
    </row>
    <row r="272" spans="4:8" ht="15.75">
      <c r="D272" s="88"/>
      <c r="E272" s="88"/>
      <c r="F272" s="88"/>
      <c r="G272" s="88"/>
      <c r="H272" s="88"/>
    </row>
    <row r="273" spans="4:8" ht="15.75">
      <c r="D273" s="88"/>
      <c r="E273" s="88"/>
      <c r="F273" s="88"/>
      <c r="G273" s="88"/>
      <c r="H273" s="88"/>
    </row>
    <row r="274" spans="4:8" ht="15.75">
      <c r="D274" s="88"/>
      <c r="E274" s="88"/>
      <c r="F274" s="88"/>
      <c r="G274" s="88"/>
      <c r="H274" s="88"/>
    </row>
    <row r="275" spans="4:8" ht="15.75">
      <c r="D275" s="88"/>
      <c r="E275" s="88"/>
      <c r="F275" s="88"/>
      <c r="G275" s="88"/>
      <c r="H275" s="88"/>
    </row>
    <row r="276" spans="4:8" ht="15.75">
      <c r="D276" s="88"/>
      <c r="E276" s="88"/>
      <c r="F276" s="88"/>
      <c r="G276" s="88"/>
      <c r="H276" s="88"/>
    </row>
    <row r="277" spans="4:8" ht="15.75">
      <c r="D277" s="88"/>
      <c r="E277" s="88"/>
      <c r="F277" s="88"/>
      <c r="G277" s="88"/>
      <c r="H277" s="88"/>
    </row>
    <row r="278" spans="4:8" ht="15.75">
      <c r="D278" s="88"/>
      <c r="E278" s="88"/>
      <c r="F278" s="88"/>
      <c r="G278" s="88"/>
      <c r="H278" s="88"/>
    </row>
    <row r="279" spans="4:8" ht="15.75">
      <c r="D279" s="88"/>
      <c r="E279" s="88"/>
      <c r="F279" s="88"/>
      <c r="G279" s="88"/>
      <c r="H279" s="88"/>
    </row>
    <row r="280" spans="4:8" ht="15.75">
      <c r="D280" s="88"/>
      <c r="E280" s="88"/>
      <c r="F280" s="88"/>
      <c r="G280" s="88"/>
      <c r="H280" s="88"/>
    </row>
    <row r="281" spans="4:8" ht="15.75">
      <c r="D281" s="88"/>
      <c r="E281" s="88"/>
      <c r="F281" s="88"/>
      <c r="G281" s="88"/>
      <c r="H281" s="88"/>
    </row>
    <row r="282" spans="4:8" ht="15.75">
      <c r="D282" s="88"/>
      <c r="E282" s="88"/>
      <c r="F282" s="88"/>
      <c r="G282" s="88"/>
      <c r="H282" s="88"/>
    </row>
    <row r="283" spans="4:8" ht="15.75">
      <c r="D283" s="88"/>
      <c r="E283" s="88"/>
      <c r="F283" s="88"/>
      <c r="G283" s="88"/>
      <c r="H283" s="88"/>
    </row>
    <row r="284" spans="4:8" ht="15.75">
      <c r="D284" s="88"/>
      <c r="E284" s="88"/>
      <c r="F284" s="88"/>
      <c r="G284" s="88"/>
      <c r="H284" s="88"/>
    </row>
    <row r="285" spans="4:8" ht="15.75">
      <c r="D285" s="88"/>
      <c r="E285" s="88"/>
      <c r="F285" s="88"/>
      <c r="G285" s="88"/>
      <c r="H285" s="88"/>
    </row>
    <row r="286" spans="4:8" ht="15.75">
      <c r="D286" s="88"/>
      <c r="E286" s="88"/>
      <c r="F286" s="88"/>
      <c r="G286" s="88"/>
      <c r="H286" s="88"/>
    </row>
    <row r="287" spans="4:8" ht="15.75">
      <c r="D287" s="88"/>
      <c r="E287" s="88"/>
      <c r="F287" s="88"/>
      <c r="G287" s="88"/>
      <c r="H287" s="88"/>
    </row>
    <row r="288" spans="4:8" ht="15.75">
      <c r="D288" s="88"/>
      <c r="E288" s="88"/>
      <c r="F288" s="88"/>
      <c r="G288" s="88"/>
      <c r="H288" s="88"/>
    </row>
    <row r="289" spans="4:8" ht="15.75">
      <c r="D289" s="88"/>
      <c r="E289" s="88"/>
      <c r="F289" s="88"/>
      <c r="G289" s="88"/>
      <c r="H289" s="88"/>
    </row>
    <row r="290" spans="4:8" ht="15.75">
      <c r="D290" s="88"/>
      <c r="E290" s="88"/>
      <c r="F290" s="88"/>
      <c r="G290" s="88"/>
      <c r="H290" s="88"/>
    </row>
    <row r="291" spans="4:8" ht="15.75">
      <c r="D291" s="88"/>
      <c r="E291" s="88"/>
      <c r="F291" s="88"/>
      <c r="G291" s="88"/>
      <c r="H291" s="88"/>
    </row>
    <row r="292" spans="4:8" ht="15.75">
      <c r="D292" s="88"/>
      <c r="E292" s="88"/>
      <c r="F292" s="88"/>
      <c r="G292" s="88"/>
      <c r="H292" s="88"/>
    </row>
    <row r="293" spans="4:8" ht="15.75">
      <c r="D293" s="88"/>
      <c r="E293" s="88"/>
      <c r="F293" s="88"/>
      <c r="G293" s="88"/>
      <c r="H293" s="88"/>
    </row>
    <row r="294" spans="4:8" ht="15.75">
      <c r="D294" s="88"/>
      <c r="E294" s="88"/>
      <c r="F294" s="88"/>
      <c r="G294" s="88"/>
      <c r="H294" s="88"/>
    </row>
    <row r="295" spans="4:8" ht="15.75">
      <c r="D295" s="88"/>
      <c r="E295" s="88"/>
      <c r="F295" s="88"/>
      <c r="G295" s="88"/>
      <c r="H295" s="88"/>
    </row>
    <row r="296" spans="4:8" ht="15.75">
      <c r="D296" s="88"/>
      <c r="E296" s="88"/>
      <c r="F296" s="88"/>
      <c r="G296" s="88"/>
      <c r="H296" s="88"/>
    </row>
    <row r="297" spans="4:8" ht="15.75">
      <c r="D297" s="88"/>
      <c r="E297" s="88"/>
      <c r="F297" s="88"/>
      <c r="G297" s="88"/>
      <c r="H297" s="88"/>
    </row>
    <row r="298" spans="4:8" ht="15.75">
      <c r="D298" s="88"/>
      <c r="E298" s="88"/>
      <c r="F298" s="88"/>
      <c r="G298" s="88"/>
      <c r="H298" s="88"/>
    </row>
    <row r="299" spans="4:8" ht="15.75">
      <c r="D299" s="88"/>
      <c r="E299" s="88"/>
      <c r="F299" s="88"/>
      <c r="G299" s="88"/>
      <c r="H299" s="88"/>
    </row>
    <row r="300" spans="4:8" ht="15.75">
      <c r="D300" s="88"/>
      <c r="E300" s="88"/>
      <c r="F300" s="88"/>
      <c r="G300" s="88"/>
      <c r="H300" s="88"/>
    </row>
    <row r="301" spans="4:8" ht="15.75">
      <c r="D301" s="88"/>
      <c r="E301" s="88"/>
      <c r="F301" s="88"/>
      <c r="G301" s="88"/>
      <c r="H301" s="88"/>
    </row>
    <row r="302" spans="4:8" ht="15.75">
      <c r="D302" s="88"/>
      <c r="E302" s="88"/>
      <c r="F302" s="88"/>
      <c r="G302" s="88"/>
      <c r="H302" s="88"/>
    </row>
    <row r="303" spans="4:8" ht="15.75">
      <c r="D303" s="88"/>
      <c r="E303" s="88"/>
      <c r="F303" s="88"/>
      <c r="G303" s="88"/>
      <c r="H303" s="88"/>
    </row>
    <row r="304" spans="4:8" ht="15.75">
      <c r="D304" s="88"/>
      <c r="E304" s="88"/>
      <c r="F304" s="88"/>
      <c r="G304" s="88"/>
      <c r="H304" s="88"/>
    </row>
    <row r="305" spans="4:8" ht="15.75">
      <c r="D305" s="88"/>
      <c r="E305" s="88"/>
      <c r="F305" s="88"/>
      <c r="G305" s="88"/>
      <c r="H305" s="88"/>
    </row>
    <row r="306" spans="4:8" ht="15.75">
      <c r="D306" s="88"/>
      <c r="E306" s="88"/>
      <c r="F306" s="88"/>
      <c r="G306" s="88"/>
      <c r="H306" s="88"/>
    </row>
    <row r="307" spans="4:8" ht="15.75">
      <c r="D307" s="88"/>
      <c r="E307" s="88"/>
      <c r="F307" s="88"/>
      <c r="G307" s="88"/>
      <c r="H307" s="88"/>
    </row>
    <row r="308" spans="4:8" ht="15.75">
      <c r="D308" s="88"/>
      <c r="E308" s="88"/>
      <c r="F308" s="88"/>
      <c r="G308" s="88"/>
      <c r="H308" s="88"/>
    </row>
    <row r="309" spans="4:8" ht="15.75">
      <c r="D309" s="88"/>
      <c r="E309" s="88"/>
      <c r="F309" s="88"/>
      <c r="G309" s="88"/>
      <c r="H309" s="88"/>
    </row>
    <row r="310" spans="4:8" ht="15.75">
      <c r="D310" s="88"/>
      <c r="E310" s="88"/>
      <c r="F310" s="88"/>
      <c r="G310" s="88"/>
      <c r="H310" s="88"/>
    </row>
    <row r="311" spans="4:8" ht="15.75">
      <c r="D311" s="88"/>
      <c r="E311" s="88"/>
      <c r="F311" s="88"/>
      <c r="G311" s="88"/>
      <c r="H311" s="88"/>
    </row>
    <row r="312" spans="4:8" ht="15.75">
      <c r="D312" s="88"/>
      <c r="E312" s="88"/>
      <c r="F312" s="88"/>
      <c r="G312" s="88"/>
      <c r="H312" s="88"/>
    </row>
    <row r="313" spans="4:8" ht="15.75">
      <c r="D313" s="88"/>
      <c r="E313" s="88"/>
      <c r="F313" s="88"/>
      <c r="G313" s="88"/>
      <c r="H313" s="88"/>
    </row>
    <row r="314" spans="4:8" ht="15.75">
      <c r="D314" s="88"/>
      <c r="E314" s="88"/>
      <c r="F314" s="88"/>
      <c r="G314" s="88"/>
      <c r="H314" s="88"/>
    </row>
    <row r="315" spans="4:8" ht="15.75">
      <c r="D315" s="88"/>
      <c r="E315" s="88"/>
      <c r="F315" s="88"/>
      <c r="G315" s="88"/>
      <c r="H315" s="88"/>
    </row>
    <row r="316" spans="4:8" ht="15.75">
      <c r="D316" s="88"/>
      <c r="E316" s="88"/>
      <c r="F316" s="88"/>
      <c r="G316" s="88"/>
      <c r="H316" s="88"/>
    </row>
    <row r="317" spans="4:8" ht="15.75">
      <c r="D317" s="88"/>
      <c r="E317" s="88"/>
      <c r="F317" s="88"/>
      <c r="G317" s="88"/>
      <c r="H317" s="88"/>
    </row>
    <row r="318" spans="4:8" ht="15.75">
      <c r="D318" s="88"/>
      <c r="E318" s="88"/>
      <c r="F318" s="88"/>
      <c r="G318" s="88"/>
      <c r="H318" s="88"/>
    </row>
    <row r="319" spans="4:8" ht="15.75">
      <c r="D319" s="88"/>
      <c r="E319" s="88"/>
      <c r="F319" s="88"/>
      <c r="G319" s="88"/>
      <c r="H319" s="88"/>
    </row>
    <row r="320" spans="4:8" ht="15.75">
      <c r="D320" s="88"/>
      <c r="E320" s="88"/>
      <c r="F320" s="88"/>
      <c r="G320" s="88"/>
      <c r="H320" s="88"/>
    </row>
    <row r="321" spans="4:8" ht="15.75">
      <c r="D321" s="88"/>
      <c r="E321" s="88"/>
      <c r="F321" s="88"/>
      <c r="G321" s="88"/>
      <c r="H321" s="88"/>
    </row>
    <row r="322" spans="4:8" ht="15.75">
      <c r="D322" s="88"/>
      <c r="E322" s="88"/>
      <c r="F322" s="88"/>
      <c r="G322" s="88"/>
      <c r="H322" s="88"/>
    </row>
    <row r="323" spans="4:8" ht="15.75">
      <c r="D323" s="88"/>
      <c r="E323" s="88"/>
      <c r="F323" s="88"/>
      <c r="G323" s="88"/>
      <c r="H323" s="88"/>
    </row>
    <row r="324" spans="4:8" ht="15.75">
      <c r="D324" s="88"/>
      <c r="E324" s="88"/>
      <c r="F324" s="88"/>
      <c r="G324" s="88"/>
      <c r="H324" s="88"/>
    </row>
    <row r="325" spans="4:8" ht="15.75">
      <c r="D325" s="88"/>
      <c r="E325" s="88"/>
      <c r="F325" s="88"/>
      <c r="G325" s="88"/>
      <c r="H325" s="88"/>
    </row>
    <row r="326" spans="4:8" ht="15.75">
      <c r="D326" s="88"/>
      <c r="E326" s="88"/>
      <c r="F326" s="88"/>
      <c r="G326" s="88"/>
      <c r="H326" s="88"/>
    </row>
    <row r="327" spans="4:8" ht="15.75">
      <c r="D327" s="88"/>
      <c r="E327" s="88"/>
      <c r="F327" s="88"/>
      <c r="G327" s="88"/>
      <c r="H327" s="88"/>
    </row>
    <row r="328" spans="4:8" ht="15.75">
      <c r="D328" s="88"/>
      <c r="E328" s="88"/>
      <c r="F328" s="88"/>
      <c r="G328" s="88"/>
      <c r="H328" s="88"/>
    </row>
    <row r="329" spans="4:8" ht="15.75">
      <c r="D329" s="88"/>
      <c r="E329" s="88"/>
      <c r="F329" s="88"/>
      <c r="G329" s="88"/>
      <c r="H329" s="88"/>
    </row>
    <row r="330" spans="4:8" ht="15.75">
      <c r="D330" s="88"/>
      <c r="E330" s="88"/>
      <c r="F330" s="88"/>
      <c r="G330" s="88"/>
      <c r="H330" s="88"/>
    </row>
    <row r="331" spans="4:8" ht="15.75">
      <c r="D331" s="88"/>
      <c r="E331" s="88"/>
      <c r="F331" s="88"/>
      <c r="G331" s="88"/>
      <c r="H331" s="88"/>
    </row>
    <row r="332" spans="4:8" ht="15.75">
      <c r="D332" s="88"/>
      <c r="E332" s="88"/>
      <c r="F332" s="88"/>
      <c r="G332" s="88"/>
      <c r="H332" s="88"/>
    </row>
    <row r="333" spans="4:8" ht="15.75">
      <c r="D333" s="88"/>
      <c r="E333" s="88"/>
      <c r="F333" s="88"/>
      <c r="G333" s="88"/>
      <c r="H333" s="88"/>
    </row>
    <row r="334" spans="4:8" ht="15.75">
      <c r="D334" s="88"/>
      <c r="E334" s="88"/>
      <c r="F334" s="88"/>
      <c r="G334" s="88"/>
      <c r="H334" s="88"/>
    </row>
    <row r="335" spans="4:8" ht="15.75">
      <c r="D335" s="88"/>
      <c r="E335" s="88"/>
      <c r="F335" s="88"/>
      <c r="G335" s="88"/>
      <c r="H335" s="88"/>
    </row>
    <row r="336" spans="4:8" ht="15.75">
      <c r="D336" s="88"/>
      <c r="E336" s="88"/>
      <c r="F336" s="88"/>
      <c r="G336" s="88"/>
      <c r="H336" s="88"/>
    </row>
    <row r="337" spans="4:8" ht="15.75">
      <c r="D337" s="88"/>
      <c r="E337" s="88"/>
      <c r="F337" s="88"/>
      <c r="G337" s="88"/>
      <c r="H337" s="88"/>
    </row>
    <row r="338" spans="4:8" ht="15.75">
      <c r="D338" s="88"/>
      <c r="E338" s="88"/>
      <c r="F338" s="88"/>
      <c r="G338" s="88"/>
      <c r="H338" s="88"/>
    </row>
    <row r="339" spans="4:8" ht="15.75">
      <c r="D339" s="88"/>
      <c r="E339" s="88"/>
      <c r="F339" s="88"/>
      <c r="G339" s="88"/>
      <c r="H339" s="88"/>
    </row>
    <row r="340" spans="4:8" ht="15.75">
      <c r="D340" s="88"/>
      <c r="E340" s="88"/>
      <c r="F340" s="88"/>
      <c r="G340" s="88"/>
      <c r="H340" s="88"/>
    </row>
    <row r="341" spans="4:8" ht="15.75">
      <c r="D341" s="88"/>
      <c r="E341" s="88"/>
      <c r="F341" s="88"/>
      <c r="G341" s="88"/>
      <c r="H341" s="88"/>
    </row>
    <row r="342" spans="4:8" ht="15.75">
      <c r="D342" s="88"/>
      <c r="E342" s="88"/>
      <c r="F342" s="88"/>
      <c r="G342" s="88"/>
      <c r="H342" s="88"/>
    </row>
    <row r="343" spans="4:8" ht="15.75">
      <c r="D343" s="88"/>
      <c r="E343" s="88"/>
      <c r="F343" s="88"/>
      <c r="G343" s="88"/>
      <c r="H343" s="88"/>
    </row>
    <row r="344" spans="4:8" ht="15.75">
      <c r="D344" s="88"/>
      <c r="E344" s="88"/>
      <c r="F344" s="88"/>
      <c r="G344" s="88"/>
      <c r="H344" s="88"/>
    </row>
    <row r="345" spans="4:8" ht="15.75">
      <c r="D345" s="88"/>
      <c r="E345" s="88"/>
      <c r="F345" s="88"/>
      <c r="G345" s="88"/>
      <c r="H345" s="88"/>
    </row>
    <row r="346" spans="4:8" ht="15.75">
      <c r="D346" s="88"/>
      <c r="E346" s="88"/>
      <c r="F346" s="88"/>
      <c r="G346" s="88"/>
      <c r="H346" s="88"/>
    </row>
    <row r="347" spans="4:8" ht="15.75">
      <c r="D347" s="88"/>
      <c r="E347" s="88"/>
      <c r="F347" s="88"/>
      <c r="G347" s="88"/>
      <c r="H347" s="88"/>
    </row>
    <row r="348" spans="4:8" ht="15.75">
      <c r="D348" s="88"/>
      <c r="E348" s="88"/>
      <c r="F348" s="88"/>
      <c r="G348" s="88"/>
      <c r="H348" s="88"/>
    </row>
    <row r="349" spans="4:8" ht="15.75">
      <c r="D349" s="88"/>
      <c r="E349" s="88"/>
      <c r="F349" s="88"/>
      <c r="G349" s="88"/>
      <c r="H349" s="88"/>
    </row>
    <row r="350" spans="4:8" ht="15.75">
      <c r="D350" s="88"/>
      <c r="E350" s="88"/>
      <c r="F350" s="88"/>
      <c r="G350" s="88"/>
      <c r="H350" s="88"/>
    </row>
    <row r="351" spans="4:8" ht="15.75">
      <c r="D351" s="88"/>
      <c r="E351" s="88"/>
      <c r="F351" s="88"/>
      <c r="G351" s="88"/>
      <c r="H351" s="88"/>
    </row>
    <row r="352" spans="4:8" ht="15.75">
      <c r="D352" s="88"/>
      <c r="E352" s="88"/>
      <c r="F352" s="88"/>
      <c r="G352" s="88"/>
      <c r="H352" s="88"/>
    </row>
    <row r="353" spans="4:8" ht="15.75">
      <c r="D353" s="88"/>
      <c r="E353" s="88"/>
      <c r="F353" s="88"/>
      <c r="G353" s="88"/>
      <c r="H353" s="88"/>
    </row>
    <row r="354" spans="4:8" ht="15.75">
      <c r="D354" s="88"/>
      <c r="E354" s="88"/>
      <c r="F354" s="88"/>
      <c r="G354" s="88"/>
      <c r="H354" s="88"/>
    </row>
    <row r="355" spans="4:8" ht="15.75">
      <c r="D355" s="88"/>
      <c r="E355" s="88"/>
      <c r="F355" s="88"/>
      <c r="G355" s="88"/>
      <c r="H355" s="88"/>
    </row>
    <row r="356" spans="4:8" ht="15.75">
      <c r="D356" s="88"/>
      <c r="E356" s="88"/>
      <c r="F356" s="88"/>
      <c r="G356" s="88"/>
      <c r="H356" s="88"/>
    </row>
    <row r="357" spans="4:8" ht="15.75">
      <c r="D357" s="88"/>
      <c r="E357" s="88"/>
      <c r="F357" s="88"/>
      <c r="G357" s="88"/>
      <c r="H357" s="88"/>
    </row>
    <row r="358" spans="4:8" ht="15.75">
      <c r="D358" s="88"/>
      <c r="E358" s="88"/>
      <c r="F358" s="88"/>
      <c r="G358" s="88"/>
      <c r="H358" s="88"/>
    </row>
    <row r="359" spans="4:8" ht="15.75">
      <c r="D359" s="88"/>
      <c r="E359" s="88"/>
      <c r="F359" s="88"/>
      <c r="G359" s="88"/>
      <c r="H359" s="88"/>
    </row>
    <row r="360" spans="4:8" ht="15.75">
      <c r="D360" s="88"/>
      <c r="E360" s="88"/>
      <c r="F360" s="88"/>
      <c r="G360" s="88"/>
      <c r="H360" s="88"/>
    </row>
    <row r="361" spans="4:8" ht="15.75">
      <c r="D361" s="88"/>
      <c r="E361" s="88"/>
      <c r="F361" s="88"/>
      <c r="G361" s="88"/>
      <c r="H361" s="88"/>
    </row>
    <row r="362" spans="4:8" ht="15.75">
      <c r="D362" s="88"/>
      <c r="E362" s="88"/>
      <c r="F362" s="88"/>
      <c r="G362" s="88"/>
      <c r="H362" s="88"/>
    </row>
    <row r="363" spans="4:8" ht="15.75">
      <c r="D363" s="88"/>
      <c r="E363" s="88"/>
      <c r="F363" s="88"/>
      <c r="G363" s="88"/>
      <c r="H363" s="88"/>
    </row>
    <row r="364" spans="4:8" ht="15.75">
      <c r="D364" s="88"/>
      <c r="E364" s="88"/>
      <c r="F364" s="88"/>
      <c r="G364" s="88"/>
      <c r="H364" s="88"/>
    </row>
    <row r="365" spans="4:8" ht="15.75">
      <c r="D365" s="88"/>
      <c r="E365" s="88"/>
      <c r="F365" s="88"/>
      <c r="G365" s="88"/>
      <c r="H365" s="88"/>
    </row>
    <row r="366" spans="4:8" ht="15.75">
      <c r="D366" s="88"/>
      <c r="E366" s="88"/>
      <c r="F366" s="88"/>
      <c r="G366" s="88"/>
      <c r="H366" s="88"/>
    </row>
    <row r="367" spans="4:8" ht="15.75">
      <c r="D367" s="88"/>
      <c r="E367" s="88"/>
      <c r="F367" s="88"/>
      <c r="G367" s="88"/>
      <c r="H367" s="88"/>
    </row>
    <row r="368" spans="4:8" ht="15.75">
      <c r="D368" s="88"/>
      <c r="E368" s="88"/>
      <c r="F368" s="88"/>
      <c r="G368" s="88"/>
      <c r="H368" s="88"/>
    </row>
    <row r="369" spans="4:8" ht="15.75">
      <c r="D369" s="88"/>
      <c r="E369" s="88"/>
      <c r="F369" s="88"/>
      <c r="G369" s="88"/>
      <c r="H369" s="88"/>
    </row>
    <row r="370" spans="4:8" ht="15.75">
      <c r="D370" s="88"/>
      <c r="E370" s="88"/>
      <c r="F370" s="88"/>
      <c r="G370" s="88"/>
      <c r="H370" s="88"/>
    </row>
    <row r="371" spans="4:8" ht="15.75">
      <c r="D371" s="88"/>
      <c r="E371" s="88"/>
      <c r="F371" s="88"/>
      <c r="G371" s="88"/>
      <c r="H371" s="88"/>
    </row>
    <row r="372" spans="4:8" ht="15.75">
      <c r="D372" s="88"/>
      <c r="E372" s="88"/>
      <c r="F372" s="88"/>
      <c r="G372" s="88"/>
      <c r="H372" s="88"/>
    </row>
    <row r="373" spans="4:8" ht="15.75">
      <c r="D373" s="88"/>
      <c r="E373" s="88"/>
      <c r="F373" s="88"/>
      <c r="G373" s="88"/>
      <c r="H373" s="88"/>
    </row>
    <row r="374" spans="4:8" ht="15.75">
      <c r="D374" s="88"/>
      <c r="E374" s="88"/>
      <c r="F374" s="88"/>
      <c r="G374" s="88"/>
      <c r="H374" s="88"/>
    </row>
    <row r="375" spans="4:8" ht="15.75">
      <c r="D375" s="88"/>
      <c r="E375" s="88"/>
      <c r="F375" s="88"/>
      <c r="G375" s="88"/>
      <c r="H375" s="88"/>
    </row>
    <row r="376" spans="4:8" ht="15.75">
      <c r="D376" s="88"/>
      <c r="E376" s="88"/>
      <c r="F376" s="88"/>
      <c r="G376" s="88"/>
      <c r="H376" s="88"/>
    </row>
    <row r="377" spans="4:8" ht="15.75">
      <c r="D377" s="88"/>
      <c r="E377" s="88"/>
      <c r="F377" s="88"/>
      <c r="G377" s="88"/>
      <c r="H377" s="88"/>
    </row>
    <row r="378" spans="4:8" ht="15.75">
      <c r="D378" s="88"/>
      <c r="E378" s="88"/>
      <c r="F378" s="88"/>
      <c r="G378" s="88"/>
      <c r="H378" s="88"/>
    </row>
    <row r="379" spans="4:8" ht="15.75">
      <c r="D379" s="88"/>
      <c r="E379" s="88"/>
      <c r="F379" s="88"/>
      <c r="G379" s="88"/>
      <c r="H379" s="88"/>
    </row>
    <row r="380" spans="4:8" ht="15.75">
      <c r="D380" s="88"/>
      <c r="E380" s="88"/>
      <c r="F380" s="88"/>
      <c r="G380" s="88"/>
      <c r="H380" s="88"/>
    </row>
    <row r="381" spans="4:8" ht="15.75">
      <c r="D381" s="88"/>
      <c r="E381" s="88"/>
      <c r="F381" s="88"/>
      <c r="G381" s="88"/>
      <c r="H381" s="88"/>
    </row>
    <row r="382" spans="4:8" ht="15.75">
      <c r="D382" s="88"/>
      <c r="E382" s="88"/>
      <c r="F382" s="88"/>
      <c r="G382" s="88"/>
      <c r="H382" s="88"/>
    </row>
    <row r="383" spans="4:8" ht="15.75">
      <c r="D383" s="88"/>
      <c r="E383" s="88"/>
      <c r="F383" s="88"/>
      <c r="G383" s="88"/>
      <c r="H383" s="88"/>
    </row>
    <row r="384" spans="4:8" ht="15.75">
      <c r="D384" s="88"/>
      <c r="E384" s="88"/>
      <c r="F384" s="88"/>
      <c r="G384" s="88"/>
      <c r="H384" s="88"/>
    </row>
    <row r="385" spans="4:8" ht="15.75">
      <c r="D385" s="88"/>
      <c r="E385" s="88"/>
      <c r="F385" s="88"/>
      <c r="G385" s="88"/>
      <c r="H385" s="88"/>
    </row>
    <row r="386" spans="4:8" ht="15.75">
      <c r="D386" s="88"/>
      <c r="E386" s="88"/>
      <c r="F386" s="88"/>
      <c r="G386" s="88"/>
      <c r="H386" s="88"/>
    </row>
    <row r="387" spans="4:8" ht="15.75">
      <c r="D387" s="88"/>
      <c r="E387" s="88"/>
      <c r="F387" s="88"/>
      <c r="G387" s="88"/>
      <c r="H387" s="88"/>
    </row>
    <row r="388" spans="4:8" ht="15.75">
      <c r="D388" s="88"/>
      <c r="E388" s="88"/>
      <c r="F388" s="88"/>
      <c r="G388" s="88"/>
      <c r="H388" s="88"/>
    </row>
    <row r="389" spans="4:8" ht="15.75">
      <c r="D389" s="88"/>
      <c r="E389" s="88"/>
      <c r="F389" s="88"/>
      <c r="G389" s="88"/>
      <c r="H389" s="88"/>
    </row>
    <row r="390" spans="4:8" ht="15.75">
      <c r="D390" s="88"/>
      <c r="E390" s="88"/>
      <c r="F390" s="88"/>
      <c r="G390" s="88"/>
      <c r="H390" s="88"/>
    </row>
    <row r="391" spans="4:8" ht="15.75">
      <c r="D391" s="88"/>
      <c r="E391" s="88"/>
      <c r="F391" s="88"/>
      <c r="G391" s="88"/>
      <c r="H391" s="88"/>
    </row>
    <row r="392" spans="4:8" ht="15.75">
      <c r="D392" s="88"/>
      <c r="E392" s="88"/>
      <c r="F392" s="88"/>
      <c r="G392" s="88"/>
      <c r="H392" s="88"/>
    </row>
    <row r="393" spans="4:8" ht="15.75">
      <c r="D393" s="88"/>
      <c r="E393" s="88"/>
      <c r="F393" s="88"/>
      <c r="G393" s="88"/>
      <c r="H393" s="88"/>
    </row>
    <row r="394" spans="4:8" ht="15.75">
      <c r="D394" s="88"/>
      <c r="E394" s="88"/>
      <c r="F394" s="88"/>
      <c r="G394" s="88"/>
      <c r="H394" s="88"/>
    </row>
    <row r="395" spans="4:8" ht="15.75">
      <c r="D395" s="88"/>
      <c r="E395" s="88"/>
      <c r="F395" s="88"/>
      <c r="G395" s="88"/>
      <c r="H395" s="88"/>
    </row>
    <row r="396" spans="4:8" ht="15.75">
      <c r="D396" s="88"/>
      <c r="E396" s="88"/>
      <c r="F396" s="88"/>
      <c r="G396" s="88"/>
      <c r="H396" s="88"/>
    </row>
    <row r="397" spans="4:8" ht="15.75">
      <c r="D397" s="88"/>
      <c r="E397" s="88"/>
      <c r="F397" s="88"/>
      <c r="G397" s="88"/>
      <c r="H397" s="88"/>
    </row>
    <row r="398" spans="4:8" ht="15.75">
      <c r="D398" s="88"/>
      <c r="E398" s="88"/>
      <c r="F398" s="88"/>
      <c r="G398" s="88"/>
      <c r="H398" s="88"/>
    </row>
    <row r="399" spans="4:8" ht="15.75">
      <c r="D399" s="88"/>
      <c r="E399" s="88"/>
      <c r="F399" s="88"/>
      <c r="G399" s="88"/>
      <c r="H399" s="88"/>
    </row>
    <row r="400" spans="4:8" ht="15.75">
      <c r="D400" s="88"/>
      <c r="E400" s="88"/>
      <c r="F400" s="88"/>
      <c r="G400" s="88"/>
      <c r="H400" s="88"/>
    </row>
    <row r="401" spans="4:8" ht="15.75">
      <c r="D401" s="88"/>
      <c r="E401" s="88"/>
      <c r="F401" s="88"/>
      <c r="G401" s="88"/>
      <c r="H401" s="88"/>
    </row>
    <row r="402" spans="4:8" ht="15.75">
      <c r="D402" s="88"/>
      <c r="E402" s="88"/>
      <c r="F402" s="88"/>
      <c r="G402" s="88"/>
      <c r="H402" s="88"/>
    </row>
    <row r="403" spans="4:8" ht="15.75">
      <c r="D403" s="88"/>
      <c r="E403" s="88"/>
      <c r="F403" s="88"/>
      <c r="G403" s="88"/>
      <c r="H403" s="88"/>
    </row>
    <row r="404" spans="4:8" ht="15.75">
      <c r="D404" s="88"/>
      <c r="E404" s="88"/>
      <c r="F404" s="88"/>
      <c r="G404" s="88"/>
      <c r="H404" s="88"/>
    </row>
    <row r="405" spans="4:8" ht="15.75">
      <c r="D405" s="88"/>
      <c r="E405" s="88"/>
      <c r="F405" s="88"/>
      <c r="G405" s="88"/>
      <c r="H405" s="88"/>
    </row>
    <row r="406" spans="4:8" ht="15.75">
      <c r="D406" s="88"/>
      <c r="E406" s="88"/>
      <c r="F406" s="88"/>
      <c r="G406" s="88"/>
      <c r="H406" s="88"/>
    </row>
    <row r="407" spans="4:8" ht="15.75">
      <c r="D407" s="88"/>
      <c r="E407" s="88"/>
      <c r="F407" s="88"/>
      <c r="G407" s="88"/>
      <c r="H407" s="88"/>
    </row>
    <row r="408" spans="4:8" ht="15.75">
      <c r="D408" s="88"/>
      <c r="E408" s="88"/>
      <c r="F408" s="88"/>
      <c r="G408" s="88"/>
      <c r="H408" s="88"/>
    </row>
    <row r="409" spans="4:8" ht="15.75">
      <c r="D409" s="88"/>
      <c r="E409" s="88"/>
      <c r="F409" s="88"/>
      <c r="G409" s="88"/>
      <c r="H409" s="88"/>
    </row>
    <row r="410" spans="4:8" ht="15.75">
      <c r="D410" s="88"/>
      <c r="E410" s="88"/>
      <c r="F410" s="88"/>
      <c r="G410" s="88"/>
      <c r="H410" s="88"/>
    </row>
    <row r="411" spans="4:8" ht="15.75">
      <c r="D411" s="88"/>
      <c r="E411" s="88"/>
      <c r="F411" s="88"/>
      <c r="G411" s="88"/>
      <c r="H411" s="88"/>
    </row>
    <row r="412" spans="4:8" ht="15.75">
      <c r="D412" s="88"/>
      <c r="E412" s="88"/>
      <c r="F412" s="88"/>
      <c r="G412" s="88"/>
      <c r="H412" s="88"/>
    </row>
    <row r="413" spans="4:8" ht="15.75">
      <c r="D413" s="88"/>
      <c r="E413" s="88"/>
      <c r="F413" s="88"/>
      <c r="G413" s="88"/>
      <c r="H413" s="88"/>
    </row>
    <row r="414" spans="4:8" ht="15.75">
      <c r="D414" s="88"/>
      <c r="E414" s="88"/>
      <c r="F414" s="88"/>
      <c r="G414" s="88"/>
      <c r="H414" s="88"/>
    </row>
    <row r="415" spans="4:8" ht="15.75">
      <c r="D415" s="88"/>
      <c r="E415" s="88"/>
      <c r="F415" s="88"/>
      <c r="G415" s="88"/>
      <c r="H415" s="88"/>
    </row>
    <row r="416" spans="4:8" ht="15.75">
      <c r="D416" s="88"/>
      <c r="E416" s="88"/>
      <c r="F416" s="88"/>
      <c r="G416" s="88"/>
      <c r="H416" s="88"/>
    </row>
    <row r="417" spans="4:8" ht="15.75">
      <c r="D417" s="88"/>
      <c r="E417" s="88"/>
      <c r="F417" s="88"/>
      <c r="G417" s="88"/>
      <c r="H417" s="88"/>
    </row>
    <row r="418" spans="4:8" ht="15.75">
      <c r="D418" s="88"/>
      <c r="E418" s="88"/>
      <c r="F418" s="88"/>
      <c r="G418" s="88"/>
      <c r="H418" s="88"/>
    </row>
    <row r="419" spans="4:8" ht="15.75">
      <c r="D419" s="88"/>
      <c r="E419" s="88"/>
      <c r="F419" s="88"/>
      <c r="G419" s="88"/>
      <c r="H419" s="88"/>
    </row>
    <row r="420" spans="4:8" ht="15.75">
      <c r="D420" s="88"/>
      <c r="E420" s="88"/>
      <c r="F420" s="88"/>
      <c r="G420" s="88"/>
      <c r="H420" s="88"/>
    </row>
    <row r="421" spans="4:8" ht="15.75">
      <c r="D421" s="88"/>
      <c r="E421" s="88"/>
      <c r="F421" s="88"/>
      <c r="G421" s="88"/>
      <c r="H421" s="88"/>
    </row>
    <row r="422" spans="4:8" ht="15.75">
      <c r="D422" s="88"/>
      <c r="E422" s="88"/>
      <c r="F422" s="88"/>
      <c r="G422" s="88"/>
      <c r="H422" s="88"/>
    </row>
    <row r="423" spans="4:8" ht="15.75">
      <c r="D423" s="88"/>
      <c r="E423" s="88"/>
      <c r="F423" s="88"/>
      <c r="G423" s="88"/>
      <c r="H423" s="88"/>
    </row>
    <row r="424" spans="4:8" ht="15.75">
      <c r="D424" s="88"/>
      <c r="E424" s="88"/>
      <c r="F424" s="88"/>
      <c r="G424" s="88"/>
      <c r="H424" s="88"/>
    </row>
    <row r="425" spans="4:8" ht="15.75">
      <c r="D425" s="88"/>
      <c r="E425" s="88"/>
      <c r="F425" s="88"/>
      <c r="G425" s="88"/>
      <c r="H425" s="88"/>
    </row>
    <row r="426" spans="4:8" ht="15.75">
      <c r="D426" s="88"/>
      <c r="E426" s="88"/>
      <c r="F426" s="88"/>
      <c r="G426" s="88"/>
      <c r="H426" s="88"/>
    </row>
    <row r="427" spans="4:8" ht="15.75">
      <c r="D427" s="88"/>
      <c r="E427" s="88"/>
      <c r="F427" s="88"/>
      <c r="G427" s="88"/>
      <c r="H427" s="88"/>
    </row>
    <row r="428" spans="4:8" ht="15.75">
      <c r="D428" s="88"/>
      <c r="E428" s="88"/>
      <c r="F428" s="88"/>
      <c r="G428" s="88"/>
      <c r="H428" s="88"/>
    </row>
    <row r="429" spans="4:8" ht="15.75">
      <c r="D429" s="88"/>
      <c r="E429" s="88"/>
      <c r="F429" s="88"/>
      <c r="G429" s="88"/>
      <c r="H429" s="88"/>
    </row>
    <row r="430" spans="4:8" ht="15.75">
      <c r="D430" s="88"/>
      <c r="E430" s="88"/>
      <c r="F430" s="88"/>
      <c r="G430" s="88"/>
      <c r="H430" s="88"/>
    </row>
    <row r="431" spans="4:8" ht="15.75">
      <c r="D431" s="88"/>
      <c r="E431" s="88"/>
      <c r="F431" s="88"/>
      <c r="G431" s="88"/>
      <c r="H431" s="88"/>
    </row>
    <row r="432" spans="4:8" ht="15.75">
      <c r="D432" s="88"/>
      <c r="E432" s="88"/>
      <c r="F432" s="88"/>
      <c r="G432" s="88"/>
      <c r="H432" s="88"/>
    </row>
    <row r="433" spans="4:8" ht="15.75">
      <c r="D433" s="88"/>
      <c r="E433" s="88"/>
      <c r="F433" s="88"/>
      <c r="G433" s="88"/>
      <c r="H433" s="88"/>
    </row>
    <row r="434" spans="4:8" ht="15.75">
      <c r="D434" s="88"/>
      <c r="E434" s="88"/>
      <c r="F434" s="88"/>
      <c r="G434" s="88"/>
      <c r="H434" s="88"/>
    </row>
    <row r="435" spans="4:8" ht="15.75">
      <c r="D435" s="88"/>
      <c r="E435" s="88"/>
      <c r="F435" s="88"/>
      <c r="G435" s="88"/>
      <c r="H435" s="88"/>
    </row>
    <row r="436" spans="4:8" ht="15.75">
      <c r="D436" s="88"/>
      <c r="E436" s="88"/>
      <c r="F436" s="88"/>
      <c r="G436" s="88"/>
      <c r="H436" s="88"/>
    </row>
    <row r="437" spans="4:8" ht="15.75">
      <c r="D437" s="88"/>
      <c r="E437" s="88"/>
      <c r="F437" s="88"/>
      <c r="G437" s="88"/>
      <c r="H437" s="88"/>
    </row>
    <row r="438" spans="4:8" ht="15.75">
      <c r="D438" s="88"/>
      <c r="E438" s="88"/>
      <c r="F438" s="88"/>
      <c r="G438" s="88"/>
      <c r="H438" s="88"/>
    </row>
    <row r="439" spans="4:8" ht="15.75">
      <c r="D439" s="88"/>
      <c r="E439" s="88"/>
      <c r="F439" s="88"/>
      <c r="G439" s="88"/>
      <c r="H439" s="88"/>
    </row>
    <row r="440" spans="4:8" ht="15.75">
      <c r="D440" s="88"/>
      <c r="E440" s="88"/>
      <c r="F440" s="88"/>
      <c r="G440" s="88"/>
      <c r="H440" s="88"/>
    </row>
    <row r="441" spans="4:8" ht="15.75">
      <c r="D441" s="88"/>
      <c r="E441" s="88"/>
      <c r="F441" s="88"/>
      <c r="G441" s="88"/>
      <c r="H441" s="88"/>
    </row>
    <row r="442" spans="4:8" ht="15.75">
      <c r="D442" s="88"/>
      <c r="E442" s="88"/>
      <c r="F442" s="88"/>
      <c r="G442" s="88"/>
      <c r="H442" s="88"/>
    </row>
    <row r="443" spans="4:8" ht="15.75">
      <c r="D443" s="88"/>
      <c r="E443" s="88"/>
      <c r="F443" s="88"/>
      <c r="G443" s="88"/>
      <c r="H443" s="88"/>
    </row>
    <row r="444" spans="4:8" ht="15.75">
      <c r="D444" s="88"/>
      <c r="E444" s="88"/>
      <c r="F444" s="88"/>
      <c r="G444" s="88"/>
      <c r="H444" s="88"/>
    </row>
    <row r="445" spans="4:8" ht="15.75">
      <c r="D445" s="88"/>
      <c r="E445" s="88"/>
      <c r="F445" s="88"/>
      <c r="G445" s="88"/>
      <c r="H445" s="88"/>
    </row>
    <row r="446" spans="4:8" ht="15.75">
      <c r="D446" s="88"/>
      <c r="E446" s="88"/>
      <c r="F446" s="88"/>
      <c r="G446" s="88"/>
      <c r="H446" s="88"/>
    </row>
    <row r="447" spans="4:8" ht="15.75">
      <c r="D447" s="88"/>
      <c r="E447" s="88"/>
      <c r="F447" s="88"/>
      <c r="G447" s="88"/>
      <c r="H447" s="88"/>
    </row>
    <row r="448" spans="4:8" ht="15.75">
      <c r="D448" s="88"/>
      <c r="E448" s="88"/>
      <c r="F448" s="88"/>
      <c r="G448" s="88"/>
      <c r="H448" s="88"/>
    </row>
    <row r="449" spans="4:8" ht="15.75">
      <c r="D449" s="88"/>
      <c r="E449" s="88"/>
      <c r="F449" s="88"/>
      <c r="G449" s="88"/>
      <c r="H449" s="88"/>
    </row>
    <row r="450" spans="4:8" ht="15.75">
      <c r="D450" s="88"/>
      <c r="E450" s="88"/>
      <c r="F450" s="88"/>
      <c r="G450" s="88"/>
      <c r="H450" s="88"/>
    </row>
    <row r="451" spans="4:8" ht="15.75">
      <c r="D451" s="88"/>
      <c r="E451" s="88"/>
      <c r="F451" s="88"/>
      <c r="G451" s="88"/>
      <c r="H451" s="88"/>
    </row>
    <row r="452" spans="4:8" ht="15.75">
      <c r="D452" s="88"/>
      <c r="E452" s="88"/>
      <c r="F452" s="88"/>
      <c r="G452" s="88"/>
      <c r="H452" s="88"/>
    </row>
    <row r="453" spans="4:8" ht="15.75">
      <c r="D453" s="88"/>
      <c r="E453" s="88"/>
      <c r="F453" s="88"/>
      <c r="G453" s="88"/>
      <c r="H453" s="88"/>
    </row>
    <row r="454" spans="4:8" ht="15.75">
      <c r="D454" s="88"/>
      <c r="E454" s="88"/>
      <c r="F454" s="88"/>
      <c r="G454" s="88"/>
      <c r="H454" s="88"/>
    </row>
    <row r="455" spans="4:8" ht="15.75">
      <c r="D455" s="88"/>
      <c r="E455" s="88"/>
      <c r="F455" s="88"/>
      <c r="G455" s="88"/>
      <c r="H455" s="88"/>
    </row>
    <row r="456" spans="4:8" ht="15.75">
      <c r="D456" s="88"/>
      <c r="E456" s="88"/>
      <c r="F456" s="88"/>
      <c r="G456" s="88"/>
      <c r="H456" s="88"/>
    </row>
    <row r="457" spans="4:8" ht="15.75">
      <c r="D457" s="88"/>
      <c r="E457" s="88"/>
      <c r="F457" s="88"/>
      <c r="G457" s="88"/>
      <c r="H457" s="88"/>
    </row>
    <row r="458" spans="4:8" ht="15.75">
      <c r="D458" s="88"/>
      <c r="E458" s="88"/>
      <c r="F458" s="88"/>
      <c r="G458" s="88"/>
      <c r="H458" s="88"/>
    </row>
    <row r="459" spans="4:8" ht="15.75">
      <c r="D459" s="88"/>
      <c r="E459" s="88"/>
      <c r="F459" s="88"/>
      <c r="G459" s="88"/>
      <c r="H459" s="88"/>
    </row>
    <row r="460" spans="4:8" ht="15.75">
      <c r="D460" s="88"/>
      <c r="E460" s="88"/>
      <c r="F460" s="88"/>
      <c r="G460" s="88"/>
      <c r="H460" s="88"/>
    </row>
    <row r="461" spans="4:8" ht="15.75">
      <c r="D461" s="88"/>
      <c r="E461" s="88"/>
      <c r="F461" s="88"/>
      <c r="G461" s="88"/>
      <c r="H461" s="88"/>
    </row>
    <row r="462" spans="4:8" ht="15.75">
      <c r="D462" s="88"/>
      <c r="E462" s="88"/>
      <c r="F462" s="88"/>
      <c r="G462" s="88"/>
      <c r="H462" s="88"/>
    </row>
    <row r="463" spans="4:8" ht="15.75">
      <c r="D463" s="88"/>
      <c r="E463" s="88"/>
      <c r="F463" s="88"/>
      <c r="G463" s="88"/>
      <c r="H463" s="88"/>
    </row>
    <row r="464" spans="4:8" ht="15.75">
      <c r="D464" s="88"/>
      <c r="E464" s="88"/>
      <c r="F464" s="88"/>
      <c r="G464" s="88"/>
      <c r="H464" s="88"/>
    </row>
    <row r="465" spans="4:8" ht="15.75">
      <c r="D465" s="88"/>
      <c r="E465" s="88"/>
      <c r="F465" s="88"/>
      <c r="G465" s="88"/>
      <c r="H465" s="88"/>
    </row>
    <row r="466" spans="4:8" ht="15.75">
      <c r="D466" s="88"/>
      <c r="E466" s="88"/>
      <c r="F466" s="88"/>
      <c r="G466" s="88"/>
      <c r="H466" s="88"/>
    </row>
    <row r="467" spans="4:8" ht="15.75">
      <c r="D467" s="88"/>
      <c r="E467" s="88"/>
      <c r="F467" s="88"/>
      <c r="G467" s="88"/>
      <c r="H467" s="88"/>
    </row>
    <row r="468" spans="4:8" ht="15.75">
      <c r="D468" s="88"/>
      <c r="E468" s="88"/>
      <c r="F468" s="88"/>
      <c r="G468" s="88"/>
      <c r="H468" s="88"/>
    </row>
    <row r="469" spans="4:8" ht="15.75">
      <c r="D469" s="88"/>
      <c r="E469" s="88"/>
      <c r="F469" s="88"/>
      <c r="G469" s="88"/>
      <c r="H469" s="88"/>
    </row>
    <row r="470" spans="4:8" ht="15.75">
      <c r="D470" s="88"/>
      <c r="E470" s="88"/>
      <c r="F470" s="88"/>
      <c r="G470" s="88"/>
      <c r="H470" s="88"/>
    </row>
    <row r="471" spans="4:8" ht="15.75">
      <c r="D471" s="88"/>
      <c r="E471" s="88"/>
      <c r="F471" s="88"/>
      <c r="G471" s="88"/>
      <c r="H471" s="88"/>
    </row>
    <row r="472" spans="4:8" ht="15.75">
      <c r="D472" s="88"/>
      <c r="E472" s="88"/>
      <c r="F472" s="88"/>
      <c r="G472" s="88"/>
      <c r="H472" s="88"/>
    </row>
    <row r="473" spans="4:8" ht="15.75">
      <c r="D473" s="88"/>
      <c r="E473" s="88"/>
      <c r="F473" s="88"/>
      <c r="G473" s="88"/>
      <c r="H473" s="88"/>
    </row>
    <row r="474" spans="4:8" ht="15.75">
      <c r="D474" s="88"/>
      <c r="E474" s="88"/>
      <c r="F474" s="88"/>
      <c r="G474" s="88"/>
      <c r="H474" s="88"/>
    </row>
    <row r="475" spans="4:8" ht="15.75">
      <c r="D475" s="88"/>
      <c r="E475" s="88"/>
      <c r="F475" s="88"/>
      <c r="G475" s="88"/>
      <c r="H475" s="88"/>
    </row>
    <row r="476" spans="4:8" ht="15.75">
      <c r="D476" s="88"/>
      <c r="E476" s="88"/>
      <c r="F476" s="88"/>
      <c r="G476" s="88"/>
      <c r="H476" s="88"/>
    </row>
    <row r="477" spans="4:8" ht="15.75">
      <c r="D477" s="88"/>
      <c r="E477" s="88"/>
      <c r="F477" s="88"/>
      <c r="G477" s="88"/>
      <c r="H477" s="88"/>
    </row>
    <row r="478" spans="4:8" ht="15.75">
      <c r="D478" s="88"/>
      <c r="E478" s="88"/>
      <c r="F478" s="88"/>
      <c r="G478" s="88"/>
      <c r="H478" s="88"/>
    </row>
    <row r="479" spans="4:8" ht="15.75">
      <c r="D479" s="88"/>
      <c r="E479" s="88"/>
      <c r="F479" s="88"/>
      <c r="G479" s="88"/>
      <c r="H479" s="88"/>
    </row>
    <row r="480" spans="4:8" ht="15.75">
      <c r="D480" s="88"/>
      <c r="E480" s="88"/>
      <c r="F480" s="88"/>
      <c r="G480" s="88"/>
      <c r="H480" s="88"/>
    </row>
    <row r="481" spans="4:8" ht="15.75">
      <c r="D481" s="88"/>
      <c r="E481" s="88"/>
      <c r="F481" s="88"/>
      <c r="G481" s="88"/>
      <c r="H481" s="88"/>
    </row>
    <row r="482" spans="4:8" ht="15.75">
      <c r="D482" s="88"/>
      <c r="E482" s="88"/>
      <c r="F482" s="88"/>
      <c r="G482" s="88"/>
      <c r="H482" s="88"/>
    </row>
    <row r="483" spans="4:8" ht="15.75">
      <c r="D483" s="88"/>
      <c r="E483" s="88"/>
      <c r="F483" s="88"/>
      <c r="G483" s="88"/>
      <c r="H483" s="88"/>
    </row>
    <row r="484" spans="4:8" ht="15.75">
      <c r="D484" s="88"/>
      <c r="E484" s="88"/>
      <c r="F484" s="88"/>
      <c r="G484" s="88"/>
      <c r="H484" s="88"/>
    </row>
    <row r="485" spans="4:8" ht="15.75">
      <c r="D485" s="88"/>
      <c r="E485" s="88"/>
      <c r="F485" s="88"/>
      <c r="G485" s="88"/>
      <c r="H485" s="88"/>
    </row>
    <row r="486" spans="4:8" ht="15.75">
      <c r="D486" s="88"/>
      <c r="E486" s="88"/>
      <c r="F486" s="88"/>
      <c r="G486" s="88"/>
      <c r="H486" s="88"/>
    </row>
    <row r="487" spans="4:8" ht="15.75">
      <c r="D487" s="88"/>
      <c r="E487" s="88"/>
      <c r="F487" s="88"/>
      <c r="G487" s="88"/>
      <c r="H487" s="88"/>
    </row>
    <row r="488" spans="4:8" ht="15.75">
      <c r="D488" s="88"/>
      <c r="E488" s="88"/>
      <c r="F488" s="88"/>
      <c r="G488" s="88"/>
      <c r="H488" s="88"/>
    </row>
    <row r="489" spans="4:8" ht="15.75">
      <c r="D489" s="88"/>
      <c r="E489" s="88"/>
      <c r="F489" s="88"/>
      <c r="G489" s="88"/>
      <c r="H489" s="88"/>
    </row>
    <row r="490" spans="4:8" ht="15.75">
      <c r="D490" s="88"/>
      <c r="E490" s="88"/>
      <c r="F490" s="88"/>
      <c r="G490" s="88"/>
      <c r="H490" s="88"/>
    </row>
    <row r="491" spans="4:8" ht="15.75">
      <c r="D491" s="88"/>
      <c r="E491" s="88"/>
      <c r="F491" s="88"/>
      <c r="G491" s="88"/>
      <c r="H491" s="88"/>
    </row>
    <row r="492" spans="4:8" ht="15.75">
      <c r="D492" s="88"/>
      <c r="E492" s="88"/>
      <c r="F492" s="88"/>
      <c r="G492" s="88"/>
      <c r="H492" s="88"/>
    </row>
    <row r="493" spans="4:8" ht="15.75">
      <c r="D493" s="88"/>
      <c r="E493" s="88"/>
      <c r="F493" s="88"/>
      <c r="G493" s="88"/>
      <c r="H493" s="88"/>
    </row>
    <row r="494" spans="4:8" ht="15.75">
      <c r="D494" s="88"/>
      <c r="E494" s="88"/>
      <c r="F494" s="88"/>
      <c r="G494" s="88"/>
      <c r="H494" s="88"/>
    </row>
    <row r="495" spans="4:8" ht="15.75">
      <c r="D495" s="88"/>
      <c r="E495" s="88"/>
      <c r="F495" s="88"/>
      <c r="G495" s="88"/>
      <c r="H495" s="88"/>
    </row>
    <row r="496" spans="4:8" ht="15.75">
      <c r="D496" s="88"/>
      <c r="E496" s="88"/>
      <c r="F496" s="88"/>
      <c r="G496" s="88"/>
      <c r="H496" s="88"/>
    </row>
    <row r="497" spans="4:8" ht="15.75">
      <c r="D497" s="88"/>
      <c r="E497" s="88"/>
      <c r="F497" s="88"/>
      <c r="G497" s="88"/>
      <c r="H497" s="88"/>
    </row>
    <row r="498" spans="4:8" ht="15.75">
      <c r="D498" s="88"/>
      <c r="E498" s="88"/>
      <c r="F498" s="88"/>
      <c r="G498" s="88"/>
      <c r="H498" s="88"/>
    </row>
    <row r="499" spans="4:8" ht="15.75">
      <c r="D499" s="88"/>
      <c r="E499" s="88"/>
      <c r="F499" s="88"/>
      <c r="G499" s="88"/>
      <c r="H499" s="88"/>
    </row>
    <row r="500" spans="4:8" ht="15.75">
      <c r="D500" s="88"/>
      <c r="E500" s="88"/>
      <c r="F500" s="88"/>
      <c r="G500" s="88"/>
      <c r="H500" s="88"/>
    </row>
    <row r="501" spans="4:8" ht="15.75">
      <c r="D501" s="88"/>
      <c r="E501" s="88"/>
      <c r="F501" s="88"/>
      <c r="G501" s="88"/>
      <c r="H501" s="88"/>
    </row>
    <row r="502" spans="4:8" ht="15.75">
      <c r="D502" s="88"/>
      <c r="E502" s="88"/>
      <c r="F502" s="88"/>
      <c r="G502" s="88"/>
      <c r="H502" s="88"/>
    </row>
    <row r="503" spans="4:8" ht="15.75">
      <c r="D503" s="88"/>
      <c r="E503" s="88"/>
      <c r="F503" s="88"/>
      <c r="G503" s="88"/>
      <c r="H503" s="88"/>
    </row>
    <row r="504" spans="4:8" ht="15.75">
      <c r="D504" s="88"/>
      <c r="E504" s="88"/>
      <c r="F504" s="88"/>
      <c r="G504" s="88"/>
      <c r="H504" s="88"/>
    </row>
    <row r="505" spans="4:8" ht="15.75">
      <c r="D505" s="88"/>
      <c r="E505" s="88"/>
      <c r="F505" s="88"/>
      <c r="G505" s="88"/>
      <c r="H505" s="88"/>
    </row>
    <row r="506" spans="4:8" ht="15.75">
      <c r="D506" s="88"/>
      <c r="E506" s="88"/>
      <c r="F506" s="88"/>
      <c r="G506" s="88"/>
      <c r="H506" s="88"/>
    </row>
    <row r="507" spans="4:8" ht="15.75">
      <c r="D507" s="88"/>
      <c r="E507" s="88"/>
      <c r="F507" s="88"/>
      <c r="G507" s="88"/>
      <c r="H507" s="88"/>
    </row>
    <row r="508" spans="4:8" ht="15.75">
      <c r="D508" s="88"/>
      <c r="E508" s="88"/>
      <c r="F508" s="88"/>
      <c r="G508" s="88"/>
      <c r="H508" s="88"/>
    </row>
    <row r="509" spans="4:8" ht="15.75">
      <c r="D509" s="88"/>
      <c r="E509" s="88"/>
      <c r="F509" s="88"/>
      <c r="G509" s="88"/>
      <c r="H509" s="88"/>
    </row>
    <row r="510" spans="4:8" ht="15.75">
      <c r="D510" s="88"/>
      <c r="E510" s="88"/>
      <c r="F510" s="88"/>
      <c r="G510" s="88"/>
      <c r="H510" s="88"/>
    </row>
    <row r="511" spans="4:8" ht="15.75">
      <c r="D511" s="88"/>
      <c r="E511" s="88"/>
      <c r="F511" s="88"/>
      <c r="G511" s="88"/>
      <c r="H511" s="88"/>
    </row>
    <row r="512" spans="4:8" ht="15.75">
      <c r="D512" s="88"/>
      <c r="E512" s="88"/>
      <c r="F512" s="88"/>
      <c r="G512" s="88"/>
      <c r="H512" s="88"/>
    </row>
    <row r="513" spans="4:8" ht="15.75">
      <c r="D513" s="88"/>
      <c r="E513" s="88"/>
      <c r="F513" s="88"/>
      <c r="G513" s="88"/>
      <c r="H513" s="88"/>
    </row>
    <row r="514" spans="4:8" ht="15.75">
      <c r="D514" s="88"/>
      <c r="E514" s="88"/>
      <c r="F514" s="88"/>
      <c r="G514" s="88"/>
      <c r="H514" s="88"/>
    </row>
    <row r="515" spans="4:8" ht="15.75">
      <c r="D515" s="88"/>
      <c r="E515" s="88"/>
      <c r="F515" s="88"/>
      <c r="G515" s="88"/>
      <c r="H515" s="88"/>
    </row>
    <row r="516" spans="4:8" ht="15.75">
      <c r="D516" s="88"/>
      <c r="E516" s="88"/>
      <c r="F516" s="88"/>
      <c r="G516" s="88"/>
      <c r="H516" s="88"/>
    </row>
    <row r="517" spans="4:8" ht="15.75">
      <c r="D517" s="88"/>
      <c r="E517" s="88"/>
      <c r="F517" s="88"/>
      <c r="G517" s="88"/>
      <c r="H517" s="88"/>
    </row>
    <row r="518" spans="4:8" ht="15.75">
      <c r="D518" s="88"/>
      <c r="E518" s="88"/>
      <c r="F518" s="88"/>
      <c r="G518" s="88"/>
      <c r="H518" s="88"/>
    </row>
    <row r="519" spans="4:8" ht="15.75">
      <c r="D519" s="88"/>
      <c r="E519" s="88"/>
      <c r="F519" s="88"/>
      <c r="G519" s="88"/>
      <c r="H519" s="88"/>
    </row>
    <row r="520" spans="4:8" ht="15.75">
      <c r="D520" s="88"/>
      <c r="E520" s="88"/>
      <c r="F520" s="88"/>
      <c r="G520" s="88"/>
      <c r="H520" s="88"/>
    </row>
    <row r="521" spans="4:8" ht="15.75">
      <c r="D521" s="88"/>
      <c r="E521" s="88"/>
      <c r="F521" s="88"/>
      <c r="G521" s="88"/>
      <c r="H521" s="88"/>
    </row>
    <row r="522" spans="4:8" ht="15.75">
      <c r="D522" s="88"/>
      <c r="E522" s="88"/>
      <c r="F522" s="88"/>
      <c r="G522" s="88"/>
      <c r="H522" s="88"/>
    </row>
    <row r="523" spans="4:8" ht="15.75">
      <c r="D523" s="88"/>
      <c r="E523" s="88"/>
      <c r="F523" s="88"/>
      <c r="G523" s="88"/>
      <c r="H523" s="88"/>
    </row>
    <row r="524" spans="4:8" ht="15.75">
      <c r="D524" s="88"/>
      <c r="E524" s="88"/>
      <c r="F524" s="88"/>
      <c r="G524" s="88"/>
      <c r="H524" s="88"/>
    </row>
    <row r="525" spans="4:8" ht="15.75">
      <c r="D525" s="88"/>
      <c r="E525" s="88"/>
      <c r="F525" s="88"/>
      <c r="G525" s="88"/>
      <c r="H525" s="88"/>
    </row>
    <row r="526" spans="4:8" ht="15.75">
      <c r="D526" s="88"/>
      <c r="E526" s="88"/>
      <c r="F526" s="88"/>
      <c r="G526" s="88"/>
      <c r="H526" s="88"/>
    </row>
    <row r="527" spans="4:8" ht="15.75">
      <c r="D527" s="88"/>
      <c r="E527" s="88"/>
      <c r="F527" s="88"/>
      <c r="G527" s="88"/>
      <c r="H527" s="88"/>
    </row>
    <row r="528" spans="4:8" ht="15.75">
      <c r="D528" s="88"/>
      <c r="E528" s="88"/>
      <c r="F528" s="88"/>
      <c r="G528" s="88"/>
      <c r="H528" s="88"/>
    </row>
    <row r="529" spans="4:8" ht="15.75">
      <c r="D529" s="88"/>
      <c r="E529" s="88"/>
      <c r="F529" s="88"/>
      <c r="G529" s="88"/>
      <c r="H529" s="88"/>
    </row>
    <row r="530" spans="4:8" ht="15.75">
      <c r="D530" s="88"/>
      <c r="E530" s="88"/>
      <c r="F530" s="88"/>
      <c r="G530" s="88"/>
      <c r="H530" s="88"/>
    </row>
    <row r="531" spans="4:8" ht="15.75">
      <c r="D531" s="88"/>
      <c r="E531" s="88"/>
      <c r="F531" s="88"/>
      <c r="G531" s="88"/>
      <c r="H531" s="88"/>
    </row>
    <row r="532" spans="4:8" ht="15.75">
      <c r="D532" s="88"/>
      <c r="E532" s="88"/>
      <c r="F532" s="88"/>
      <c r="G532" s="88"/>
      <c r="H532" s="88"/>
    </row>
    <row r="533" spans="4:8" ht="15.75">
      <c r="D533" s="88"/>
      <c r="E533" s="88"/>
      <c r="F533" s="88"/>
      <c r="G533" s="88"/>
      <c r="H533" s="88"/>
    </row>
    <row r="534" spans="4:8" ht="15.75">
      <c r="D534" s="88"/>
      <c r="E534" s="88"/>
      <c r="F534" s="88"/>
      <c r="G534" s="88"/>
      <c r="H534" s="88"/>
    </row>
    <row r="535" spans="4:8" ht="15.75">
      <c r="D535" s="88"/>
      <c r="E535" s="88"/>
      <c r="F535" s="88"/>
      <c r="G535" s="88"/>
      <c r="H535" s="88"/>
    </row>
    <row r="536" spans="4:8" ht="15.75">
      <c r="D536" s="88"/>
      <c r="E536" s="88"/>
      <c r="F536" s="88"/>
      <c r="G536" s="88"/>
      <c r="H536" s="88"/>
    </row>
    <row r="537" spans="4:8" ht="15.75">
      <c r="D537" s="88"/>
      <c r="E537" s="88"/>
      <c r="F537" s="88"/>
      <c r="G537" s="88"/>
      <c r="H537" s="88"/>
    </row>
    <row r="538" spans="4:8" ht="15.75">
      <c r="D538" s="88"/>
      <c r="E538" s="88"/>
      <c r="F538" s="88"/>
      <c r="G538" s="88"/>
      <c r="H538" s="88"/>
    </row>
    <row r="539" spans="4:8" ht="15.75">
      <c r="D539" s="88"/>
      <c r="E539" s="88"/>
      <c r="F539" s="88"/>
      <c r="G539" s="88"/>
      <c r="H539" s="88"/>
    </row>
    <row r="540" spans="4:8" ht="15.75">
      <c r="D540" s="88"/>
      <c r="E540" s="88"/>
      <c r="F540" s="88"/>
      <c r="G540" s="88"/>
      <c r="H540" s="88"/>
    </row>
    <row r="541" spans="4:8" ht="15.75">
      <c r="D541" s="88"/>
      <c r="E541" s="88"/>
      <c r="F541" s="88"/>
      <c r="G541" s="88"/>
      <c r="H541" s="88"/>
    </row>
    <row r="542" spans="4:8" ht="15.75">
      <c r="D542" s="88"/>
      <c r="E542" s="88"/>
      <c r="F542" s="88"/>
      <c r="G542" s="88"/>
      <c r="H542" s="88"/>
    </row>
    <row r="543" spans="4:8" ht="15.75">
      <c r="D543" s="88"/>
      <c r="E543" s="88"/>
      <c r="F543" s="88"/>
      <c r="G543" s="88"/>
      <c r="H543" s="88"/>
    </row>
    <row r="544" spans="4:8" ht="15.75">
      <c r="D544" s="88"/>
      <c r="E544" s="88"/>
      <c r="F544" s="88"/>
      <c r="G544" s="88"/>
      <c r="H544" s="88"/>
    </row>
    <row r="545" spans="4:8" ht="15.75">
      <c r="D545" s="88"/>
      <c r="E545" s="88"/>
      <c r="F545" s="88"/>
      <c r="G545" s="88"/>
      <c r="H545" s="88"/>
    </row>
    <row r="546" spans="4:8" ht="15.75">
      <c r="D546" s="88"/>
      <c r="E546" s="88"/>
      <c r="F546" s="88"/>
      <c r="G546" s="88"/>
      <c r="H546" s="88"/>
    </row>
    <row r="547" spans="4:8" ht="15.75">
      <c r="D547" s="88"/>
      <c r="E547" s="88"/>
      <c r="F547" s="88"/>
      <c r="G547" s="88"/>
      <c r="H547" s="88"/>
    </row>
    <row r="548" spans="4:8" ht="15.75">
      <c r="D548" s="88"/>
      <c r="E548" s="88"/>
      <c r="F548" s="88"/>
      <c r="G548" s="88"/>
      <c r="H548" s="88"/>
    </row>
    <row r="549" spans="4:8" ht="15.75">
      <c r="D549" s="88"/>
      <c r="E549" s="88"/>
      <c r="F549" s="88"/>
      <c r="G549" s="88"/>
      <c r="H549" s="88"/>
    </row>
    <row r="550" spans="4:8" ht="15.75">
      <c r="D550" s="88"/>
      <c r="E550" s="88"/>
      <c r="F550" s="88"/>
      <c r="G550" s="88"/>
      <c r="H550" s="88"/>
    </row>
    <row r="551" spans="4:8" ht="15.75">
      <c r="D551" s="88"/>
      <c r="E551" s="88"/>
      <c r="F551" s="88"/>
      <c r="G551" s="88"/>
      <c r="H551" s="88"/>
    </row>
    <row r="552" spans="4:8" ht="15.75">
      <c r="D552" s="88"/>
      <c r="E552" s="88"/>
      <c r="F552" s="88"/>
      <c r="G552" s="88"/>
      <c r="H552" s="88"/>
    </row>
    <row r="553" spans="4:8" ht="15.75">
      <c r="D553" s="88"/>
      <c r="E553" s="88"/>
      <c r="F553" s="88"/>
      <c r="G553" s="88"/>
      <c r="H553" s="88"/>
    </row>
    <row r="554" spans="4:8" ht="15.75">
      <c r="D554" s="88"/>
      <c r="E554" s="88"/>
      <c r="F554" s="88"/>
      <c r="G554" s="88"/>
      <c r="H554" s="88"/>
    </row>
    <row r="555" spans="4:8" ht="15.75">
      <c r="D555" s="88"/>
      <c r="E555" s="88"/>
      <c r="F555" s="88"/>
      <c r="G555" s="88"/>
      <c r="H555" s="88"/>
    </row>
    <row r="556" spans="4:8" ht="15.75">
      <c r="D556" s="88"/>
      <c r="E556" s="88"/>
      <c r="F556" s="88"/>
      <c r="G556" s="88"/>
      <c r="H556" s="88"/>
    </row>
    <row r="557" spans="4:8" ht="15.75">
      <c r="D557" s="88"/>
      <c r="E557" s="88"/>
      <c r="F557" s="88"/>
      <c r="G557" s="88"/>
      <c r="H557" s="88"/>
    </row>
    <row r="558" spans="4:8" ht="15.75">
      <c r="D558" s="88"/>
      <c r="E558" s="88"/>
      <c r="F558" s="88"/>
      <c r="G558" s="88"/>
      <c r="H558" s="88"/>
    </row>
    <row r="559" spans="4:8" ht="15.75">
      <c r="D559" s="88"/>
      <c r="E559" s="88"/>
      <c r="F559" s="88"/>
      <c r="G559" s="88"/>
      <c r="H559" s="88"/>
    </row>
    <row r="560" spans="4:8" ht="15.75">
      <c r="D560" s="88"/>
      <c r="E560" s="88"/>
      <c r="F560" s="88"/>
      <c r="G560" s="88"/>
      <c r="H560" s="88"/>
    </row>
    <row r="561" spans="4:8" ht="15.75">
      <c r="D561" s="88"/>
      <c r="E561" s="88"/>
      <c r="F561" s="88"/>
      <c r="G561" s="88"/>
      <c r="H561" s="88"/>
    </row>
    <row r="562" spans="4:8" ht="15.75">
      <c r="D562" s="88"/>
      <c r="E562" s="88"/>
      <c r="F562" s="88"/>
      <c r="G562" s="88"/>
      <c r="H562" s="88"/>
    </row>
    <row r="563" spans="4:8" ht="15.75">
      <c r="D563" s="88"/>
      <c r="E563" s="88"/>
      <c r="F563" s="88"/>
      <c r="G563" s="88"/>
      <c r="H563" s="88"/>
    </row>
    <row r="564" spans="4:8" ht="15.75">
      <c r="D564" s="88"/>
      <c r="E564" s="88"/>
      <c r="F564" s="88"/>
      <c r="G564" s="88"/>
      <c r="H564" s="88"/>
    </row>
    <row r="565" spans="4:8" ht="15.75">
      <c r="D565" s="88"/>
      <c r="E565" s="88"/>
      <c r="F565" s="88"/>
      <c r="G565" s="88"/>
      <c r="H565" s="88"/>
    </row>
    <row r="566" spans="4:8" ht="15.75">
      <c r="D566" s="88"/>
      <c r="E566" s="88"/>
      <c r="F566" s="88"/>
      <c r="G566" s="88"/>
      <c r="H566" s="88"/>
    </row>
    <row r="567" spans="4:8" ht="15.75">
      <c r="D567" s="88"/>
      <c r="E567" s="88"/>
      <c r="F567" s="88"/>
      <c r="G567" s="88"/>
      <c r="H567" s="88"/>
    </row>
    <row r="568" spans="4:8" ht="15.75">
      <c r="D568" s="88"/>
      <c r="E568" s="88"/>
      <c r="F568" s="88"/>
      <c r="G568" s="88"/>
      <c r="H568" s="88"/>
    </row>
    <row r="569" spans="4:8" ht="15.75">
      <c r="D569" s="88"/>
      <c r="E569" s="88"/>
      <c r="F569" s="88"/>
      <c r="G569" s="88"/>
      <c r="H569" s="88"/>
    </row>
    <row r="570" spans="4:8" ht="15.75">
      <c r="D570" s="88"/>
      <c r="E570" s="88"/>
      <c r="F570" s="88"/>
      <c r="G570" s="88"/>
      <c r="H570" s="88"/>
    </row>
    <row r="571" spans="4:8" ht="15.75">
      <c r="D571" s="88"/>
      <c r="E571" s="88"/>
      <c r="F571" s="88"/>
      <c r="G571" s="88"/>
      <c r="H571" s="88"/>
    </row>
    <row r="572" spans="4:8" ht="15.75">
      <c r="D572" s="88"/>
      <c r="E572" s="88"/>
      <c r="F572" s="88"/>
      <c r="G572" s="88"/>
      <c r="H572" s="88"/>
    </row>
    <row r="573" spans="4:8" ht="15.75">
      <c r="D573" s="88"/>
      <c r="E573" s="88"/>
      <c r="F573" s="88"/>
      <c r="G573" s="88"/>
      <c r="H573" s="88"/>
    </row>
    <row r="574" spans="4:8" ht="15.75">
      <c r="D574" s="88"/>
      <c r="E574" s="88"/>
      <c r="F574" s="88"/>
      <c r="G574" s="88"/>
      <c r="H574" s="88"/>
    </row>
    <row r="575" spans="4:8" ht="15.75">
      <c r="D575" s="88"/>
      <c r="E575" s="88"/>
      <c r="F575" s="88"/>
      <c r="G575" s="88"/>
      <c r="H575" s="88"/>
    </row>
    <row r="576" spans="4:8" ht="15.75">
      <c r="D576" s="88"/>
      <c r="E576" s="88"/>
      <c r="F576" s="88"/>
      <c r="G576" s="88"/>
      <c r="H576" s="88"/>
    </row>
    <row r="577" spans="4:8" ht="15.75">
      <c r="D577" s="88"/>
      <c r="E577" s="88"/>
      <c r="F577" s="88"/>
      <c r="G577" s="88"/>
      <c r="H577" s="88"/>
    </row>
    <row r="578" spans="4:8" ht="15.75">
      <c r="D578" s="88"/>
      <c r="E578" s="88"/>
      <c r="F578" s="88"/>
      <c r="G578" s="88"/>
      <c r="H578" s="88"/>
    </row>
    <row r="579" spans="4:8" ht="15.75">
      <c r="D579" s="88"/>
      <c r="E579" s="88"/>
      <c r="F579" s="88"/>
      <c r="G579" s="88"/>
      <c r="H579" s="88"/>
    </row>
    <row r="580" spans="4:8" ht="15.75">
      <c r="D580" s="88"/>
      <c r="E580" s="88"/>
      <c r="F580" s="88"/>
      <c r="G580" s="88"/>
      <c r="H580" s="88"/>
    </row>
    <row r="581" spans="4:8" ht="15.75">
      <c r="D581" s="88"/>
      <c r="E581" s="88"/>
      <c r="F581" s="88"/>
      <c r="G581" s="88"/>
      <c r="H581" s="88"/>
    </row>
    <row r="582" spans="4:8" ht="15.75">
      <c r="D582" s="88"/>
      <c r="E582" s="88"/>
      <c r="F582" s="88"/>
      <c r="G582" s="88"/>
      <c r="H582" s="88"/>
    </row>
    <row r="583" spans="4:8" ht="15.75">
      <c r="D583" s="88"/>
      <c r="E583" s="88"/>
      <c r="F583" s="88"/>
      <c r="G583" s="88"/>
      <c r="H583" s="88"/>
    </row>
    <row r="584" spans="4:8" ht="15.75">
      <c r="D584" s="88"/>
      <c r="E584" s="88"/>
      <c r="F584" s="88"/>
      <c r="G584" s="88"/>
      <c r="H584" s="88"/>
    </row>
    <row r="585" spans="4:8" ht="15.75">
      <c r="D585" s="88"/>
      <c r="E585" s="88"/>
      <c r="F585" s="88"/>
      <c r="G585" s="88"/>
      <c r="H585" s="88"/>
    </row>
    <row r="586" spans="4:8" ht="15.75">
      <c r="D586" s="88"/>
      <c r="E586" s="88"/>
      <c r="F586" s="88"/>
      <c r="G586" s="88"/>
      <c r="H586" s="88"/>
    </row>
    <row r="587" spans="4:8" ht="15.75">
      <c r="D587" s="88"/>
      <c r="E587" s="88"/>
      <c r="F587" s="88"/>
      <c r="G587" s="88"/>
      <c r="H587" s="88"/>
    </row>
    <row r="588" spans="4:8" ht="15.75">
      <c r="D588" s="88"/>
      <c r="E588" s="88"/>
      <c r="F588" s="88"/>
      <c r="G588" s="88"/>
      <c r="H588" s="88"/>
    </row>
    <row r="589" spans="4:8" ht="15.75">
      <c r="D589" s="88"/>
      <c r="E589" s="88"/>
      <c r="F589" s="88"/>
      <c r="G589" s="88"/>
      <c r="H589" s="88"/>
    </row>
    <row r="590" spans="4:8" ht="15.75">
      <c r="D590" s="88"/>
      <c r="E590" s="88"/>
      <c r="F590" s="88"/>
      <c r="G590" s="88"/>
      <c r="H590" s="88"/>
    </row>
    <row r="591" spans="4:8" ht="15.75">
      <c r="D591" s="88"/>
      <c r="E591" s="88"/>
      <c r="F591" s="88"/>
      <c r="G591" s="88"/>
      <c r="H591" s="88"/>
    </row>
    <row r="592" spans="4:8" ht="15.75">
      <c r="D592" s="88"/>
      <c r="E592" s="88"/>
      <c r="F592" s="88"/>
      <c r="G592" s="88"/>
      <c r="H592" s="88"/>
    </row>
    <row r="593" spans="4:8" ht="15.75">
      <c r="D593" s="88"/>
      <c r="E593" s="88"/>
      <c r="F593" s="88"/>
      <c r="G593" s="88"/>
      <c r="H593" s="88"/>
    </row>
    <row r="594" spans="4:8" ht="15.75">
      <c r="D594" s="88"/>
      <c r="E594" s="88"/>
      <c r="F594" s="88"/>
      <c r="G594" s="88"/>
      <c r="H594" s="88"/>
    </row>
    <row r="595" spans="4:8" ht="15.75">
      <c r="D595" s="88"/>
      <c r="E595" s="88"/>
      <c r="F595" s="88"/>
      <c r="G595" s="88"/>
      <c r="H595" s="88"/>
    </row>
    <row r="596" spans="4:8" ht="15.75">
      <c r="D596" s="88"/>
      <c r="E596" s="88"/>
      <c r="F596" s="88"/>
      <c r="G596" s="88"/>
      <c r="H596" s="88"/>
    </row>
    <row r="597" spans="4:8" ht="15.75">
      <c r="D597" s="88"/>
      <c r="E597" s="88"/>
      <c r="F597" s="88"/>
      <c r="G597" s="88"/>
      <c r="H597" s="88"/>
    </row>
    <row r="598" spans="4:8" ht="15.75">
      <c r="D598" s="88"/>
      <c r="E598" s="88"/>
      <c r="F598" s="88"/>
      <c r="G598" s="88"/>
      <c r="H598" s="88"/>
    </row>
    <row r="599" spans="4:8" ht="15.75">
      <c r="D599" s="88"/>
      <c r="E599" s="88"/>
      <c r="F599" s="88"/>
      <c r="G599" s="88"/>
      <c r="H599" s="88"/>
    </row>
    <row r="600" spans="4:8" ht="15.75">
      <c r="D600" s="88"/>
      <c r="E600" s="88"/>
      <c r="F600" s="88"/>
      <c r="G600" s="88"/>
      <c r="H600" s="88"/>
    </row>
    <row r="601" spans="4:8" ht="15.75">
      <c r="D601" s="88"/>
      <c r="E601" s="88"/>
      <c r="F601" s="88"/>
      <c r="G601" s="88"/>
      <c r="H601" s="88"/>
    </row>
    <row r="602" spans="4:8" ht="15.75">
      <c r="D602" s="88"/>
      <c r="E602" s="88"/>
      <c r="F602" s="88"/>
      <c r="G602" s="88"/>
      <c r="H602" s="88"/>
    </row>
    <row r="603" spans="4:8" ht="15.75">
      <c r="D603" s="88"/>
      <c r="E603" s="88"/>
      <c r="F603" s="88"/>
      <c r="G603" s="88"/>
      <c r="H603" s="88"/>
    </row>
    <row r="604" spans="4:8" ht="15.75">
      <c r="D604" s="88"/>
      <c r="E604" s="88"/>
      <c r="F604" s="88"/>
      <c r="G604" s="88"/>
      <c r="H604" s="88"/>
    </row>
    <row r="605" spans="4:8" ht="15.75">
      <c r="D605" s="88"/>
      <c r="E605" s="88"/>
      <c r="F605" s="88"/>
      <c r="G605" s="88"/>
      <c r="H605" s="88"/>
    </row>
    <row r="606" spans="4:8" ht="15.75">
      <c r="D606" s="88"/>
      <c r="E606" s="88"/>
      <c r="F606" s="88"/>
      <c r="G606" s="88"/>
      <c r="H606" s="88"/>
    </row>
    <row r="607" spans="4:8" ht="15.75">
      <c r="D607" s="88"/>
      <c r="E607" s="88"/>
      <c r="F607" s="88"/>
      <c r="G607" s="88"/>
      <c r="H607" s="88"/>
    </row>
    <row r="608" spans="4:8" ht="15.75">
      <c r="D608" s="88"/>
      <c r="E608" s="88"/>
      <c r="F608" s="88"/>
      <c r="G608" s="88"/>
      <c r="H608" s="88"/>
    </row>
    <row r="609" spans="4:8" ht="15.75">
      <c r="D609" s="88"/>
      <c r="E609" s="88"/>
      <c r="F609" s="88"/>
      <c r="G609" s="88"/>
      <c r="H609" s="88"/>
    </row>
    <row r="610" spans="4:8" ht="15.75">
      <c r="D610" s="88"/>
      <c r="E610" s="88"/>
      <c r="F610" s="88"/>
      <c r="G610" s="88"/>
      <c r="H610" s="88"/>
    </row>
    <row r="611" spans="4:8" ht="15.75">
      <c r="D611" s="88"/>
      <c r="E611" s="88"/>
      <c r="F611" s="88"/>
      <c r="G611" s="88"/>
      <c r="H611" s="88"/>
    </row>
    <row r="612" spans="4:8" ht="15.75">
      <c r="D612" s="88"/>
      <c r="E612" s="88"/>
      <c r="F612" s="88"/>
      <c r="G612" s="88"/>
      <c r="H612" s="88"/>
    </row>
    <row r="613" spans="4:8" ht="15.75">
      <c r="D613" s="88"/>
      <c r="E613" s="88"/>
      <c r="F613" s="88"/>
      <c r="G613" s="88"/>
      <c r="H613" s="88"/>
    </row>
    <row r="614" spans="4:8" ht="15.75">
      <c r="D614" s="88"/>
      <c r="E614" s="88"/>
      <c r="F614" s="88"/>
      <c r="G614" s="88"/>
      <c r="H614" s="88"/>
    </row>
    <row r="615" spans="4:8" ht="15.75">
      <c r="D615" s="88"/>
      <c r="E615" s="88"/>
      <c r="F615" s="88"/>
      <c r="G615" s="88"/>
      <c r="H615" s="88"/>
    </row>
    <row r="616" spans="4:8" ht="15.75">
      <c r="D616" s="88"/>
      <c r="E616" s="88"/>
      <c r="F616" s="88"/>
      <c r="G616" s="88"/>
      <c r="H616" s="88"/>
    </row>
    <row r="617" spans="4:8" ht="15.75">
      <c r="D617" s="88"/>
      <c r="E617" s="88"/>
      <c r="F617" s="88"/>
      <c r="G617" s="88"/>
      <c r="H617" s="88"/>
    </row>
    <row r="618" spans="4:8" ht="15.75">
      <c r="D618" s="88"/>
      <c r="E618" s="88"/>
      <c r="F618" s="88"/>
      <c r="G618" s="88"/>
      <c r="H618" s="88"/>
    </row>
    <row r="619" spans="4:8" ht="15.75">
      <c r="D619" s="88"/>
      <c r="E619" s="88"/>
      <c r="F619" s="88"/>
      <c r="G619" s="88"/>
      <c r="H619" s="88"/>
    </row>
    <row r="620" spans="4:8" ht="15.75">
      <c r="D620" s="88"/>
      <c r="E620" s="88"/>
      <c r="F620" s="88"/>
      <c r="G620" s="88"/>
      <c r="H620" s="88"/>
    </row>
    <row r="621" spans="4:8" ht="15.75">
      <c r="D621" s="88"/>
      <c r="E621" s="88"/>
      <c r="F621" s="88"/>
      <c r="G621" s="88"/>
      <c r="H621" s="88"/>
    </row>
    <row r="622" spans="4:8" ht="15.75">
      <c r="D622" s="88"/>
      <c r="E622" s="88"/>
      <c r="F622" s="88"/>
      <c r="G622" s="88"/>
      <c r="H622" s="88"/>
    </row>
    <row r="623" spans="4:8" ht="15.75">
      <c r="D623" s="88"/>
      <c r="E623" s="88"/>
      <c r="F623" s="88"/>
      <c r="G623" s="88"/>
      <c r="H623" s="88"/>
    </row>
    <row r="624" spans="4:8" ht="15.75">
      <c r="D624" s="88"/>
      <c r="E624" s="88"/>
      <c r="F624" s="88"/>
      <c r="G624" s="88"/>
      <c r="H624" s="88"/>
    </row>
    <row r="625" spans="4:8" ht="15.75">
      <c r="D625" s="88"/>
      <c r="E625" s="88"/>
      <c r="F625" s="88"/>
      <c r="G625" s="88"/>
      <c r="H625" s="88"/>
    </row>
    <row r="626" spans="4:8" ht="15.75">
      <c r="D626" s="88"/>
      <c r="E626" s="88"/>
      <c r="F626" s="88"/>
      <c r="G626" s="88"/>
      <c r="H626" s="88"/>
    </row>
    <row r="627" spans="4:8" ht="15.75">
      <c r="D627" s="88"/>
      <c r="E627" s="88"/>
      <c r="F627" s="88"/>
      <c r="G627" s="88"/>
      <c r="H627" s="88"/>
    </row>
    <row r="628" spans="4:8" ht="15.75">
      <c r="D628" s="88"/>
      <c r="E628" s="88"/>
      <c r="F628" s="88"/>
      <c r="G628" s="88"/>
      <c r="H628" s="88"/>
    </row>
    <row r="629" spans="4:8" ht="15.75">
      <c r="D629" s="88"/>
      <c r="E629" s="88"/>
      <c r="F629" s="88"/>
      <c r="G629" s="88"/>
      <c r="H629" s="88"/>
    </row>
    <row r="630" spans="4:8" ht="15.75">
      <c r="D630" s="88"/>
      <c r="E630" s="88"/>
      <c r="F630" s="88"/>
      <c r="G630" s="88"/>
      <c r="H630" s="88"/>
    </row>
    <row r="631" spans="4:8" ht="15.75">
      <c r="D631" s="88"/>
      <c r="E631" s="88"/>
      <c r="F631" s="88"/>
      <c r="G631" s="88"/>
      <c r="H631" s="88"/>
    </row>
    <row r="632" spans="4:8" ht="15.75">
      <c r="D632" s="88"/>
      <c r="E632" s="88"/>
      <c r="F632" s="88"/>
      <c r="G632" s="88"/>
      <c r="H632" s="88"/>
    </row>
    <row r="633" spans="4:8" ht="15.75">
      <c r="D633" s="88"/>
      <c r="E633" s="88"/>
      <c r="F633" s="88"/>
      <c r="G633" s="88"/>
      <c r="H633" s="88"/>
    </row>
    <row r="634" spans="4:8" ht="15.75">
      <c r="D634" s="88"/>
      <c r="E634" s="88"/>
      <c r="F634" s="88"/>
      <c r="G634" s="88"/>
      <c r="H634" s="88"/>
    </row>
    <row r="635" spans="4:8" ht="15.75">
      <c r="D635" s="88"/>
      <c r="E635" s="88"/>
      <c r="F635" s="88"/>
      <c r="G635" s="88"/>
      <c r="H635" s="88"/>
    </row>
    <row r="636" spans="4:8" ht="15.75">
      <c r="D636" s="88"/>
      <c r="E636" s="88"/>
      <c r="F636" s="88"/>
      <c r="G636" s="88"/>
      <c r="H636" s="88"/>
    </row>
    <row r="637" spans="4:8" ht="15.75">
      <c r="D637" s="88"/>
      <c r="E637" s="88"/>
      <c r="F637" s="88"/>
      <c r="G637" s="88"/>
      <c r="H637" s="88"/>
    </row>
    <row r="638" spans="4:8" ht="15.75">
      <c r="D638" s="88"/>
      <c r="E638" s="88"/>
      <c r="F638" s="88"/>
      <c r="G638" s="88"/>
      <c r="H638" s="88"/>
    </row>
    <row r="639" spans="4:8" ht="15.75">
      <c r="D639" s="88"/>
      <c r="E639" s="88"/>
      <c r="F639" s="88"/>
      <c r="G639" s="88"/>
      <c r="H639" s="88"/>
    </row>
    <row r="640" spans="4:8" ht="15.75">
      <c r="D640" s="88"/>
      <c r="E640" s="88"/>
      <c r="F640" s="88"/>
      <c r="G640" s="88"/>
      <c r="H640" s="88"/>
    </row>
    <row r="641" spans="4:8" ht="15.75">
      <c r="D641" s="88"/>
      <c r="E641" s="88"/>
      <c r="F641" s="88"/>
      <c r="G641" s="88"/>
      <c r="H641" s="88"/>
    </row>
    <row r="642" spans="4:8" ht="15.75">
      <c r="D642" s="88"/>
      <c r="E642" s="88"/>
      <c r="F642" s="88"/>
      <c r="G642" s="88"/>
      <c r="H642" s="88"/>
    </row>
    <row r="643" spans="4:8" ht="15.75">
      <c r="D643" s="88"/>
      <c r="E643" s="88"/>
      <c r="F643" s="88"/>
      <c r="G643" s="88"/>
      <c r="H643" s="88"/>
    </row>
    <row r="644" spans="4:8" ht="15.75">
      <c r="D644" s="88"/>
      <c r="E644" s="88"/>
      <c r="F644" s="88"/>
      <c r="G644" s="88"/>
      <c r="H644" s="88"/>
    </row>
    <row r="645" spans="4:8" ht="15.75">
      <c r="D645" s="88"/>
      <c r="E645" s="88"/>
      <c r="F645" s="88"/>
      <c r="G645" s="88"/>
      <c r="H645" s="88"/>
    </row>
    <row r="646" spans="4:8" ht="15.75">
      <c r="D646" s="88"/>
      <c r="E646" s="88"/>
      <c r="F646" s="88"/>
      <c r="G646" s="88"/>
      <c r="H646" s="88"/>
    </row>
    <row r="647" spans="4:8" ht="15.75">
      <c r="D647" s="88"/>
      <c r="E647" s="88"/>
      <c r="F647" s="88"/>
      <c r="G647" s="88"/>
      <c r="H647" s="88"/>
    </row>
    <row r="648" spans="4:8" ht="15.75">
      <c r="D648" s="88"/>
      <c r="E648" s="88"/>
      <c r="F648" s="88"/>
      <c r="G648" s="88"/>
      <c r="H648" s="88"/>
    </row>
    <row r="649" spans="4:8" ht="15.75">
      <c r="D649" s="88"/>
      <c r="E649" s="88"/>
      <c r="F649" s="88"/>
      <c r="G649" s="88"/>
      <c r="H649" s="88"/>
    </row>
    <row r="650" spans="4:8" ht="15.75">
      <c r="D650" s="88"/>
      <c r="E650" s="88"/>
      <c r="F650" s="88"/>
      <c r="G650" s="88"/>
      <c r="H650" s="88"/>
    </row>
    <row r="651" spans="4:8" ht="15.75">
      <c r="D651" s="88"/>
      <c r="E651" s="88"/>
      <c r="F651" s="88"/>
      <c r="G651" s="88"/>
      <c r="H651" s="88"/>
    </row>
    <row r="652" spans="4:8" ht="15.75">
      <c r="D652" s="88"/>
      <c r="E652" s="88"/>
      <c r="F652" s="88"/>
      <c r="G652" s="88"/>
      <c r="H652" s="88"/>
    </row>
    <row r="653" spans="4:8" ht="15.75">
      <c r="D653" s="88"/>
      <c r="E653" s="88"/>
      <c r="F653" s="88"/>
      <c r="G653" s="88"/>
      <c r="H653" s="88"/>
    </row>
    <row r="654" spans="4:8" ht="15.75">
      <c r="D654" s="88"/>
      <c r="E654" s="88"/>
      <c r="F654" s="88"/>
      <c r="G654" s="88"/>
      <c r="H654" s="88"/>
    </row>
    <row r="655" spans="4:8" ht="15.75">
      <c r="D655" s="88"/>
      <c r="E655" s="88"/>
      <c r="F655" s="88"/>
      <c r="G655" s="88"/>
      <c r="H655" s="88"/>
    </row>
    <row r="656" spans="4:8" ht="15.75">
      <c r="D656" s="88"/>
      <c r="E656" s="88"/>
      <c r="F656" s="88"/>
      <c r="G656" s="88"/>
      <c r="H656" s="88"/>
    </row>
    <row r="657" spans="4:8" ht="15.75">
      <c r="D657" s="88"/>
      <c r="E657" s="88"/>
      <c r="F657" s="88"/>
      <c r="G657" s="88"/>
      <c r="H657" s="88"/>
    </row>
    <row r="658" spans="4:8" ht="15.75">
      <c r="D658" s="88"/>
      <c r="E658" s="88"/>
      <c r="F658" s="88"/>
      <c r="G658" s="88"/>
      <c r="H658" s="88"/>
    </row>
    <row r="659" spans="4:8" ht="15.75">
      <c r="D659" s="88"/>
      <c r="E659" s="88"/>
      <c r="F659" s="88"/>
      <c r="G659" s="88"/>
      <c r="H659" s="88"/>
    </row>
    <row r="660" spans="4:8" ht="15.75">
      <c r="D660" s="88"/>
      <c r="E660" s="88"/>
      <c r="F660" s="88"/>
      <c r="G660" s="88"/>
      <c r="H660" s="88"/>
    </row>
    <row r="661" spans="4:8" ht="15.75">
      <c r="D661" s="88"/>
      <c r="E661" s="88"/>
      <c r="F661" s="88"/>
      <c r="G661" s="88"/>
      <c r="H661" s="88"/>
    </row>
    <row r="662" spans="4:8" ht="15.75">
      <c r="D662" s="88"/>
      <c r="E662" s="88"/>
      <c r="F662" s="88"/>
      <c r="G662" s="88"/>
      <c r="H662" s="88"/>
    </row>
    <row r="663" spans="4:8" ht="15.75">
      <c r="D663" s="88"/>
      <c r="E663" s="88"/>
      <c r="F663" s="88"/>
      <c r="G663" s="88"/>
      <c r="H663" s="88"/>
    </row>
    <row r="664" spans="4:8" ht="15.75">
      <c r="D664" s="88"/>
      <c r="E664" s="88"/>
      <c r="F664" s="88"/>
      <c r="G664" s="88"/>
      <c r="H664" s="88"/>
    </row>
    <row r="665" spans="4:8" ht="15.75">
      <c r="D665" s="88"/>
      <c r="E665" s="88"/>
      <c r="F665" s="88"/>
      <c r="G665" s="88"/>
      <c r="H665" s="88"/>
    </row>
    <row r="666" spans="4:8" ht="15.75">
      <c r="D666" s="88"/>
      <c r="E666" s="88"/>
      <c r="F666" s="88"/>
      <c r="G666" s="88"/>
      <c r="H666" s="88"/>
    </row>
    <row r="667" spans="4:8" ht="15.75">
      <c r="D667" s="88"/>
      <c r="E667" s="88"/>
      <c r="F667" s="88"/>
      <c r="G667" s="88"/>
      <c r="H667" s="88"/>
    </row>
    <row r="668" spans="4:8" ht="15.75">
      <c r="D668" s="88"/>
      <c r="E668" s="88"/>
      <c r="F668" s="88"/>
      <c r="G668" s="88"/>
      <c r="H668" s="88"/>
    </row>
    <row r="669" spans="4:8" ht="15.75">
      <c r="D669" s="88"/>
      <c r="E669" s="88"/>
      <c r="F669" s="88"/>
      <c r="G669" s="88"/>
      <c r="H669" s="88"/>
    </row>
    <row r="670" spans="4:8" ht="15.75">
      <c r="D670" s="88"/>
      <c r="E670" s="88"/>
      <c r="F670" s="88"/>
      <c r="G670" s="88"/>
      <c r="H670" s="88"/>
    </row>
    <row r="671" spans="4:8" ht="15.75">
      <c r="D671" s="88"/>
      <c r="E671" s="88"/>
      <c r="F671" s="88"/>
      <c r="G671" s="88"/>
      <c r="H671" s="88"/>
    </row>
    <row r="672" spans="4:8" ht="15.75">
      <c r="D672" s="88"/>
      <c r="E672" s="88"/>
      <c r="F672" s="88"/>
      <c r="G672" s="88"/>
      <c r="H672" s="88"/>
    </row>
    <row r="673" spans="4:8" ht="15.75">
      <c r="D673" s="88"/>
      <c r="E673" s="88"/>
      <c r="F673" s="88"/>
      <c r="G673" s="88"/>
      <c r="H673" s="88"/>
    </row>
    <row r="674" spans="4:8" ht="15.75">
      <c r="D674" s="88"/>
      <c r="E674" s="88"/>
      <c r="F674" s="88"/>
      <c r="G674" s="88"/>
      <c r="H674" s="88"/>
    </row>
    <row r="675" spans="4:8" ht="15.75">
      <c r="D675" s="88"/>
      <c r="E675" s="88"/>
      <c r="F675" s="88"/>
      <c r="G675" s="88"/>
      <c r="H675" s="88"/>
    </row>
    <row r="676" spans="4:8" ht="15.75">
      <c r="D676" s="88"/>
      <c r="E676" s="88"/>
      <c r="F676" s="88"/>
      <c r="G676" s="88"/>
      <c r="H676" s="88"/>
    </row>
    <row r="677" spans="4:8" ht="15.75">
      <c r="D677" s="88"/>
      <c r="E677" s="88"/>
      <c r="F677" s="88"/>
      <c r="G677" s="88"/>
      <c r="H677" s="88"/>
    </row>
    <row r="678" spans="4:8" ht="15.75">
      <c r="D678" s="88"/>
      <c r="E678" s="88"/>
      <c r="F678" s="88"/>
      <c r="G678" s="88"/>
      <c r="H678" s="88"/>
    </row>
    <row r="679" spans="4:8" ht="15.75">
      <c r="D679" s="88"/>
      <c r="E679" s="88"/>
      <c r="F679" s="88"/>
      <c r="G679" s="88"/>
      <c r="H679" s="88"/>
    </row>
    <row r="680" spans="4:8" ht="15.75">
      <c r="D680" s="88"/>
      <c r="E680" s="88"/>
      <c r="F680" s="88"/>
      <c r="G680" s="88"/>
      <c r="H680" s="88"/>
    </row>
    <row r="681" spans="4:8" ht="15.75">
      <c r="D681" s="88"/>
      <c r="E681" s="88"/>
      <c r="F681" s="88"/>
      <c r="G681" s="88"/>
      <c r="H681" s="88"/>
    </row>
    <row r="682" spans="4:8" ht="15.75">
      <c r="D682" s="88"/>
      <c r="E682" s="88"/>
      <c r="F682" s="88"/>
      <c r="G682" s="88"/>
      <c r="H682" s="88"/>
    </row>
    <row r="683" spans="4:8" ht="15.75">
      <c r="D683" s="88"/>
      <c r="E683" s="88"/>
      <c r="F683" s="88"/>
      <c r="G683" s="88"/>
      <c r="H683" s="88"/>
    </row>
    <row r="684" spans="4:8" ht="15.75">
      <c r="D684" s="88"/>
      <c r="E684" s="88"/>
      <c r="F684" s="88"/>
      <c r="G684" s="88"/>
      <c r="H684" s="88"/>
    </row>
    <row r="685" spans="4:8" ht="15.75">
      <c r="D685" s="88"/>
      <c r="E685" s="88"/>
      <c r="F685" s="88"/>
      <c r="G685" s="88"/>
      <c r="H685" s="88"/>
    </row>
    <row r="686" spans="4:8" ht="15.75">
      <c r="D686" s="88"/>
      <c r="E686" s="88"/>
      <c r="F686" s="88"/>
      <c r="G686" s="88"/>
      <c r="H686" s="88"/>
    </row>
    <row r="687" spans="4:8" ht="15.75">
      <c r="D687" s="88"/>
      <c r="E687" s="88"/>
      <c r="F687" s="88"/>
      <c r="G687" s="88"/>
      <c r="H687" s="88"/>
    </row>
    <row r="688" spans="4:8" ht="15.75">
      <c r="D688" s="88"/>
      <c r="E688" s="88"/>
      <c r="F688" s="88"/>
      <c r="G688" s="88"/>
      <c r="H688" s="88"/>
    </row>
    <row r="689" spans="4:8" ht="15.75">
      <c r="D689" s="88"/>
      <c r="E689" s="88"/>
      <c r="F689" s="88"/>
      <c r="G689" s="88"/>
      <c r="H689" s="88"/>
    </row>
    <row r="690" spans="4:8" ht="15.75">
      <c r="D690" s="88"/>
      <c r="E690" s="88"/>
      <c r="F690" s="88"/>
      <c r="G690" s="88"/>
      <c r="H690" s="88"/>
    </row>
    <row r="691" spans="4:8" ht="15.75">
      <c r="D691" s="88"/>
      <c r="E691" s="88"/>
      <c r="F691" s="88"/>
      <c r="G691" s="88"/>
      <c r="H691" s="88"/>
    </row>
    <row r="692" spans="4:8" ht="15.75">
      <c r="D692" s="88"/>
      <c r="E692" s="88"/>
      <c r="F692" s="88"/>
      <c r="G692" s="88"/>
      <c r="H692" s="88"/>
    </row>
    <row r="693" spans="4:8" ht="15.75">
      <c r="D693" s="88"/>
      <c r="E693" s="88"/>
      <c r="F693" s="88"/>
      <c r="G693" s="88"/>
      <c r="H693" s="88"/>
    </row>
    <row r="694" spans="4:8" ht="15.75">
      <c r="D694" s="88"/>
      <c r="E694" s="88"/>
      <c r="F694" s="88"/>
      <c r="G694" s="88"/>
      <c r="H694" s="88"/>
    </row>
    <row r="695" spans="4:8" ht="15.75">
      <c r="D695" s="88"/>
      <c r="E695" s="88"/>
      <c r="F695" s="88"/>
      <c r="G695" s="88"/>
      <c r="H695" s="88"/>
    </row>
    <row r="696" spans="4:8" ht="15.75">
      <c r="D696" s="88"/>
      <c r="E696" s="88"/>
      <c r="F696" s="88"/>
      <c r="G696" s="88"/>
      <c r="H696" s="88"/>
    </row>
    <row r="697" spans="4:8" ht="15.75">
      <c r="D697" s="88"/>
      <c r="E697" s="88"/>
      <c r="F697" s="88"/>
      <c r="G697" s="88"/>
      <c r="H697" s="88"/>
    </row>
    <row r="698" spans="4:8" ht="15.75">
      <c r="D698" s="88"/>
      <c r="E698" s="88"/>
      <c r="F698" s="88"/>
      <c r="G698" s="88"/>
      <c r="H698" s="88"/>
    </row>
    <row r="699" spans="4:8" ht="15.75">
      <c r="D699" s="88"/>
      <c r="E699" s="88"/>
      <c r="F699" s="88"/>
      <c r="G699" s="88"/>
      <c r="H699" s="88"/>
    </row>
    <row r="700" spans="4:8" ht="15.75">
      <c r="D700" s="88"/>
      <c r="E700" s="88"/>
      <c r="F700" s="88"/>
      <c r="G700" s="88"/>
      <c r="H700" s="88"/>
    </row>
    <row r="701" spans="4:8" ht="15.75">
      <c r="D701" s="88"/>
      <c r="E701" s="88"/>
      <c r="F701" s="88"/>
      <c r="G701" s="88"/>
      <c r="H701" s="88"/>
    </row>
    <row r="702" spans="4:8" ht="15.75">
      <c r="D702" s="88"/>
      <c r="E702" s="88"/>
      <c r="F702" s="88"/>
      <c r="G702" s="88"/>
      <c r="H702" s="88"/>
    </row>
    <row r="703" spans="4:8" ht="15.75">
      <c r="D703" s="88"/>
      <c r="E703" s="88"/>
      <c r="F703" s="88"/>
      <c r="G703" s="88"/>
      <c r="H703" s="88"/>
    </row>
    <row r="704" spans="4:8" ht="15.75">
      <c r="D704" s="88"/>
      <c r="E704" s="88"/>
      <c r="F704" s="88"/>
      <c r="G704" s="88"/>
      <c r="H704" s="88"/>
    </row>
    <row r="705" spans="4:8" ht="15.75">
      <c r="D705" s="88"/>
      <c r="E705" s="88"/>
      <c r="F705" s="88"/>
      <c r="G705" s="88"/>
      <c r="H705" s="88"/>
    </row>
    <row r="706" spans="4:8" ht="15.75">
      <c r="D706" s="88"/>
      <c r="E706" s="88"/>
      <c r="F706" s="88"/>
      <c r="G706" s="88"/>
      <c r="H706" s="88"/>
    </row>
    <row r="707" spans="4:8" ht="15.75">
      <c r="D707" s="88"/>
      <c r="E707" s="88"/>
      <c r="F707" s="88"/>
      <c r="G707" s="88"/>
      <c r="H707" s="88"/>
    </row>
    <row r="708" spans="4:8" ht="15.75">
      <c r="D708" s="88"/>
      <c r="E708" s="88"/>
      <c r="F708" s="88"/>
      <c r="G708" s="88"/>
      <c r="H708" s="88"/>
    </row>
    <row r="709" spans="4:8" ht="15.75">
      <c r="D709" s="88"/>
      <c r="E709" s="88"/>
      <c r="F709" s="88"/>
      <c r="G709" s="88"/>
      <c r="H709" s="88"/>
    </row>
    <row r="710" spans="4:8" ht="15.75">
      <c r="D710" s="88"/>
      <c r="E710" s="88"/>
      <c r="F710" s="88"/>
      <c r="G710" s="88"/>
      <c r="H710" s="88"/>
    </row>
    <row r="711" spans="4:8" ht="15.75">
      <c r="D711" s="88"/>
      <c r="E711" s="88"/>
      <c r="F711" s="88"/>
      <c r="G711" s="88"/>
      <c r="H711" s="88"/>
    </row>
    <row r="712" spans="4:8" ht="15.75">
      <c r="D712" s="88"/>
      <c r="E712" s="88"/>
      <c r="F712" s="88"/>
      <c r="G712" s="88"/>
      <c r="H712" s="88"/>
    </row>
    <row r="713" spans="4:8" ht="15.75">
      <c r="D713" s="88"/>
      <c r="E713" s="88"/>
      <c r="F713" s="88"/>
      <c r="G713" s="88"/>
      <c r="H713" s="88"/>
    </row>
    <row r="714" spans="4:8" ht="15.75">
      <c r="D714" s="88"/>
      <c r="E714" s="88"/>
      <c r="F714" s="88"/>
      <c r="G714" s="88"/>
      <c r="H714" s="88"/>
    </row>
    <row r="715" spans="4:8" ht="15.75">
      <c r="D715" s="88"/>
      <c r="E715" s="88"/>
      <c r="F715" s="88"/>
      <c r="G715" s="88"/>
      <c r="H715" s="88"/>
    </row>
    <row r="716" spans="4:8" ht="15.75">
      <c r="D716" s="88"/>
      <c r="E716" s="88"/>
      <c r="F716" s="88"/>
      <c r="G716" s="88"/>
      <c r="H716" s="88"/>
    </row>
    <row r="717" spans="4:8" ht="15.75">
      <c r="D717" s="88"/>
      <c r="E717" s="88"/>
      <c r="F717" s="88"/>
      <c r="G717" s="88"/>
      <c r="H717" s="88"/>
    </row>
    <row r="718" spans="4:8" ht="15.75">
      <c r="D718" s="88"/>
      <c r="E718" s="88"/>
      <c r="F718" s="88"/>
      <c r="G718" s="88"/>
      <c r="H718" s="88"/>
    </row>
    <row r="719" spans="4:8" ht="15.75">
      <c r="D719" s="88"/>
      <c r="E719" s="88"/>
      <c r="F719" s="88"/>
      <c r="G719" s="88"/>
      <c r="H719" s="88"/>
    </row>
    <row r="720" spans="4:8" ht="15.75">
      <c r="D720" s="88"/>
      <c r="E720" s="88"/>
      <c r="F720" s="88"/>
      <c r="G720" s="88"/>
      <c r="H720" s="88"/>
    </row>
    <row r="721" spans="4:8" ht="15.75">
      <c r="D721" s="88"/>
      <c r="E721" s="88"/>
      <c r="F721" s="88"/>
      <c r="G721" s="88"/>
      <c r="H721" s="88"/>
    </row>
    <row r="722" spans="4:8" ht="15.75">
      <c r="D722" s="88"/>
      <c r="E722" s="88"/>
      <c r="F722" s="88"/>
      <c r="G722" s="88"/>
      <c r="H722" s="88"/>
    </row>
    <row r="723" spans="4:8" ht="15.75">
      <c r="D723" s="88"/>
      <c r="E723" s="88"/>
      <c r="F723" s="88"/>
      <c r="G723" s="88"/>
      <c r="H723" s="88"/>
    </row>
    <row r="724" spans="4:8" ht="15.75">
      <c r="D724" s="88"/>
      <c r="E724" s="88"/>
      <c r="F724" s="88"/>
      <c r="G724" s="88"/>
      <c r="H724" s="88"/>
    </row>
    <row r="725" spans="4:8" ht="15.75">
      <c r="D725" s="88"/>
      <c r="E725" s="88"/>
      <c r="F725" s="88"/>
      <c r="G725" s="88"/>
      <c r="H725" s="88"/>
    </row>
    <row r="726" spans="4:8" ht="15.75">
      <c r="D726" s="88"/>
      <c r="E726" s="88"/>
      <c r="F726" s="88"/>
      <c r="G726" s="88"/>
      <c r="H726" s="88"/>
    </row>
    <row r="727" spans="4:8" ht="15.75">
      <c r="D727" s="88"/>
      <c r="E727" s="88"/>
      <c r="F727" s="88"/>
      <c r="G727" s="88"/>
      <c r="H727" s="88"/>
    </row>
    <row r="728" spans="4:8" ht="15.75">
      <c r="D728" s="88"/>
      <c r="E728" s="88"/>
      <c r="F728" s="88"/>
      <c r="G728" s="88"/>
      <c r="H728" s="88"/>
    </row>
    <row r="729" spans="4:8" ht="15.75">
      <c r="D729" s="88"/>
      <c r="E729" s="88"/>
      <c r="F729" s="88"/>
      <c r="G729" s="88"/>
      <c r="H729" s="88"/>
    </row>
    <row r="730" spans="4:8" ht="15.75">
      <c r="D730" s="88"/>
      <c r="E730" s="88"/>
      <c r="F730" s="88"/>
      <c r="G730" s="88"/>
      <c r="H730" s="88"/>
    </row>
    <row r="731" spans="4:8" ht="15.75">
      <c r="D731" s="88"/>
      <c r="E731" s="88"/>
      <c r="F731" s="88"/>
      <c r="G731" s="88"/>
      <c r="H731" s="88"/>
    </row>
    <row r="732" spans="4:8" ht="15.75">
      <c r="D732" s="88"/>
      <c r="E732" s="88"/>
      <c r="F732" s="88"/>
      <c r="G732" s="88"/>
      <c r="H732" s="88"/>
    </row>
    <row r="733" spans="4:8" ht="15.75">
      <c r="D733" s="88"/>
      <c r="E733" s="88"/>
      <c r="F733" s="88"/>
      <c r="G733" s="88"/>
      <c r="H733" s="88"/>
    </row>
    <row r="734" spans="4:8" ht="15.75">
      <c r="D734" s="88"/>
      <c r="E734" s="88"/>
      <c r="F734" s="88"/>
      <c r="G734" s="88"/>
      <c r="H734" s="88"/>
    </row>
    <row r="735" spans="4:8" ht="15.75">
      <c r="D735" s="88"/>
      <c r="E735" s="88"/>
      <c r="F735" s="88"/>
      <c r="G735" s="88"/>
      <c r="H735" s="88"/>
    </row>
    <row r="736" spans="4:8" ht="15.75">
      <c r="D736" s="88"/>
      <c r="E736" s="88"/>
      <c r="F736" s="88"/>
      <c r="G736" s="88"/>
      <c r="H736" s="88"/>
    </row>
    <row r="737" spans="4:8" ht="15.75">
      <c r="D737" s="88"/>
      <c r="E737" s="88"/>
      <c r="F737" s="88"/>
      <c r="G737" s="88"/>
      <c r="H737" s="88"/>
    </row>
    <row r="738" spans="4:8" ht="15.75">
      <c r="D738" s="88"/>
      <c r="E738" s="88"/>
      <c r="F738" s="88"/>
      <c r="G738" s="88"/>
      <c r="H738" s="88"/>
    </row>
    <row r="739" spans="4:8" ht="15.75">
      <c r="D739" s="88"/>
      <c r="E739" s="88"/>
      <c r="F739" s="88"/>
      <c r="G739" s="88"/>
      <c r="H739" s="88"/>
    </row>
    <row r="740" spans="4:8" ht="15.75">
      <c r="D740" s="88"/>
      <c r="E740" s="88"/>
      <c r="F740" s="88"/>
      <c r="G740" s="88"/>
      <c r="H740" s="88"/>
    </row>
    <row r="741" spans="4:8" ht="15.75">
      <c r="D741" s="88"/>
      <c r="E741" s="88"/>
      <c r="F741" s="88"/>
      <c r="G741" s="88"/>
      <c r="H741" s="88"/>
    </row>
    <row r="742" spans="4:8" ht="15.75">
      <c r="D742" s="88"/>
      <c r="E742" s="88"/>
      <c r="F742" s="88"/>
      <c r="G742" s="88"/>
      <c r="H742" s="88"/>
    </row>
    <row r="743" spans="4:8" ht="15.75">
      <c r="D743" s="88"/>
      <c r="E743" s="88"/>
      <c r="F743" s="88"/>
      <c r="G743" s="88"/>
      <c r="H743" s="88"/>
    </row>
    <row r="744" spans="4:8" ht="15.75">
      <c r="D744" s="88"/>
      <c r="E744" s="88"/>
      <c r="F744" s="88"/>
      <c r="G744" s="88"/>
      <c r="H744" s="88"/>
    </row>
    <row r="745" spans="4:8" ht="15.75">
      <c r="D745" s="88"/>
      <c r="E745" s="88"/>
      <c r="F745" s="88"/>
      <c r="G745" s="88"/>
      <c r="H745" s="88"/>
    </row>
    <row r="746" spans="4:8" ht="15.75">
      <c r="D746" s="88"/>
      <c r="E746" s="88"/>
      <c r="F746" s="88"/>
      <c r="G746" s="88"/>
      <c r="H746" s="88"/>
    </row>
    <row r="747" spans="4:8" ht="15.75">
      <c r="D747" s="88"/>
      <c r="E747" s="88"/>
      <c r="F747" s="88"/>
      <c r="G747" s="88"/>
      <c r="H747" s="88"/>
    </row>
    <row r="748" spans="4:8" ht="15.75">
      <c r="D748" s="88"/>
      <c r="E748" s="88"/>
      <c r="F748" s="88"/>
      <c r="G748" s="88"/>
      <c r="H748" s="88"/>
    </row>
    <row r="749" spans="4:8" ht="15.75">
      <c r="D749" s="88"/>
      <c r="E749" s="88"/>
      <c r="F749" s="88"/>
      <c r="G749" s="88"/>
      <c r="H749" s="88"/>
    </row>
    <row r="750" spans="4:8" ht="15.75">
      <c r="D750" s="88"/>
      <c r="E750" s="88"/>
      <c r="F750" s="88"/>
      <c r="G750" s="88"/>
      <c r="H750" s="88"/>
    </row>
    <row r="751" spans="4:8" ht="15.75">
      <c r="D751" s="88"/>
      <c r="E751" s="88"/>
      <c r="F751" s="88"/>
      <c r="G751" s="88"/>
      <c r="H751" s="88"/>
    </row>
    <row r="752" spans="4:8" ht="15.75">
      <c r="D752" s="88"/>
      <c r="E752" s="88"/>
      <c r="F752" s="88"/>
      <c r="G752" s="88"/>
      <c r="H752" s="88"/>
    </row>
    <row r="753" spans="4:8" ht="15.75">
      <c r="D753" s="88"/>
      <c r="E753" s="88"/>
      <c r="F753" s="88"/>
      <c r="G753" s="88"/>
      <c r="H753" s="88"/>
    </row>
    <row r="754" spans="4:8" ht="15.75">
      <c r="D754" s="88"/>
      <c r="E754" s="88"/>
      <c r="F754" s="88"/>
      <c r="G754" s="88"/>
      <c r="H754" s="88"/>
    </row>
    <row r="755" spans="4:8" ht="15.75">
      <c r="D755" s="88"/>
      <c r="E755" s="88"/>
      <c r="F755" s="88"/>
      <c r="G755" s="88"/>
      <c r="H755" s="88"/>
    </row>
    <row r="756" spans="4:8" ht="15.75">
      <c r="D756" s="88"/>
      <c r="E756" s="88"/>
      <c r="F756" s="88"/>
      <c r="G756" s="88"/>
      <c r="H756" s="88"/>
    </row>
    <row r="757" spans="4:8" ht="15.75">
      <c r="D757" s="88"/>
      <c r="E757" s="88"/>
      <c r="F757" s="88"/>
      <c r="G757" s="88"/>
      <c r="H757" s="88"/>
    </row>
    <row r="758" spans="4:8" ht="15.75">
      <c r="D758" s="88"/>
      <c r="E758" s="88"/>
      <c r="F758" s="88"/>
      <c r="G758" s="88"/>
      <c r="H758" s="88"/>
    </row>
    <row r="759" spans="4:8" ht="15.75">
      <c r="D759" s="88"/>
      <c r="E759" s="88"/>
      <c r="F759" s="88"/>
      <c r="G759" s="88"/>
      <c r="H759" s="88"/>
    </row>
    <row r="760" spans="4:8" ht="15.75">
      <c r="D760" s="88"/>
      <c r="E760" s="88"/>
      <c r="F760" s="88"/>
      <c r="G760" s="88"/>
      <c r="H760" s="88"/>
    </row>
    <row r="761" spans="4:8" ht="15.75">
      <c r="D761" s="88"/>
      <c r="E761" s="88"/>
      <c r="F761" s="88"/>
      <c r="G761" s="88"/>
      <c r="H761" s="88"/>
    </row>
    <row r="762" spans="4:8" ht="15.75">
      <c r="D762" s="88"/>
      <c r="E762" s="88"/>
      <c r="F762" s="88"/>
      <c r="G762" s="88"/>
      <c r="H762" s="88"/>
    </row>
    <row r="763" spans="4:8" ht="15.75">
      <c r="D763" s="88"/>
      <c r="E763" s="88"/>
      <c r="F763" s="88"/>
      <c r="G763" s="88"/>
      <c r="H763" s="88"/>
    </row>
    <row r="764" spans="4:8" ht="15.75">
      <c r="D764" s="88"/>
      <c r="E764" s="88"/>
      <c r="F764" s="88"/>
      <c r="G764" s="88"/>
      <c r="H764" s="88"/>
    </row>
    <row r="765" spans="4:8" ht="15.75">
      <c r="D765" s="88"/>
      <c r="E765" s="88"/>
      <c r="F765" s="88"/>
      <c r="G765" s="88"/>
      <c r="H765" s="88"/>
    </row>
    <row r="766" spans="4:8" ht="15.75">
      <c r="D766" s="88"/>
      <c r="E766" s="88"/>
      <c r="F766" s="88"/>
      <c r="G766" s="88"/>
      <c r="H766" s="88"/>
    </row>
    <row r="767" spans="4:8" ht="15.75">
      <c r="D767" s="88"/>
      <c r="E767" s="88"/>
      <c r="F767" s="88"/>
      <c r="G767" s="88"/>
      <c r="H767" s="88"/>
    </row>
    <row r="768" spans="4:8" ht="15.75">
      <c r="D768" s="88"/>
      <c r="E768" s="88"/>
      <c r="F768" s="88"/>
      <c r="G768" s="88"/>
      <c r="H768" s="88"/>
    </row>
    <row r="769" spans="4:8" ht="15.75">
      <c r="D769" s="88"/>
      <c r="E769" s="88"/>
      <c r="F769" s="88"/>
      <c r="G769" s="88"/>
      <c r="H769" s="88"/>
    </row>
    <row r="770" spans="4:8" ht="15.75">
      <c r="D770" s="88"/>
      <c r="E770" s="88"/>
      <c r="F770" s="88"/>
      <c r="G770" s="88"/>
      <c r="H770" s="88"/>
    </row>
    <row r="771" spans="4:8" ht="15.75">
      <c r="D771" s="88"/>
      <c r="E771" s="88"/>
      <c r="F771" s="88"/>
      <c r="G771" s="88"/>
      <c r="H771" s="88"/>
    </row>
    <row r="772" spans="4:8" ht="15.75">
      <c r="D772" s="88"/>
      <c r="E772" s="88"/>
      <c r="F772" s="88"/>
      <c r="G772" s="88"/>
      <c r="H772" s="88"/>
    </row>
    <row r="773" spans="4:8" ht="15.75">
      <c r="D773" s="88"/>
      <c r="E773" s="88"/>
      <c r="F773" s="88"/>
      <c r="G773" s="88"/>
      <c r="H773" s="88"/>
    </row>
    <row r="774" spans="4:8" ht="15.75">
      <c r="D774" s="88"/>
      <c r="E774" s="88"/>
      <c r="F774" s="88"/>
      <c r="G774" s="88"/>
      <c r="H774" s="88"/>
    </row>
    <row r="775" spans="4:8" ht="15.75">
      <c r="D775" s="88"/>
      <c r="E775" s="88"/>
      <c r="F775" s="88"/>
      <c r="G775" s="88"/>
      <c r="H775" s="88"/>
    </row>
    <row r="776" spans="4:8" ht="15.75">
      <c r="D776" s="88"/>
      <c r="E776" s="88"/>
      <c r="F776" s="88"/>
      <c r="G776" s="88"/>
      <c r="H776" s="88"/>
    </row>
    <row r="777" spans="4:8" ht="15.75">
      <c r="D777" s="88"/>
      <c r="E777" s="88"/>
      <c r="F777" s="88"/>
      <c r="G777" s="88"/>
      <c r="H777" s="88"/>
    </row>
    <row r="778" spans="4:8" ht="15.75">
      <c r="D778" s="88"/>
      <c r="E778" s="88"/>
      <c r="F778" s="88"/>
      <c r="G778" s="88"/>
      <c r="H778" s="88"/>
    </row>
    <row r="779" spans="4:8" ht="15.75">
      <c r="D779" s="88"/>
      <c r="E779" s="88"/>
      <c r="F779" s="88"/>
      <c r="G779" s="88"/>
      <c r="H779" s="88"/>
    </row>
    <row r="780" spans="4:8" ht="15.75">
      <c r="D780" s="88"/>
      <c r="E780" s="88"/>
      <c r="F780" s="88"/>
      <c r="G780" s="88"/>
      <c r="H780" s="88"/>
    </row>
    <row r="781" spans="4:8" ht="15.75">
      <c r="D781" s="88"/>
      <c r="E781" s="88"/>
      <c r="F781" s="88"/>
      <c r="G781" s="88"/>
      <c r="H781" s="88"/>
    </row>
    <row r="782" spans="4:8" ht="15.75">
      <c r="D782" s="88"/>
      <c r="E782" s="88"/>
      <c r="F782" s="88"/>
      <c r="G782" s="88"/>
      <c r="H782" s="88"/>
    </row>
    <row r="783" spans="4:8" ht="15.75">
      <c r="D783" s="88"/>
      <c r="E783" s="88"/>
      <c r="F783" s="88"/>
      <c r="G783" s="88"/>
      <c r="H783" s="88"/>
    </row>
    <row r="784" spans="4:8" ht="15.75">
      <c r="D784" s="88"/>
      <c r="E784" s="88"/>
      <c r="F784" s="88"/>
      <c r="G784" s="88"/>
      <c r="H784" s="88"/>
    </row>
    <row r="785" spans="4:8" ht="15.75">
      <c r="D785" s="88"/>
      <c r="E785" s="88"/>
      <c r="F785" s="88"/>
      <c r="G785" s="88"/>
      <c r="H785" s="88"/>
    </row>
    <row r="786" spans="4:8" ht="15.75">
      <c r="D786" s="88"/>
      <c r="E786" s="88"/>
      <c r="F786" s="88"/>
      <c r="G786" s="88"/>
      <c r="H786" s="88"/>
    </row>
    <row r="787" spans="4:8" ht="15.75">
      <c r="D787" s="88"/>
      <c r="E787" s="88"/>
      <c r="F787" s="88"/>
      <c r="G787" s="88"/>
      <c r="H787" s="88"/>
    </row>
    <row r="788" spans="4:8" ht="15.75">
      <c r="D788" s="88"/>
      <c r="E788" s="88"/>
      <c r="F788" s="88"/>
      <c r="G788" s="88"/>
      <c r="H788" s="88"/>
    </row>
    <row r="789" spans="4:8" ht="15.75">
      <c r="D789" s="88"/>
      <c r="E789" s="88"/>
      <c r="F789" s="88"/>
      <c r="G789" s="88"/>
      <c r="H789" s="88"/>
    </row>
    <row r="790" spans="4:8" ht="15.75">
      <c r="D790" s="88"/>
      <c r="E790" s="88"/>
      <c r="F790" s="88"/>
      <c r="G790" s="88"/>
      <c r="H790" s="88"/>
    </row>
    <row r="791" spans="4:8" ht="15.75">
      <c r="D791" s="88"/>
      <c r="E791" s="88"/>
      <c r="F791" s="88"/>
      <c r="G791" s="88"/>
      <c r="H791" s="88"/>
    </row>
    <row r="792" spans="4:8" ht="15.75">
      <c r="D792" s="88"/>
      <c r="E792" s="88"/>
      <c r="F792" s="88"/>
      <c r="G792" s="88"/>
      <c r="H792" s="88"/>
    </row>
    <row r="793" spans="4:8" ht="15.75">
      <c r="D793" s="88"/>
      <c r="E793" s="88"/>
      <c r="F793" s="88"/>
      <c r="G793" s="88"/>
      <c r="H793" s="88"/>
    </row>
    <row r="794" spans="4:8" ht="15.75">
      <c r="D794" s="88"/>
      <c r="E794" s="88"/>
      <c r="F794" s="88"/>
      <c r="G794" s="88"/>
      <c r="H794" s="88"/>
    </row>
    <row r="795" spans="4:8" ht="15.75">
      <c r="D795" s="88"/>
      <c r="E795" s="88"/>
      <c r="F795" s="88"/>
      <c r="G795" s="88"/>
      <c r="H795" s="88"/>
    </row>
    <row r="796" spans="4:8" ht="15.75">
      <c r="D796" s="88"/>
      <c r="E796" s="88"/>
      <c r="F796" s="88"/>
      <c r="G796" s="88"/>
      <c r="H796" s="88"/>
    </row>
    <row r="797" spans="4:8" ht="15.75">
      <c r="D797" s="88"/>
      <c r="E797" s="88"/>
      <c r="F797" s="88"/>
      <c r="G797" s="88"/>
      <c r="H797" s="88"/>
    </row>
    <row r="798" spans="4:8" ht="15.75">
      <c r="D798" s="88"/>
      <c r="E798" s="88"/>
      <c r="F798" s="88"/>
      <c r="G798" s="88"/>
      <c r="H798" s="88"/>
    </row>
    <row r="799" spans="4:8" ht="15.75">
      <c r="D799" s="88"/>
      <c r="E799" s="88"/>
      <c r="F799" s="88"/>
      <c r="G799" s="88"/>
      <c r="H799" s="88"/>
    </row>
    <row r="800" spans="4:8" ht="15.75">
      <c r="D800" s="88"/>
      <c r="E800" s="88"/>
      <c r="F800" s="88"/>
      <c r="G800" s="88"/>
      <c r="H800" s="88"/>
    </row>
    <row r="801" spans="4:8" ht="15.75">
      <c r="D801" s="88"/>
      <c r="E801" s="88"/>
      <c r="F801" s="88"/>
      <c r="G801" s="88"/>
      <c r="H801" s="88"/>
    </row>
    <row r="802" spans="4:8" ht="15.75">
      <c r="D802" s="88"/>
      <c r="E802" s="88"/>
      <c r="F802" s="88"/>
      <c r="G802" s="88"/>
      <c r="H802" s="88"/>
    </row>
    <row r="803" spans="4:8" ht="15.75">
      <c r="D803" s="88"/>
      <c r="E803" s="88"/>
      <c r="F803" s="88"/>
      <c r="G803" s="88"/>
      <c r="H803" s="88"/>
    </row>
    <row r="804" spans="4:8" ht="15.75">
      <c r="D804" s="88"/>
      <c r="E804" s="88"/>
      <c r="F804" s="88"/>
      <c r="G804" s="88"/>
      <c r="H804" s="88"/>
    </row>
    <row r="805" spans="4:8" ht="15.75">
      <c r="D805" s="88"/>
      <c r="E805" s="88"/>
      <c r="F805" s="88"/>
      <c r="G805" s="88"/>
      <c r="H805" s="88"/>
    </row>
    <row r="806" spans="4:8" ht="15.75">
      <c r="D806" s="88"/>
      <c r="E806" s="88"/>
      <c r="F806" s="88"/>
      <c r="G806" s="88"/>
      <c r="H806" s="88"/>
    </row>
    <row r="807" spans="4:8" ht="15.75">
      <c r="D807" s="88"/>
      <c r="E807" s="88"/>
      <c r="F807" s="88"/>
      <c r="G807" s="88"/>
      <c r="H807" s="88"/>
    </row>
    <row r="808" spans="4:8" ht="15.75">
      <c r="D808" s="88"/>
      <c r="E808" s="88"/>
      <c r="F808" s="88"/>
      <c r="G808" s="88"/>
      <c r="H808" s="88"/>
    </row>
    <row r="809" spans="4:8" ht="15.75">
      <c r="D809" s="88"/>
      <c r="E809" s="88"/>
      <c r="F809" s="88"/>
      <c r="G809" s="88"/>
      <c r="H809" s="88"/>
    </row>
    <row r="810" spans="4:8" ht="15.75">
      <c r="D810" s="88"/>
      <c r="E810" s="88"/>
      <c r="F810" s="88"/>
      <c r="G810" s="88"/>
      <c r="H810" s="88"/>
    </row>
    <row r="811" spans="4:8" ht="15.75">
      <c r="D811" s="88"/>
      <c r="E811" s="88"/>
      <c r="F811" s="88"/>
      <c r="G811" s="88"/>
      <c r="H811" s="88"/>
    </row>
    <row r="812" spans="4:8" ht="15.75">
      <c r="D812" s="88"/>
      <c r="E812" s="88"/>
      <c r="F812" s="88"/>
      <c r="G812" s="88"/>
      <c r="H812" s="88"/>
    </row>
    <row r="813" spans="4:8" ht="15.75">
      <c r="D813" s="88"/>
      <c r="E813" s="88"/>
      <c r="F813" s="88"/>
      <c r="G813" s="88"/>
      <c r="H813" s="88"/>
    </row>
    <row r="814" spans="4:8" ht="15.75">
      <c r="D814" s="88"/>
      <c r="E814" s="88"/>
      <c r="F814" s="88"/>
      <c r="G814" s="88"/>
      <c r="H814" s="88"/>
    </row>
    <row r="815" spans="4:8" ht="15.75">
      <c r="D815" s="88"/>
      <c r="E815" s="88"/>
      <c r="F815" s="88"/>
      <c r="G815" s="88"/>
      <c r="H815" s="88"/>
    </row>
    <row r="816" spans="4:8" ht="15.75">
      <c r="D816" s="88"/>
      <c r="E816" s="88"/>
      <c r="F816" s="88"/>
      <c r="G816" s="88"/>
      <c r="H816" s="88"/>
    </row>
    <row r="817" spans="4:8" ht="15.75">
      <c r="D817" s="88"/>
      <c r="E817" s="88"/>
      <c r="F817" s="88"/>
      <c r="G817" s="88"/>
      <c r="H817" s="88"/>
    </row>
    <row r="818" spans="4:8" ht="15.75">
      <c r="D818" s="88"/>
      <c r="E818" s="88"/>
      <c r="F818" s="88"/>
      <c r="G818" s="88"/>
      <c r="H818" s="88"/>
    </row>
    <row r="819" spans="4:8" ht="15.75">
      <c r="D819" s="88"/>
      <c r="E819" s="88"/>
      <c r="F819" s="88"/>
      <c r="G819" s="88"/>
      <c r="H819" s="88"/>
    </row>
    <row r="820" spans="4:8" ht="15.75">
      <c r="D820" s="88"/>
      <c r="E820" s="88"/>
      <c r="F820" s="88"/>
      <c r="G820" s="88"/>
      <c r="H820" s="88"/>
    </row>
    <row r="821" spans="4:8" ht="15.75">
      <c r="D821" s="88"/>
      <c r="E821" s="88"/>
      <c r="F821" s="88"/>
      <c r="G821" s="88"/>
      <c r="H821" s="88"/>
    </row>
    <row r="822" spans="4:8" ht="15.75">
      <c r="D822" s="88"/>
      <c r="E822" s="88"/>
      <c r="F822" s="88"/>
      <c r="G822" s="88"/>
      <c r="H822" s="88"/>
    </row>
    <row r="823" spans="4:8" ht="15.75">
      <c r="D823" s="88"/>
      <c r="E823" s="88"/>
      <c r="F823" s="88"/>
      <c r="G823" s="88"/>
      <c r="H823" s="88"/>
    </row>
    <row r="824" spans="4:8" ht="15.75">
      <c r="D824" s="88"/>
      <c r="E824" s="88"/>
      <c r="F824" s="88"/>
      <c r="G824" s="88"/>
      <c r="H824" s="88"/>
    </row>
    <row r="825" spans="4:8" ht="15.75">
      <c r="D825" s="88"/>
      <c r="E825" s="88"/>
      <c r="F825" s="88"/>
      <c r="G825" s="88"/>
      <c r="H825" s="88"/>
    </row>
    <row r="826" spans="4:8" ht="15.75">
      <c r="D826" s="88"/>
      <c r="E826" s="88"/>
      <c r="F826" s="88"/>
      <c r="G826" s="88"/>
      <c r="H826" s="88"/>
    </row>
    <row r="827" spans="4:8" ht="15.75">
      <c r="D827" s="88"/>
      <c r="E827" s="88"/>
      <c r="F827" s="88"/>
      <c r="G827" s="88"/>
      <c r="H827" s="88"/>
    </row>
    <row r="828" spans="4:8" ht="15.75">
      <c r="D828" s="88"/>
      <c r="E828" s="88"/>
      <c r="F828" s="88"/>
      <c r="G828" s="88"/>
      <c r="H828" s="88"/>
    </row>
    <row r="829" spans="4:8" ht="15.75">
      <c r="D829" s="88"/>
      <c r="E829" s="88"/>
      <c r="F829" s="88"/>
      <c r="G829" s="88"/>
      <c r="H829" s="88"/>
    </row>
    <row r="830" spans="4:8" ht="15.75">
      <c r="D830" s="88"/>
      <c r="E830" s="88"/>
      <c r="F830" s="88"/>
      <c r="G830" s="88"/>
      <c r="H830" s="88"/>
    </row>
    <row r="831" spans="4:8" ht="15.75">
      <c r="D831" s="88"/>
      <c r="E831" s="88"/>
      <c r="F831" s="88"/>
      <c r="G831" s="88"/>
      <c r="H831" s="88"/>
    </row>
    <row r="832" spans="4:8" ht="15.75">
      <c r="D832" s="88"/>
      <c r="E832" s="88"/>
      <c r="F832" s="88"/>
      <c r="G832" s="88"/>
      <c r="H832" s="88"/>
    </row>
    <row r="833" spans="4:8" ht="15.75">
      <c r="D833" s="88"/>
      <c r="E833" s="88"/>
      <c r="F833" s="88"/>
      <c r="G833" s="88"/>
      <c r="H833" s="88"/>
    </row>
    <row r="834" spans="4:8" ht="15.75">
      <c r="D834" s="88"/>
      <c r="E834" s="88"/>
      <c r="F834" s="88"/>
      <c r="G834" s="88"/>
      <c r="H834" s="88"/>
    </row>
    <row r="835" spans="4:8" ht="15.75">
      <c r="D835" s="88"/>
      <c r="E835" s="88"/>
      <c r="F835" s="88"/>
      <c r="G835" s="88"/>
      <c r="H835" s="88"/>
    </row>
    <row r="836" spans="4:8" ht="15.75">
      <c r="D836" s="88"/>
      <c r="E836" s="88"/>
      <c r="F836" s="88"/>
      <c r="G836" s="88"/>
      <c r="H836" s="88"/>
    </row>
    <row r="837" spans="4:8" ht="15.75">
      <c r="D837" s="88"/>
      <c r="E837" s="88"/>
      <c r="F837" s="88"/>
      <c r="G837" s="88"/>
      <c r="H837" s="88"/>
    </row>
    <row r="838" spans="4:8" ht="15.75">
      <c r="D838" s="88"/>
      <c r="E838" s="88"/>
      <c r="F838" s="88"/>
      <c r="G838" s="88"/>
      <c r="H838" s="88"/>
    </row>
    <row r="839" spans="4:8" ht="15.75">
      <c r="D839" s="88"/>
      <c r="E839" s="88"/>
      <c r="F839" s="88"/>
      <c r="G839" s="88"/>
      <c r="H839" s="88"/>
    </row>
    <row r="840" spans="4:8" ht="15.75">
      <c r="D840" s="88"/>
      <c r="E840" s="88"/>
      <c r="F840" s="88"/>
      <c r="G840" s="88"/>
      <c r="H840" s="88"/>
    </row>
    <row r="841" spans="4:8" ht="15.75">
      <c r="D841" s="88"/>
      <c r="E841" s="88"/>
      <c r="F841" s="88"/>
      <c r="G841" s="88"/>
      <c r="H841" s="88"/>
    </row>
    <row r="842" spans="4:8" ht="15.75">
      <c r="D842" s="88"/>
      <c r="E842" s="88"/>
      <c r="F842" s="88"/>
      <c r="G842" s="88"/>
      <c r="H842" s="88"/>
    </row>
    <row r="843" spans="4:8" ht="15.75">
      <c r="D843" s="88"/>
      <c r="E843" s="88"/>
      <c r="F843" s="88"/>
      <c r="G843" s="88"/>
      <c r="H843" s="88"/>
    </row>
    <row r="844" spans="4:8" ht="15.75">
      <c r="D844" s="88"/>
      <c r="E844" s="88"/>
      <c r="F844" s="88"/>
      <c r="G844" s="88"/>
      <c r="H844" s="88"/>
    </row>
    <row r="845" spans="4:8" ht="15.75">
      <c r="D845" s="88"/>
      <c r="E845" s="88"/>
      <c r="F845" s="88"/>
      <c r="G845" s="88"/>
      <c r="H845" s="88"/>
    </row>
    <row r="846" spans="4:8" ht="15.75">
      <c r="D846" s="88"/>
      <c r="E846" s="88"/>
      <c r="F846" s="88"/>
      <c r="G846" s="88"/>
      <c r="H846" s="88"/>
    </row>
    <row r="847" spans="4:8" ht="15.75">
      <c r="D847" s="88"/>
      <c r="E847" s="88"/>
      <c r="F847" s="88"/>
      <c r="G847" s="88"/>
      <c r="H847" s="88"/>
    </row>
    <row r="848" spans="4:8" ht="15.75">
      <c r="D848" s="88"/>
      <c r="E848" s="88"/>
      <c r="F848" s="88"/>
      <c r="G848" s="88"/>
      <c r="H848" s="88"/>
    </row>
    <row r="849" spans="4:8" ht="15.75">
      <c r="D849" s="88"/>
      <c r="E849" s="88"/>
      <c r="F849" s="88"/>
      <c r="G849" s="88"/>
      <c r="H849" s="88"/>
    </row>
    <row r="850" spans="4:8" ht="15.75">
      <c r="D850" s="88"/>
      <c r="E850" s="88"/>
      <c r="F850" s="88"/>
      <c r="G850" s="88"/>
      <c r="H850" s="88"/>
    </row>
    <row r="851" spans="4:8" ht="15.75">
      <c r="D851" s="88"/>
      <c r="E851" s="88"/>
      <c r="F851" s="88"/>
      <c r="G851" s="88"/>
      <c r="H851" s="88"/>
    </row>
    <row r="852" spans="4:8" ht="15.75">
      <c r="D852" s="88"/>
      <c r="E852" s="88"/>
      <c r="F852" s="88"/>
      <c r="G852" s="88"/>
      <c r="H852" s="88"/>
    </row>
    <row r="853" spans="4:8" ht="15.75">
      <c r="D853" s="88"/>
      <c r="E853" s="88"/>
      <c r="F853" s="88"/>
      <c r="G853" s="88"/>
      <c r="H853" s="88"/>
    </row>
    <row r="854" spans="4:8" ht="15.75">
      <c r="D854" s="88"/>
      <c r="E854" s="88"/>
      <c r="F854" s="88"/>
      <c r="G854" s="88"/>
      <c r="H854" s="88"/>
    </row>
    <row r="855" spans="4:8" ht="15.75">
      <c r="D855" s="88"/>
      <c r="E855" s="88"/>
      <c r="F855" s="88"/>
      <c r="G855" s="88"/>
      <c r="H855" s="88"/>
    </row>
    <row r="856" spans="4:8" ht="15.75">
      <c r="D856" s="88"/>
      <c r="E856" s="88"/>
      <c r="F856" s="88"/>
      <c r="G856" s="88"/>
      <c r="H856" s="88"/>
    </row>
    <row r="857" spans="4:8" ht="15.75">
      <c r="D857" s="88"/>
      <c r="E857" s="88"/>
      <c r="F857" s="88"/>
      <c r="G857" s="88"/>
      <c r="H857" s="88"/>
    </row>
    <row r="858" spans="4:8" ht="15.75">
      <c r="D858" s="88"/>
      <c r="E858" s="88"/>
      <c r="F858" s="88"/>
      <c r="G858" s="88"/>
      <c r="H858" s="88"/>
    </row>
    <row r="859" spans="4:8" ht="15.75">
      <c r="D859" s="88"/>
      <c r="E859" s="88"/>
      <c r="F859" s="88"/>
      <c r="G859" s="88"/>
      <c r="H859" s="88"/>
    </row>
    <row r="860" spans="4:8" ht="15.75">
      <c r="D860" s="88"/>
      <c r="E860" s="88"/>
      <c r="F860" s="88"/>
      <c r="G860" s="88"/>
      <c r="H860" s="88"/>
    </row>
    <row r="861" spans="4:8" ht="15.75">
      <c r="D861" s="88"/>
      <c r="E861" s="88"/>
      <c r="F861" s="88"/>
      <c r="G861" s="88"/>
      <c r="H861" s="88"/>
    </row>
    <row r="862" spans="4:8" ht="15.75">
      <c r="D862" s="88"/>
      <c r="E862" s="88"/>
      <c r="F862" s="88"/>
      <c r="G862" s="88"/>
      <c r="H862" s="88"/>
    </row>
    <row r="863" spans="4:8" ht="15.75">
      <c r="D863" s="88"/>
      <c r="E863" s="88"/>
      <c r="F863" s="88"/>
      <c r="G863" s="88"/>
      <c r="H863" s="88"/>
    </row>
    <row r="864" spans="4:8" ht="15.75">
      <c r="D864" s="88"/>
      <c r="E864" s="88"/>
      <c r="F864" s="88"/>
      <c r="G864" s="88"/>
      <c r="H864" s="88"/>
    </row>
    <row r="865" spans="4:8" ht="15.75">
      <c r="D865" s="88"/>
      <c r="E865" s="88"/>
      <c r="F865" s="88"/>
      <c r="G865" s="88"/>
      <c r="H865" s="88"/>
    </row>
    <row r="866" spans="4:8" ht="15.75">
      <c r="D866" s="88"/>
      <c r="E866" s="88"/>
      <c r="F866" s="88"/>
      <c r="G866" s="88"/>
      <c r="H866" s="88"/>
    </row>
    <row r="867" spans="4:8" ht="15.75">
      <c r="D867" s="88"/>
      <c r="E867" s="88"/>
      <c r="F867" s="88"/>
      <c r="G867" s="88"/>
      <c r="H867" s="88"/>
    </row>
    <row r="868" spans="4:8" ht="15.75">
      <c r="D868" s="88"/>
      <c r="E868" s="88"/>
      <c r="F868" s="88"/>
      <c r="G868" s="88"/>
      <c r="H868" s="88"/>
    </row>
    <row r="869" spans="4:8" ht="15.75">
      <c r="D869" s="88"/>
      <c r="E869" s="88"/>
      <c r="F869" s="88"/>
      <c r="G869" s="88"/>
      <c r="H869" s="88"/>
    </row>
    <row r="870" spans="4:8" ht="15.75">
      <c r="D870" s="88"/>
      <c r="E870" s="88"/>
      <c r="F870" s="88"/>
      <c r="G870" s="88"/>
      <c r="H870" s="88"/>
    </row>
    <row r="871" spans="4:8" ht="15.75">
      <c r="D871" s="88"/>
      <c r="E871" s="88"/>
      <c r="F871" s="88"/>
      <c r="G871" s="88"/>
      <c r="H871" s="88"/>
    </row>
    <row r="872" spans="4:8" ht="15.75">
      <c r="D872" s="88"/>
      <c r="E872" s="88"/>
      <c r="F872" s="88"/>
      <c r="G872" s="88"/>
      <c r="H872" s="88"/>
    </row>
    <row r="873" spans="4:8" ht="15.75">
      <c r="D873" s="88"/>
      <c r="E873" s="88"/>
      <c r="F873" s="88"/>
      <c r="G873" s="88"/>
      <c r="H873" s="88"/>
    </row>
    <row r="874" spans="4:8" ht="15.75">
      <c r="D874" s="88"/>
      <c r="E874" s="88"/>
      <c r="F874" s="88"/>
      <c r="G874" s="88"/>
      <c r="H874" s="88"/>
    </row>
    <row r="875" spans="4:8" ht="15.75">
      <c r="D875" s="88"/>
      <c r="E875" s="88"/>
      <c r="F875" s="88"/>
      <c r="G875" s="88"/>
      <c r="H875" s="88"/>
    </row>
    <row r="876" spans="4:8" ht="15.75">
      <c r="D876" s="88"/>
      <c r="E876" s="88"/>
      <c r="F876" s="88"/>
      <c r="G876" s="88"/>
      <c r="H876" s="88"/>
    </row>
    <row r="877" spans="4:8" ht="15.75">
      <c r="D877" s="88"/>
      <c r="E877" s="88"/>
      <c r="F877" s="88"/>
      <c r="G877" s="88"/>
      <c r="H877" s="88"/>
    </row>
    <row r="878" spans="4:8" ht="15.75">
      <c r="D878" s="88"/>
      <c r="E878" s="88"/>
      <c r="F878" s="88"/>
      <c r="G878" s="88"/>
      <c r="H878" s="88"/>
    </row>
    <row r="879" spans="4:8" ht="15.75">
      <c r="D879" s="88"/>
      <c r="E879" s="88"/>
      <c r="F879" s="88"/>
      <c r="G879" s="88"/>
      <c r="H879" s="88"/>
    </row>
    <row r="880" spans="4:8" ht="15.75">
      <c r="D880" s="88"/>
      <c r="E880" s="88"/>
      <c r="F880" s="88"/>
      <c r="G880" s="88"/>
      <c r="H880" s="88"/>
    </row>
    <row r="881" spans="4:8" ht="15.75">
      <c r="D881" s="88"/>
      <c r="E881" s="88"/>
      <c r="F881" s="88"/>
      <c r="G881" s="88"/>
      <c r="H881" s="88"/>
    </row>
    <row r="882" spans="4:8" ht="15.75">
      <c r="D882" s="88"/>
      <c r="E882" s="88"/>
      <c r="F882" s="88"/>
      <c r="G882" s="88"/>
      <c r="H882" s="88"/>
    </row>
    <row r="883" spans="4:8" ht="15.75">
      <c r="D883" s="88"/>
      <c r="E883" s="88"/>
      <c r="F883" s="88"/>
      <c r="G883" s="88"/>
      <c r="H883" s="88"/>
    </row>
    <row r="884" spans="4:8" ht="15.75">
      <c r="D884" s="88"/>
      <c r="E884" s="88"/>
      <c r="F884" s="88"/>
      <c r="G884" s="88"/>
      <c r="H884" s="88"/>
    </row>
    <row r="885" spans="4:8" ht="15.75">
      <c r="D885" s="88"/>
      <c r="E885" s="88"/>
      <c r="F885" s="88"/>
      <c r="G885" s="88"/>
      <c r="H885" s="88"/>
    </row>
    <row r="886" spans="4:8" ht="15.75">
      <c r="D886" s="88"/>
      <c r="E886" s="88"/>
      <c r="F886" s="88"/>
      <c r="G886" s="88"/>
      <c r="H886" s="88"/>
    </row>
    <row r="887" spans="4:8" ht="15.75">
      <c r="D887" s="88"/>
      <c r="E887" s="88"/>
      <c r="F887" s="88"/>
      <c r="G887" s="88"/>
      <c r="H887" s="88"/>
    </row>
    <row r="888" spans="4:8" ht="15.75">
      <c r="D888" s="88"/>
      <c r="E888" s="88"/>
      <c r="F888" s="88"/>
      <c r="G888" s="88"/>
      <c r="H888" s="88"/>
    </row>
    <row r="889" spans="4:8" ht="15.75">
      <c r="D889" s="88"/>
      <c r="E889" s="88"/>
      <c r="F889" s="88"/>
      <c r="G889" s="88"/>
      <c r="H889" s="88"/>
    </row>
    <row r="890" spans="4:8" ht="15.75">
      <c r="D890" s="88"/>
      <c r="E890" s="88"/>
      <c r="F890" s="88"/>
      <c r="G890" s="88"/>
      <c r="H890" s="88"/>
    </row>
    <row r="891" spans="4:8" ht="15.75">
      <c r="D891" s="88"/>
      <c r="E891" s="88"/>
      <c r="F891" s="88"/>
      <c r="G891" s="88"/>
      <c r="H891" s="88"/>
    </row>
    <row r="892" spans="4:8" ht="15.75">
      <c r="D892" s="88"/>
      <c r="E892" s="88"/>
      <c r="F892" s="88"/>
      <c r="G892" s="88"/>
      <c r="H892" s="88"/>
    </row>
    <row r="893" spans="4:8" ht="15.75">
      <c r="D893" s="88"/>
      <c r="E893" s="88"/>
      <c r="F893" s="88"/>
      <c r="G893" s="88"/>
      <c r="H893" s="88"/>
    </row>
    <row r="894" spans="4:8" ht="15.75">
      <c r="D894" s="88"/>
      <c r="E894" s="88"/>
      <c r="F894" s="88"/>
      <c r="G894" s="88"/>
      <c r="H894" s="88"/>
    </row>
    <row r="895" spans="4:8" ht="15.75">
      <c r="D895" s="88"/>
      <c r="E895" s="88"/>
      <c r="F895" s="88"/>
      <c r="G895" s="88"/>
      <c r="H895" s="88"/>
    </row>
    <row r="896" spans="4:8" ht="15.75">
      <c r="D896" s="88"/>
      <c r="E896" s="88"/>
      <c r="F896" s="88"/>
      <c r="G896" s="88"/>
      <c r="H896" s="88"/>
    </row>
    <row r="897" spans="4:8" ht="15.75">
      <c r="D897" s="88"/>
      <c r="E897" s="88"/>
      <c r="F897" s="88"/>
      <c r="G897" s="88"/>
      <c r="H897" s="88"/>
    </row>
    <row r="898" spans="4:8" ht="15.75">
      <c r="D898" s="88"/>
      <c r="E898" s="88"/>
      <c r="F898" s="88"/>
      <c r="G898" s="88"/>
      <c r="H898" s="88"/>
    </row>
    <row r="899" spans="4:8" ht="15.75">
      <c r="D899" s="88"/>
      <c r="E899" s="88"/>
      <c r="F899" s="88"/>
      <c r="G899" s="88"/>
      <c r="H899" s="88"/>
    </row>
    <row r="900" spans="4:8" ht="15.75">
      <c r="D900" s="88"/>
      <c r="E900" s="88"/>
      <c r="F900" s="88"/>
      <c r="G900" s="88"/>
      <c r="H900" s="88"/>
    </row>
    <row r="901" spans="4:8" ht="15.75">
      <c r="D901" s="88"/>
      <c r="E901" s="88"/>
      <c r="F901" s="88"/>
      <c r="G901" s="88"/>
      <c r="H901" s="88"/>
    </row>
    <row r="902" spans="4:8" ht="15.75">
      <c r="D902" s="88"/>
      <c r="E902" s="88"/>
      <c r="F902" s="88"/>
      <c r="G902" s="88"/>
      <c r="H902" s="88"/>
    </row>
    <row r="903" spans="4:8" ht="15.75">
      <c r="D903" s="88"/>
      <c r="E903" s="88"/>
      <c r="F903" s="88"/>
      <c r="G903" s="88"/>
      <c r="H903" s="88"/>
    </row>
    <row r="904" spans="4:8" ht="15.75">
      <c r="D904" s="88"/>
      <c r="E904" s="88"/>
      <c r="F904" s="88"/>
      <c r="G904" s="88"/>
      <c r="H904" s="88"/>
    </row>
    <row r="905" spans="4:8" ht="15.75">
      <c r="D905" s="88"/>
      <c r="E905" s="88"/>
      <c r="F905" s="88"/>
      <c r="G905" s="88"/>
      <c r="H905" s="88"/>
    </row>
    <row r="906" spans="4:8" ht="15.75">
      <c r="D906" s="88"/>
      <c r="E906" s="88"/>
      <c r="F906" s="88"/>
      <c r="G906" s="88"/>
      <c r="H906" s="88"/>
    </row>
    <row r="907" spans="4:8" ht="15.75">
      <c r="D907" s="88"/>
      <c r="E907" s="88"/>
      <c r="F907" s="88"/>
      <c r="G907" s="88"/>
      <c r="H907" s="88"/>
    </row>
    <row r="908" spans="4:8" ht="15.75">
      <c r="D908" s="88"/>
      <c r="E908" s="88"/>
      <c r="F908" s="88"/>
      <c r="G908" s="88"/>
      <c r="H908" s="88"/>
    </row>
    <row r="909" spans="4:8" ht="15.75">
      <c r="D909" s="88"/>
      <c r="E909" s="88"/>
      <c r="F909" s="88"/>
      <c r="G909" s="88"/>
      <c r="H909" s="88"/>
    </row>
    <row r="910" spans="4:8" ht="15.75">
      <c r="D910" s="88"/>
      <c r="E910" s="88"/>
      <c r="F910" s="88"/>
      <c r="G910" s="88"/>
      <c r="H910" s="88"/>
    </row>
    <row r="911" spans="4:8" ht="15.75">
      <c r="D911" s="88"/>
      <c r="E911" s="88"/>
      <c r="F911" s="88"/>
      <c r="G911" s="88"/>
      <c r="H911" s="88"/>
    </row>
    <row r="912" spans="4:8" ht="15.75">
      <c r="D912" s="88"/>
      <c r="E912" s="88"/>
      <c r="F912" s="88"/>
      <c r="G912" s="88"/>
      <c r="H912" s="88"/>
    </row>
    <row r="913" spans="4:8" ht="15.75">
      <c r="D913" s="88"/>
      <c r="E913" s="88"/>
      <c r="F913" s="88"/>
      <c r="G913" s="88"/>
      <c r="H913" s="88"/>
    </row>
    <row r="914" spans="4:8" ht="15.75">
      <c r="D914" s="88"/>
      <c r="E914" s="88"/>
      <c r="F914" s="88"/>
      <c r="G914" s="88"/>
      <c r="H914" s="88"/>
    </row>
    <row r="915" spans="4:8" ht="15.75">
      <c r="D915" s="88"/>
      <c r="E915" s="88"/>
      <c r="F915" s="88"/>
      <c r="G915" s="88"/>
      <c r="H915" s="88"/>
    </row>
    <row r="916" spans="4:8" ht="15.75">
      <c r="D916" s="88"/>
      <c r="E916" s="88"/>
      <c r="F916" s="88"/>
      <c r="G916" s="88"/>
      <c r="H916" s="88"/>
    </row>
    <row r="917" spans="4:8" ht="15.75">
      <c r="D917" s="88"/>
      <c r="E917" s="88"/>
      <c r="F917" s="88"/>
      <c r="G917" s="88"/>
      <c r="H917" s="88"/>
    </row>
    <row r="918" spans="4:8" ht="15.75">
      <c r="D918" s="88"/>
      <c r="E918" s="88"/>
      <c r="F918" s="88"/>
      <c r="G918" s="88"/>
      <c r="H918" s="88"/>
    </row>
    <row r="919" spans="4:8" ht="15.75">
      <c r="D919" s="88"/>
      <c r="E919" s="88"/>
      <c r="F919" s="88"/>
      <c r="G919" s="88"/>
      <c r="H919" s="88"/>
    </row>
    <row r="920" spans="4:8" ht="15.75">
      <c r="D920" s="88"/>
      <c r="E920" s="88"/>
      <c r="F920" s="88"/>
      <c r="G920" s="88"/>
      <c r="H920" s="88"/>
    </row>
    <row r="921" spans="4:8" ht="15.75">
      <c r="D921" s="88"/>
      <c r="E921" s="88"/>
      <c r="F921" s="88"/>
      <c r="G921" s="88"/>
      <c r="H921" s="88"/>
    </row>
    <row r="922" spans="4:8" ht="15.75">
      <c r="D922" s="88"/>
      <c r="E922" s="88"/>
      <c r="F922" s="88"/>
      <c r="G922" s="88"/>
      <c r="H922" s="88"/>
    </row>
    <row r="923" spans="4:8" ht="15.75">
      <c r="D923" s="88"/>
      <c r="E923" s="88"/>
      <c r="F923" s="88"/>
      <c r="G923" s="88"/>
      <c r="H923" s="88"/>
    </row>
    <row r="924" spans="4:8" ht="15.75">
      <c r="D924" s="88"/>
      <c r="E924" s="88"/>
      <c r="F924" s="88"/>
      <c r="G924" s="88"/>
      <c r="H924" s="88"/>
    </row>
    <row r="925" spans="4:8" ht="15.75">
      <c r="D925" s="88"/>
      <c r="E925" s="88"/>
      <c r="F925" s="88"/>
      <c r="G925" s="88"/>
      <c r="H925" s="88"/>
    </row>
    <row r="926" spans="4:8" ht="15.75">
      <c r="D926" s="88"/>
      <c r="E926" s="88"/>
      <c r="F926" s="88"/>
      <c r="G926" s="88"/>
      <c r="H926" s="88"/>
    </row>
    <row r="927" spans="4:8" ht="15.75">
      <c r="D927" s="88"/>
      <c r="E927" s="88"/>
      <c r="F927" s="88"/>
      <c r="G927" s="88"/>
      <c r="H927" s="88"/>
    </row>
    <row r="928" spans="4:8" ht="15.75">
      <c r="D928" s="88"/>
      <c r="E928" s="88"/>
      <c r="F928" s="88"/>
      <c r="G928" s="88"/>
      <c r="H928" s="88"/>
    </row>
    <row r="929" spans="4:8" ht="15.75">
      <c r="D929" s="88"/>
      <c r="E929" s="88"/>
      <c r="F929" s="88"/>
      <c r="G929" s="88"/>
      <c r="H929" s="88"/>
    </row>
    <row r="930" spans="4:8" ht="15.75">
      <c r="D930" s="88"/>
      <c r="E930" s="88"/>
      <c r="F930" s="88"/>
      <c r="G930" s="88"/>
      <c r="H930" s="88"/>
    </row>
    <row r="931" spans="4:8" ht="15.75">
      <c r="D931" s="88"/>
      <c r="E931" s="88"/>
      <c r="F931" s="88"/>
      <c r="G931" s="88"/>
      <c r="H931" s="88"/>
    </row>
    <row r="932" spans="4:8" ht="15.75">
      <c r="D932" s="88"/>
      <c r="E932" s="88"/>
      <c r="F932" s="88"/>
      <c r="G932" s="88"/>
      <c r="H932" s="88"/>
    </row>
    <row r="933" spans="4:8" ht="15.75">
      <c r="D933" s="88"/>
      <c r="E933" s="88"/>
      <c r="F933" s="88"/>
      <c r="G933" s="88"/>
      <c r="H933" s="88"/>
    </row>
    <row r="934" spans="4:8" ht="15.75">
      <c r="D934" s="88"/>
      <c r="E934" s="88"/>
      <c r="F934" s="88"/>
      <c r="G934" s="88"/>
      <c r="H934" s="88"/>
    </row>
    <row r="935" spans="4:8" ht="15.75">
      <c r="D935" s="88"/>
      <c r="E935" s="88"/>
      <c r="F935" s="88"/>
      <c r="G935" s="88"/>
      <c r="H935" s="88"/>
    </row>
    <row r="936" spans="4:8" ht="15.75">
      <c r="D936" s="88"/>
      <c r="E936" s="88"/>
      <c r="F936" s="88"/>
      <c r="G936" s="88"/>
      <c r="H936" s="88"/>
    </row>
    <row r="937" spans="4:8" ht="15.75">
      <c r="D937" s="88"/>
      <c r="E937" s="88"/>
      <c r="F937" s="88"/>
      <c r="G937" s="88"/>
      <c r="H937" s="88"/>
    </row>
    <row r="938" spans="4:8" ht="15.75">
      <c r="D938" s="88"/>
      <c r="E938" s="88"/>
      <c r="F938" s="88"/>
      <c r="G938" s="88"/>
      <c r="H938" s="88"/>
    </row>
    <row r="939" spans="4:8" ht="15.75">
      <c r="D939" s="88"/>
      <c r="E939" s="88"/>
      <c r="F939" s="88"/>
      <c r="G939" s="88"/>
      <c r="H939" s="88"/>
    </row>
    <row r="940" spans="4:8" ht="15.75">
      <c r="D940" s="88"/>
      <c r="E940" s="88"/>
      <c r="F940" s="88"/>
      <c r="G940" s="88"/>
      <c r="H940" s="88"/>
    </row>
    <row r="941" spans="4:8" ht="15.75">
      <c r="D941" s="88"/>
      <c r="E941" s="88"/>
      <c r="F941" s="88"/>
      <c r="G941" s="88"/>
      <c r="H941" s="88"/>
    </row>
    <row r="942" spans="4:8" ht="15.75">
      <c r="D942" s="88"/>
      <c r="E942" s="88"/>
      <c r="F942" s="88"/>
      <c r="G942" s="88"/>
      <c r="H942" s="88"/>
    </row>
    <row r="943" spans="4:8" ht="15.75">
      <c r="D943" s="88"/>
      <c r="E943" s="88"/>
      <c r="F943" s="88"/>
      <c r="G943" s="88"/>
      <c r="H943" s="88"/>
    </row>
    <row r="944" spans="4:8" ht="15.75">
      <c r="D944" s="88"/>
      <c r="E944" s="88"/>
      <c r="F944" s="88"/>
      <c r="G944" s="88"/>
      <c r="H944" s="88"/>
    </row>
    <row r="945" spans="4:8" ht="15.75">
      <c r="D945" s="88"/>
      <c r="E945" s="88"/>
      <c r="F945" s="88"/>
      <c r="G945" s="88"/>
      <c r="H945" s="88"/>
    </row>
    <row r="946" spans="4:8" ht="15.75">
      <c r="D946" s="88"/>
      <c r="E946" s="88"/>
      <c r="F946" s="88"/>
      <c r="G946" s="88"/>
      <c r="H946" s="88"/>
    </row>
    <row r="947" spans="4:8" ht="15.75">
      <c r="D947" s="88"/>
      <c r="E947" s="88"/>
      <c r="F947" s="88"/>
      <c r="G947" s="88"/>
      <c r="H947" s="88"/>
    </row>
    <row r="948" spans="4:8" ht="15.75">
      <c r="D948" s="88"/>
      <c r="E948" s="88"/>
      <c r="F948" s="88"/>
      <c r="G948" s="88"/>
      <c r="H948" s="88"/>
    </row>
    <row r="949" spans="4:8" ht="15.75">
      <c r="D949" s="88"/>
      <c r="E949" s="88"/>
      <c r="F949" s="88"/>
      <c r="G949" s="88"/>
      <c r="H949" s="88"/>
    </row>
    <row r="950" spans="4:8" ht="15.75">
      <c r="D950" s="88"/>
      <c r="E950" s="88"/>
      <c r="F950" s="88"/>
      <c r="G950" s="88"/>
      <c r="H950" s="88"/>
    </row>
    <row r="951" spans="4:8" ht="15.75">
      <c r="D951" s="88"/>
      <c r="E951" s="88"/>
      <c r="F951" s="88"/>
      <c r="G951" s="88"/>
      <c r="H951" s="88"/>
    </row>
    <row r="952" spans="4:8" ht="15.75">
      <c r="D952" s="88"/>
      <c r="E952" s="88"/>
      <c r="F952" s="88"/>
      <c r="G952" s="88"/>
      <c r="H952" s="88"/>
    </row>
    <row r="953" spans="4:8" ht="15.75">
      <c r="D953" s="88"/>
      <c r="E953" s="88"/>
      <c r="F953" s="88"/>
      <c r="G953" s="88"/>
      <c r="H953" s="88"/>
    </row>
    <row r="954" spans="4:8" ht="15.75">
      <c r="D954" s="88"/>
      <c r="E954" s="88"/>
      <c r="F954" s="88"/>
      <c r="G954" s="88"/>
      <c r="H954" s="88"/>
    </row>
    <row r="955" spans="4:8" ht="15.75">
      <c r="D955" s="88"/>
      <c r="E955" s="88"/>
      <c r="F955" s="88"/>
      <c r="G955" s="88"/>
      <c r="H955" s="88"/>
    </row>
    <row r="956" spans="4:8" ht="15.75">
      <c r="D956" s="88"/>
      <c r="E956" s="88"/>
      <c r="F956" s="88"/>
      <c r="G956" s="88"/>
      <c r="H956" s="88"/>
    </row>
    <row r="957" spans="4:8" ht="15.75">
      <c r="D957" s="88"/>
      <c r="E957" s="88"/>
      <c r="F957" s="88"/>
      <c r="G957" s="88"/>
      <c r="H957" s="88"/>
    </row>
    <row r="958" spans="4:8" ht="15.75">
      <c r="D958" s="88"/>
      <c r="E958" s="88"/>
      <c r="F958" s="88"/>
      <c r="G958" s="88"/>
      <c r="H958" s="88"/>
    </row>
    <row r="959" spans="4:8" ht="15.75">
      <c r="D959" s="88"/>
      <c r="E959" s="88"/>
      <c r="F959" s="88"/>
      <c r="G959" s="88"/>
      <c r="H959" s="88"/>
    </row>
  </sheetData>
  <mergeCells count="33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32:G132"/>
    <mergeCell ref="D133:G133"/>
    <mergeCell ref="D30:H30"/>
    <mergeCell ref="D127:G127"/>
    <mergeCell ref="I127:T127"/>
    <mergeCell ref="D128:G128"/>
    <mergeCell ref="D129:G129"/>
    <mergeCell ref="D130:G130"/>
    <mergeCell ref="D131:G13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Hoja3!$O$3:$O$7</xm:f>
          </x14:formula1>
          <xm:sqref>D127</xm:sqref>
        </x14:dataValidation>
        <x14:dataValidation type="list" allowBlank="1" showErrorMessage="1">
          <x14:formula1>
            <xm:f>Hoja3!$P$3:$P$6</xm:f>
          </x14:formula1>
          <xm:sqref>D128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Hoja3!$R$4:$R$99</xm:f>
          </x14:formula1>
          <xm:sqref>B53 B55 B58</xm:sqref>
        </x14:dataValidation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Hoja3!$R$3:$R$99</xm:f>
          </x14:formula1>
          <xm:sqref>B35 D129</xm:sqref>
        </x14:dataValidation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Hoja3!$Q$3:$Q$5</xm:f>
          </x14:formula1>
          <xm:sqref>D131</xm:sqref>
        </x14:dataValidation>
        <x14:dataValidation type="list" allowBlank="1" showErrorMessage="1">
          <x14:formula1>
            <xm:f>Hoja3!$E$3:$E$6</xm:f>
          </x14:formula1>
          <xm:sqref>D17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9"/>
  <sheetViews>
    <sheetView workbookViewId="0"/>
  </sheetViews>
  <sheetFormatPr baseColWidth="10" defaultColWidth="14.42578125" defaultRowHeight="15" customHeight="1"/>
  <cols>
    <col min="1" max="1" width="7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22.5703125" customWidth="1"/>
    <col min="7" max="7" width="21.7109375" customWidth="1"/>
    <col min="8" max="8" width="21.140625" customWidth="1"/>
    <col min="9" max="9" width="29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 ht="15.75">
      <c r="A1" s="51"/>
      <c r="B1" s="52"/>
      <c r="C1" s="52"/>
      <c r="D1" s="53"/>
      <c r="E1" s="53"/>
      <c r="F1" s="53"/>
      <c r="G1" s="53"/>
      <c r="H1" s="53"/>
      <c r="I1" s="52"/>
      <c r="J1" s="54"/>
      <c r="K1" s="54"/>
      <c r="L1" s="52"/>
      <c r="M1" s="52"/>
      <c r="N1" s="54"/>
      <c r="O1" s="54"/>
      <c r="P1" s="54"/>
      <c r="Q1" s="52"/>
      <c r="R1" s="52"/>
    </row>
    <row r="2" spans="1:18" ht="15.75">
      <c r="A2" s="51"/>
      <c r="B2" s="52"/>
      <c r="C2" s="52"/>
      <c r="D2" s="53"/>
      <c r="E2" s="53"/>
      <c r="F2" s="53"/>
      <c r="G2" s="53"/>
      <c r="H2" s="53"/>
      <c r="I2" s="52"/>
      <c r="J2" s="54"/>
      <c r="K2" s="54"/>
      <c r="L2" s="52"/>
      <c r="M2" s="52"/>
      <c r="N2" s="54"/>
      <c r="O2" s="54"/>
      <c r="P2" s="54"/>
      <c r="Q2" s="52"/>
      <c r="R2" s="52"/>
    </row>
    <row r="3" spans="1:18" ht="15.75">
      <c r="A3" s="51"/>
      <c r="B3" s="52"/>
      <c r="C3" s="52"/>
      <c r="D3" s="53"/>
      <c r="E3" s="53"/>
      <c r="F3" s="53"/>
      <c r="G3" s="53"/>
      <c r="H3" s="53"/>
      <c r="I3" s="52"/>
      <c r="J3" s="54"/>
      <c r="K3" s="54"/>
      <c r="L3" s="52"/>
      <c r="M3" s="52"/>
      <c r="N3" s="54"/>
      <c r="O3" s="54"/>
      <c r="P3" s="54"/>
      <c r="Q3" s="52"/>
      <c r="R3" s="52"/>
    </row>
    <row r="4" spans="1:18" ht="15.75">
      <c r="A4" s="51"/>
      <c r="B4" s="52"/>
      <c r="C4" s="52"/>
      <c r="D4" s="219" t="s">
        <v>0</v>
      </c>
      <c r="E4" s="220"/>
      <c r="F4" s="220"/>
      <c r="G4" s="220"/>
      <c r="H4" s="220"/>
      <c r="I4" s="52"/>
      <c r="J4" s="54"/>
      <c r="K4" s="54"/>
      <c r="L4" s="52"/>
      <c r="M4" s="52"/>
      <c r="N4" s="54"/>
      <c r="O4" s="54"/>
      <c r="P4" s="54"/>
      <c r="Q4" s="52"/>
      <c r="R4" s="52"/>
    </row>
    <row r="5" spans="1:18" ht="15.75">
      <c r="A5" s="51"/>
      <c r="B5" s="52"/>
      <c r="C5" s="52"/>
      <c r="D5" s="219" t="s">
        <v>1</v>
      </c>
      <c r="E5" s="220"/>
      <c r="F5" s="220"/>
      <c r="G5" s="220"/>
      <c r="H5" s="220"/>
      <c r="I5" s="52"/>
      <c r="J5" s="54"/>
      <c r="K5" s="54"/>
      <c r="L5" s="52"/>
      <c r="M5" s="52"/>
      <c r="N5" s="54"/>
      <c r="O5" s="54"/>
      <c r="P5" s="54"/>
      <c r="Q5" s="52"/>
      <c r="R5" s="52"/>
    </row>
    <row r="6" spans="1:18" ht="15.75">
      <c r="A6" s="51"/>
      <c r="B6" s="52"/>
      <c r="C6" s="52"/>
      <c r="D6" s="219" t="s">
        <v>2</v>
      </c>
      <c r="E6" s="220"/>
      <c r="F6" s="220"/>
      <c r="G6" s="220"/>
      <c r="H6" s="220"/>
      <c r="I6" s="52"/>
      <c r="J6" s="54"/>
      <c r="K6" s="54"/>
      <c r="L6" s="52"/>
      <c r="M6" s="52"/>
      <c r="N6" s="54"/>
      <c r="O6" s="54"/>
      <c r="P6" s="54"/>
      <c r="Q6" s="52"/>
      <c r="R6" s="52"/>
    </row>
    <row r="7" spans="1:18" ht="15.75">
      <c r="A7" s="51"/>
      <c r="B7" s="52"/>
      <c r="C7" s="52"/>
      <c r="D7" s="219"/>
      <c r="E7" s="220"/>
      <c r="F7" s="220"/>
      <c r="G7" s="220"/>
      <c r="H7" s="220"/>
      <c r="I7" s="52"/>
      <c r="J7" s="54"/>
      <c r="K7" s="54"/>
      <c r="L7" s="52"/>
      <c r="M7" s="52"/>
      <c r="N7" s="54"/>
      <c r="O7" s="54"/>
      <c r="P7" s="54"/>
      <c r="Q7" s="52"/>
      <c r="R7" s="52"/>
    </row>
    <row r="8" spans="1:18" ht="15.75">
      <c r="A8" s="51"/>
      <c r="B8" s="52"/>
      <c r="C8" s="52"/>
      <c r="D8" s="55"/>
      <c r="E8" s="55"/>
      <c r="F8" s="55"/>
      <c r="G8" s="55"/>
      <c r="H8" s="55"/>
      <c r="I8" s="52"/>
      <c r="J8" s="54"/>
      <c r="K8" s="54"/>
      <c r="L8" s="52"/>
      <c r="M8" s="52"/>
      <c r="N8" s="54"/>
      <c r="O8" s="54"/>
      <c r="P8" s="54"/>
      <c r="Q8" s="52"/>
      <c r="R8" s="52"/>
    </row>
    <row r="9" spans="1:18" ht="15.75">
      <c r="A9" s="51"/>
      <c r="B9" s="52"/>
      <c r="C9" s="52"/>
      <c r="D9" s="53"/>
      <c r="E9" s="53"/>
      <c r="F9" s="53"/>
      <c r="G9" s="53"/>
      <c r="H9" s="53"/>
      <c r="I9" s="52"/>
      <c r="J9" s="54"/>
      <c r="K9" s="54"/>
      <c r="L9" s="52"/>
      <c r="M9" s="52"/>
      <c r="N9" s="54"/>
      <c r="O9" s="54"/>
      <c r="P9" s="54"/>
      <c r="Q9" s="52"/>
      <c r="R9" s="52"/>
    </row>
    <row r="10" spans="1:18" ht="15.75">
      <c r="A10" s="51"/>
      <c r="B10" s="52"/>
      <c r="C10" s="52"/>
      <c r="D10" s="53"/>
      <c r="E10" s="53"/>
      <c r="F10" s="53"/>
      <c r="G10" s="53"/>
      <c r="H10" s="53"/>
      <c r="I10" s="52"/>
      <c r="J10" s="54"/>
      <c r="K10" s="54"/>
      <c r="L10" s="52"/>
      <c r="M10" s="52"/>
      <c r="N10" s="54"/>
      <c r="O10" s="54"/>
      <c r="P10" s="54"/>
      <c r="Q10" s="52"/>
      <c r="R10" s="52"/>
    </row>
    <row r="11" spans="1:18" ht="15.75">
      <c r="A11" s="51"/>
      <c r="B11" s="52"/>
      <c r="C11" s="52"/>
      <c r="D11" s="53"/>
      <c r="E11" s="53"/>
      <c r="F11" s="53"/>
      <c r="G11" s="53"/>
      <c r="H11" s="53"/>
      <c r="I11" s="52"/>
      <c r="J11" s="54"/>
      <c r="K11" s="54"/>
      <c r="L11" s="52"/>
      <c r="M11" s="52"/>
      <c r="N11" s="54"/>
      <c r="O11" s="54"/>
      <c r="P11" s="54"/>
      <c r="Q11" s="52"/>
      <c r="R11" s="52"/>
    </row>
    <row r="12" spans="1:18" ht="15.75">
      <c r="A12" s="56"/>
      <c r="B12" s="57"/>
      <c r="C12" s="57"/>
      <c r="D12" s="57"/>
      <c r="E12" s="57"/>
      <c r="F12" s="57"/>
      <c r="G12" s="57"/>
      <c r="H12" s="57"/>
      <c r="I12" s="57"/>
      <c r="J12" s="58"/>
      <c r="K12" s="58"/>
      <c r="L12" s="57"/>
      <c r="M12" s="57"/>
      <c r="N12" s="58"/>
      <c r="O12" s="58"/>
      <c r="P12" s="58"/>
      <c r="Q12" s="57"/>
      <c r="R12" s="57"/>
    </row>
    <row r="13" spans="1:18" ht="15.75">
      <c r="A13" s="56"/>
      <c r="B13" s="57"/>
      <c r="C13" s="3" t="s">
        <v>3</v>
      </c>
      <c r="D13" s="221" t="s">
        <v>4</v>
      </c>
      <c r="E13" s="203"/>
      <c r="F13" s="203"/>
      <c r="G13" s="203"/>
      <c r="H13" s="204"/>
      <c r="I13" s="2"/>
      <c r="J13" s="58"/>
      <c r="K13" s="58"/>
      <c r="L13" s="57"/>
      <c r="M13" s="57"/>
      <c r="N13" s="58"/>
      <c r="O13" s="58"/>
      <c r="P13" s="58"/>
      <c r="Q13" s="57"/>
      <c r="R13" s="57"/>
    </row>
    <row r="14" spans="1:18" ht="15.75">
      <c r="A14" s="56"/>
      <c r="B14" s="57"/>
      <c r="C14" s="3" t="s">
        <v>5</v>
      </c>
      <c r="D14" s="208" t="s">
        <v>6</v>
      </c>
      <c r="E14" s="203"/>
      <c r="F14" s="203"/>
      <c r="G14" s="203"/>
      <c r="H14" s="204"/>
      <c r="I14" s="59" t="s">
        <v>7</v>
      </c>
      <c r="J14" s="58"/>
      <c r="K14" s="58"/>
      <c r="L14" s="57"/>
      <c r="M14" s="57"/>
      <c r="N14" s="58"/>
      <c r="O14" s="58"/>
      <c r="P14" s="58"/>
      <c r="Q14" s="57"/>
      <c r="R14" s="57"/>
    </row>
    <row r="15" spans="1:18" ht="15.75">
      <c r="A15" s="56"/>
      <c r="B15" s="57"/>
      <c r="C15" s="3" t="s">
        <v>8</v>
      </c>
      <c r="D15" s="208" t="s">
        <v>9</v>
      </c>
      <c r="E15" s="203"/>
      <c r="F15" s="203"/>
      <c r="G15" s="203"/>
      <c r="H15" s="204"/>
      <c r="I15" s="59" t="s">
        <v>7</v>
      </c>
      <c r="J15" s="58"/>
      <c r="K15" s="58"/>
      <c r="L15" s="57"/>
      <c r="M15" s="57"/>
      <c r="N15" s="58"/>
      <c r="O15" s="58"/>
      <c r="P15" s="58"/>
      <c r="Q15" s="57"/>
      <c r="R15" s="57"/>
    </row>
    <row r="16" spans="1:18" ht="60">
      <c r="A16" s="56"/>
      <c r="B16" s="57"/>
      <c r="C16" s="3" t="s">
        <v>10</v>
      </c>
      <c r="D16" s="208" t="s">
        <v>11</v>
      </c>
      <c r="E16" s="203"/>
      <c r="F16" s="203"/>
      <c r="G16" s="203"/>
      <c r="H16" s="204"/>
      <c r="I16" s="4" t="s">
        <v>12</v>
      </c>
      <c r="J16" s="58"/>
      <c r="K16" s="58"/>
      <c r="L16" s="57"/>
      <c r="M16" s="57"/>
      <c r="N16" s="58"/>
      <c r="O16" s="58"/>
      <c r="P16" s="58"/>
      <c r="Q16" s="57"/>
      <c r="R16" s="57"/>
    </row>
    <row r="17" spans="1:18" ht="15.75">
      <c r="A17" s="56"/>
      <c r="B17" s="57"/>
      <c r="C17" s="3" t="s">
        <v>13</v>
      </c>
      <c r="D17" s="208" t="s">
        <v>14</v>
      </c>
      <c r="E17" s="203"/>
      <c r="F17" s="203"/>
      <c r="G17" s="203"/>
      <c r="H17" s="204"/>
      <c r="I17" s="59" t="s">
        <v>7</v>
      </c>
      <c r="J17" s="58"/>
      <c r="K17" s="58"/>
      <c r="L17" s="57"/>
      <c r="M17" s="57"/>
      <c r="N17" s="58"/>
      <c r="O17" s="58"/>
      <c r="P17" s="58"/>
      <c r="Q17" s="57"/>
      <c r="R17" s="57"/>
    </row>
    <row r="18" spans="1:18" ht="15.75">
      <c r="A18" s="60"/>
      <c r="B18" s="60"/>
      <c r="C18" s="3" t="s">
        <v>15</v>
      </c>
      <c r="D18" s="208" t="s">
        <v>16</v>
      </c>
      <c r="E18" s="203"/>
      <c r="F18" s="203"/>
      <c r="G18" s="203"/>
      <c r="H18" s="204"/>
      <c r="I18" s="59" t="s">
        <v>7</v>
      </c>
      <c r="J18" s="58"/>
      <c r="K18" s="58"/>
      <c r="L18" s="57"/>
      <c r="M18" s="57"/>
      <c r="N18" s="58"/>
      <c r="O18" s="58"/>
      <c r="P18" s="58"/>
      <c r="Q18" s="57"/>
      <c r="R18" s="57"/>
    </row>
    <row r="19" spans="1:18" ht="15.75" hidden="1">
      <c r="A19" s="61"/>
      <c r="B19" s="62"/>
      <c r="C19" s="3" t="s">
        <v>17</v>
      </c>
      <c r="D19" s="208"/>
      <c r="E19" s="203"/>
      <c r="F19" s="203"/>
      <c r="G19" s="203"/>
      <c r="H19" s="204"/>
      <c r="I19" s="2"/>
      <c r="J19" s="58"/>
      <c r="K19" s="58"/>
      <c r="L19" s="57"/>
      <c r="M19" s="57"/>
      <c r="N19" s="58"/>
      <c r="O19" s="58"/>
      <c r="P19" s="58"/>
      <c r="Q19" s="57"/>
      <c r="R19" s="57"/>
    </row>
    <row r="20" spans="1:18" ht="15.75">
      <c r="C20" s="3" t="s">
        <v>17</v>
      </c>
      <c r="D20" s="208" t="s">
        <v>18</v>
      </c>
      <c r="E20" s="203"/>
      <c r="F20" s="203"/>
      <c r="G20" s="203"/>
      <c r="H20" s="204"/>
      <c r="I20" s="59" t="s">
        <v>7</v>
      </c>
      <c r="J20" s="58"/>
      <c r="K20" s="58"/>
      <c r="L20" s="57"/>
      <c r="M20" s="57"/>
      <c r="N20" s="58"/>
      <c r="O20" s="58"/>
      <c r="P20" s="58"/>
      <c r="Q20" s="57"/>
      <c r="R20" s="57"/>
    </row>
    <row r="21" spans="1:18" ht="15.75">
      <c r="A21" s="5"/>
      <c r="B21" s="215" t="s">
        <v>19</v>
      </c>
      <c r="C21" s="3" t="s">
        <v>20</v>
      </c>
      <c r="D21" s="208" t="s">
        <v>21</v>
      </c>
      <c r="E21" s="203"/>
      <c r="F21" s="203"/>
      <c r="G21" s="203"/>
      <c r="H21" s="204"/>
      <c r="I21" s="59" t="s">
        <v>7</v>
      </c>
      <c r="K21" s="58"/>
      <c r="L21" s="57"/>
      <c r="M21" s="57"/>
      <c r="N21" s="58"/>
      <c r="O21" s="58"/>
      <c r="P21" s="58"/>
      <c r="Q21" s="57"/>
      <c r="R21" s="57"/>
    </row>
    <row r="22" spans="1:18" ht="15.75">
      <c r="A22" s="5"/>
      <c r="B22" s="216"/>
      <c r="C22" s="3" t="s">
        <v>22</v>
      </c>
      <c r="D22" s="208" t="s">
        <v>23</v>
      </c>
      <c r="E22" s="203"/>
      <c r="F22" s="203"/>
      <c r="G22" s="203"/>
      <c r="H22" s="204"/>
      <c r="I22" s="59" t="s">
        <v>7</v>
      </c>
      <c r="J22" s="58"/>
      <c r="K22" s="58"/>
      <c r="L22" s="57"/>
      <c r="M22" s="57"/>
      <c r="N22" s="58"/>
      <c r="O22" s="58"/>
      <c r="P22" s="58"/>
      <c r="Q22" s="57"/>
      <c r="R22" s="57"/>
    </row>
    <row r="23" spans="1:18" ht="15.75">
      <c r="A23" s="6"/>
      <c r="B23" s="217" t="s">
        <v>24</v>
      </c>
      <c r="C23" s="3" t="s">
        <v>25</v>
      </c>
      <c r="D23" s="208" t="s">
        <v>26</v>
      </c>
      <c r="E23" s="203"/>
      <c r="F23" s="203"/>
      <c r="G23" s="203"/>
      <c r="H23" s="204"/>
      <c r="I23" s="59" t="s">
        <v>7</v>
      </c>
      <c r="J23" s="58"/>
      <c r="K23" s="58"/>
      <c r="L23" s="57"/>
      <c r="M23" s="57"/>
      <c r="N23" s="58"/>
      <c r="O23" s="58"/>
      <c r="P23" s="58"/>
      <c r="Q23" s="57"/>
      <c r="R23" s="57"/>
    </row>
    <row r="24" spans="1:18" ht="31.5">
      <c r="A24" s="6"/>
      <c r="B24" s="218"/>
      <c r="C24" s="3" t="s">
        <v>27</v>
      </c>
      <c r="D24" s="208" t="s">
        <v>28</v>
      </c>
      <c r="E24" s="203"/>
      <c r="F24" s="203"/>
      <c r="G24" s="203"/>
      <c r="H24" s="204"/>
      <c r="I24" s="59" t="s">
        <v>7</v>
      </c>
      <c r="J24" s="58"/>
      <c r="K24" s="58"/>
      <c r="L24" s="57"/>
      <c r="M24" s="57"/>
      <c r="N24" s="58"/>
      <c r="O24" s="58"/>
      <c r="P24" s="58"/>
      <c r="Q24" s="57"/>
      <c r="R24" s="57"/>
    </row>
    <row r="25" spans="1:18" ht="15.75">
      <c r="A25" s="6"/>
      <c r="B25" s="217" t="s">
        <v>29</v>
      </c>
      <c r="C25" s="3" t="s">
        <v>30</v>
      </c>
      <c r="D25" s="208" t="s">
        <v>31</v>
      </c>
      <c r="E25" s="203"/>
      <c r="F25" s="203"/>
      <c r="G25" s="203"/>
      <c r="H25" s="204"/>
      <c r="I25" s="59" t="s">
        <v>7</v>
      </c>
      <c r="J25" s="58"/>
      <c r="K25" s="58"/>
      <c r="L25" s="57"/>
      <c r="M25" s="57"/>
      <c r="N25" s="58"/>
      <c r="O25" s="58"/>
      <c r="P25" s="58"/>
      <c r="Q25" s="57"/>
      <c r="R25" s="57"/>
    </row>
    <row r="26" spans="1:18" ht="15.75">
      <c r="A26" s="6"/>
      <c r="B26" s="216"/>
      <c r="C26" s="3" t="s">
        <v>32</v>
      </c>
      <c r="D26" s="208" t="s">
        <v>33</v>
      </c>
      <c r="E26" s="203"/>
      <c r="F26" s="203"/>
      <c r="G26" s="203"/>
      <c r="H26" s="204"/>
      <c r="I26" s="59" t="s">
        <v>7</v>
      </c>
      <c r="J26" s="58"/>
      <c r="K26" s="58"/>
      <c r="L26" s="57"/>
      <c r="M26" s="57"/>
      <c r="N26" s="58"/>
      <c r="O26" s="58"/>
      <c r="P26" s="58"/>
      <c r="Q26" s="57"/>
      <c r="R26" s="57"/>
    </row>
    <row r="27" spans="1:18" ht="15.75">
      <c r="A27" s="6"/>
      <c r="B27" s="216"/>
      <c r="C27" s="3" t="s">
        <v>34</v>
      </c>
      <c r="D27" s="208" t="s">
        <v>35</v>
      </c>
      <c r="E27" s="203"/>
      <c r="F27" s="203"/>
      <c r="G27" s="203"/>
      <c r="H27" s="204"/>
      <c r="I27" s="59" t="s">
        <v>7</v>
      </c>
      <c r="J27" s="58"/>
      <c r="K27" s="58"/>
      <c r="L27" s="57"/>
      <c r="M27" s="57"/>
      <c r="N27" s="58"/>
      <c r="O27" s="58"/>
      <c r="P27" s="58"/>
      <c r="Q27" s="57"/>
      <c r="R27" s="57"/>
    </row>
    <row r="28" spans="1:18" ht="15.75">
      <c r="A28" s="6"/>
      <c r="B28" s="216"/>
      <c r="C28" s="3" t="s">
        <v>36</v>
      </c>
      <c r="D28" s="208" t="s">
        <v>37</v>
      </c>
      <c r="E28" s="203"/>
      <c r="F28" s="203"/>
      <c r="G28" s="203"/>
      <c r="H28" s="204"/>
      <c r="I28" s="57"/>
      <c r="J28" s="58"/>
      <c r="K28" s="58"/>
      <c r="L28" s="57"/>
      <c r="M28" s="57"/>
      <c r="N28" s="58"/>
      <c r="O28" s="63"/>
      <c r="P28" s="63"/>
      <c r="Q28" s="57"/>
      <c r="R28" s="57"/>
    </row>
    <row r="29" spans="1:18" ht="31.5">
      <c r="A29" s="60"/>
      <c r="B29" s="60"/>
      <c r="C29" s="3" t="s">
        <v>38</v>
      </c>
      <c r="D29" s="209" t="s">
        <v>39</v>
      </c>
      <c r="E29" s="203"/>
      <c r="F29" s="203"/>
      <c r="G29" s="203"/>
      <c r="H29" s="203"/>
      <c r="I29" s="57"/>
      <c r="J29" s="58"/>
      <c r="K29" s="58"/>
      <c r="L29" s="57"/>
      <c r="M29" s="57"/>
      <c r="N29" s="58"/>
      <c r="O29" s="63"/>
      <c r="P29" s="63"/>
      <c r="Q29" s="57"/>
      <c r="R29" s="57"/>
    </row>
    <row r="30" spans="1:18" ht="15.75">
      <c r="A30" s="60"/>
      <c r="B30" s="60"/>
      <c r="C30" s="7" t="s">
        <v>40</v>
      </c>
      <c r="D30" s="211"/>
      <c r="E30" s="203"/>
      <c r="F30" s="203"/>
      <c r="G30" s="203"/>
      <c r="H30" s="204"/>
      <c r="I30" s="2"/>
      <c r="J30" s="58"/>
      <c r="K30" s="58"/>
      <c r="L30" s="57"/>
      <c r="M30" s="57"/>
      <c r="N30" s="58"/>
      <c r="O30" s="58"/>
      <c r="P30" s="58"/>
      <c r="Q30" s="57"/>
      <c r="R30" s="57"/>
    </row>
    <row r="31" spans="1:18" ht="15.75">
      <c r="A31" s="56"/>
      <c r="B31" s="57"/>
      <c r="C31" s="57"/>
      <c r="D31" s="8"/>
      <c r="E31" s="8"/>
      <c r="F31" s="8"/>
      <c r="G31" s="8"/>
      <c r="H31" s="8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63">
      <c r="A32" s="64"/>
      <c r="B32" s="65" t="s">
        <v>42</v>
      </c>
      <c r="C32" s="10" t="s">
        <v>43</v>
      </c>
      <c r="D32" s="7" t="s">
        <v>44</v>
      </c>
      <c r="E32" s="7" t="s">
        <v>45</v>
      </c>
      <c r="F32" s="7" t="s">
        <v>46</v>
      </c>
      <c r="G32" s="7" t="s">
        <v>47</v>
      </c>
      <c r="H32" s="7" t="s">
        <v>48</v>
      </c>
      <c r="I32" s="7" t="s">
        <v>49</v>
      </c>
      <c r="J32" s="11" t="s">
        <v>50</v>
      </c>
      <c r="K32" s="11" t="s">
        <v>51</v>
      </c>
      <c r="L32" s="7" t="s">
        <v>52</v>
      </c>
      <c r="M32" s="7" t="s">
        <v>53</v>
      </c>
      <c r="N32" s="11" t="s">
        <v>54</v>
      </c>
      <c r="O32" s="11" t="s">
        <v>55</v>
      </c>
      <c r="P32" s="11" t="s">
        <v>56</v>
      </c>
      <c r="Q32" s="7" t="s">
        <v>57</v>
      </c>
      <c r="R32" s="7" t="s">
        <v>58</v>
      </c>
    </row>
    <row r="33" spans="1:18" ht="356.25">
      <c r="B33" s="57"/>
      <c r="C33" s="3" t="s">
        <v>74</v>
      </c>
      <c r="D33" s="12" t="s">
        <v>75</v>
      </c>
      <c r="E33" s="12" t="s">
        <v>76</v>
      </c>
      <c r="F33" s="12" t="s">
        <v>77</v>
      </c>
      <c r="G33" s="13" t="s">
        <v>78</v>
      </c>
      <c r="H33" s="13" t="s">
        <v>79</v>
      </c>
      <c r="I33" s="12" t="s">
        <v>80</v>
      </c>
      <c r="J33" s="14" t="s">
        <v>81</v>
      </c>
      <c r="K33" s="14" t="s">
        <v>82</v>
      </c>
      <c r="L33" s="13" t="s">
        <v>83</v>
      </c>
      <c r="M33" s="13" t="s">
        <v>338</v>
      </c>
      <c r="N33" s="15" t="s">
        <v>85</v>
      </c>
      <c r="O33" s="109">
        <v>44511</v>
      </c>
      <c r="P33" s="14" t="s">
        <v>382</v>
      </c>
      <c r="Q33" s="12" t="s">
        <v>86</v>
      </c>
      <c r="R33" s="12" t="s">
        <v>87</v>
      </c>
    </row>
    <row r="34" spans="1:18" ht="199.5">
      <c r="B34" s="67" t="s">
        <v>7</v>
      </c>
      <c r="C34" s="3" t="s">
        <v>88</v>
      </c>
      <c r="D34" s="12" t="s">
        <v>89</v>
      </c>
      <c r="E34" s="12" t="s">
        <v>90</v>
      </c>
      <c r="F34" s="12" t="s">
        <v>91</v>
      </c>
      <c r="G34" s="13" t="s">
        <v>92</v>
      </c>
      <c r="H34" s="13" t="s">
        <v>79</v>
      </c>
      <c r="I34" s="12" t="s">
        <v>93</v>
      </c>
      <c r="J34" s="18" t="s">
        <v>94</v>
      </c>
      <c r="K34" s="19" t="s">
        <v>95</v>
      </c>
      <c r="L34" s="13" t="s">
        <v>83</v>
      </c>
      <c r="M34" s="13" t="s">
        <v>338</v>
      </c>
      <c r="N34" s="15" t="s">
        <v>85</v>
      </c>
      <c r="O34" s="109">
        <v>1505977</v>
      </c>
      <c r="P34" s="17"/>
      <c r="Q34" s="12" t="s">
        <v>96</v>
      </c>
      <c r="R34" s="12" t="s">
        <v>97</v>
      </c>
    </row>
    <row r="35" spans="1:18" ht="185.25">
      <c r="B35" s="70" t="s">
        <v>98</v>
      </c>
      <c r="C35" s="20" t="s">
        <v>99</v>
      </c>
      <c r="D35" s="12" t="s">
        <v>100</v>
      </c>
      <c r="E35" s="12" t="s">
        <v>101</v>
      </c>
      <c r="F35" s="12" t="s">
        <v>102</v>
      </c>
      <c r="G35" s="12" t="s">
        <v>103</v>
      </c>
      <c r="H35" s="12" t="s">
        <v>79</v>
      </c>
      <c r="I35" s="12" t="s">
        <v>104</v>
      </c>
      <c r="J35" s="12" t="s">
        <v>105</v>
      </c>
      <c r="K35" s="71" t="s">
        <v>106</v>
      </c>
      <c r="L35" s="12" t="s">
        <v>107</v>
      </c>
      <c r="M35" s="12" t="s">
        <v>84</v>
      </c>
      <c r="N35" s="12" t="s">
        <v>85</v>
      </c>
      <c r="O35" s="111">
        <v>0.9</v>
      </c>
      <c r="P35" s="14" t="s">
        <v>382</v>
      </c>
      <c r="Q35" s="12" t="s">
        <v>86</v>
      </c>
      <c r="R35" s="12" t="s">
        <v>108</v>
      </c>
    </row>
    <row r="36" spans="1:18" ht="156.75">
      <c r="A36" s="72" t="s">
        <v>74</v>
      </c>
      <c r="B36" s="73"/>
      <c r="C36" s="22" t="s">
        <v>109</v>
      </c>
      <c r="D36" s="12" t="s">
        <v>110</v>
      </c>
      <c r="E36" s="23" t="s">
        <v>111</v>
      </c>
      <c r="F36" s="12" t="s">
        <v>112</v>
      </c>
      <c r="G36" s="24" t="s">
        <v>103</v>
      </c>
      <c r="H36" s="24" t="s">
        <v>113</v>
      </c>
      <c r="I36" s="23" t="s">
        <v>114</v>
      </c>
      <c r="J36" s="25" t="s">
        <v>115</v>
      </c>
      <c r="K36" s="14" t="s">
        <v>116</v>
      </c>
      <c r="L36" s="12" t="s">
        <v>107</v>
      </c>
      <c r="M36" s="26" t="s">
        <v>84</v>
      </c>
      <c r="N36" s="12">
        <v>517</v>
      </c>
      <c r="O36" s="12">
        <v>7450</v>
      </c>
      <c r="P36" s="114" t="s">
        <v>365</v>
      </c>
      <c r="Q36" s="13" t="s">
        <v>117</v>
      </c>
      <c r="R36" s="12" t="s">
        <v>118</v>
      </c>
    </row>
    <row r="37" spans="1:18" ht="142.5">
      <c r="A37" s="74" t="s">
        <v>88</v>
      </c>
      <c r="B37" s="73"/>
      <c r="C37" s="22" t="s">
        <v>119</v>
      </c>
      <c r="D37" s="12" t="s">
        <v>120</v>
      </c>
      <c r="E37" s="12" t="s">
        <v>121</v>
      </c>
      <c r="F37" s="12" t="s">
        <v>122</v>
      </c>
      <c r="G37" s="24" t="s">
        <v>103</v>
      </c>
      <c r="H37" s="24" t="s">
        <v>113</v>
      </c>
      <c r="I37" s="12" t="s">
        <v>123</v>
      </c>
      <c r="J37" s="25" t="s">
        <v>124</v>
      </c>
      <c r="K37" s="14" t="s">
        <v>125</v>
      </c>
      <c r="L37" s="12" t="s">
        <v>107</v>
      </c>
      <c r="M37" s="28" t="s">
        <v>84</v>
      </c>
      <c r="N37" s="12">
        <v>925</v>
      </c>
      <c r="O37" s="35">
        <v>640</v>
      </c>
      <c r="P37" s="114" t="s">
        <v>366</v>
      </c>
      <c r="Q37" s="12" t="s">
        <v>126</v>
      </c>
      <c r="R37" s="12" t="s">
        <v>127</v>
      </c>
    </row>
    <row r="38" spans="1:18" ht="114">
      <c r="A38" s="74" t="s">
        <v>128</v>
      </c>
      <c r="B38" s="73"/>
      <c r="C38" s="22" t="s">
        <v>129</v>
      </c>
      <c r="D38" s="12" t="s">
        <v>130</v>
      </c>
      <c r="E38" s="12" t="s">
        <v>131</v>
      </c>
      <c r="F38" s="12" t="s">
        <v>132</v>
      </c>
      <c r="G38" s="24" t="s">
        <v>103</v>
      </c>
      <c r="H38" s="24" t="s">
        <v>113</v>
      </c>
      <c r="I38" s="23" t="s">
        <v>133</v>
      </c>
      <c r="J38" s="30" t="s">
        <v>134</v>
      </c>
      <c r="K38" s="30" t="s">
        <v>135</v>
      </c>
      <c r="L38" s="12" t="s">
        <v>107</v>
      </c>
      <c r="M38" s="28" t="s">
        <v>84</v>
      </c>
      <c r="N38" s="12">
        <v>10405</v>
      </c>
      <c r="O38" s="33">
        <v>5000</v>
      </c>
      <c r="P38" s="114" t="s">
        <v>367</v>
      </c>
      <c r="Q38" s="12" t="s">
        <v>136</v>
      </c>
      <c r="R38" s="12" t="s">
        <v>137</v>
      </c>
    </row>
    <row r="39" spans="1:18" ht="199.5">
      <c r="A39" s="74" t="s">
        <v>74</v>
      </c>
      <c r="B39" s="73"/>
      <c r="C39" s="22" t="s">
        <v>138</v>
      </c>
      <c r="D39" s="12" t="s">
        <v>139</v>
      </c>
      <c r="E39" s="12" t="s">
        <v>140</v>
      </c>
      <c r="F39" s="12" t="s">
        <v>141</v>
      </c>
      <c r="G39" s="24" t="s">
        <v>103</v>
      </c>
      <c r="H39" s="24" t="s">
        <v>113</v>
      </c>
      <c r="I39" s="23" t="s">
        <v>142</v>
      </c>
      <c r="J39" s="32" t="s">
        <v>143</v>
      </c>
      <c r="K39" s="32" t="s">
        <v>144</v>
      </c>
      <c r="L39" s="12" t="s">
        <v>107</v>
      </c>
      <c r="M39" s="28" t="s">
        <v>84</v>
      </c>
      <c r="N39" s="33">
        <v>9826</v>
      </c>
      <c r="O39" s="33">
        <v>8791</v>
      </c>
      <c r="P39" s="14" t="s">
        <v>368</v>
      </c>
      <c r="Q39" s="23" t="s">
        <v>117</v>
      </c>
      <c r="R39" s="12" t="s">
        <v>145</v>
      </c>
    </row>
    <row r="40" spans="1:18" ht="114">
      <c r="A40" s="74" t="s">
        <v>88</v>
      </c>
      <c r="B40" s="73"/>
      <c r="C40" s="22" t="s">
        <v>146</v>
      </c>
      <c r="D40" s="12" t="s">
        <v>147</v>
      </c>
      <c r="E40" s="12" t="s">
        <v>148</v>
      </c>
      <c r="F40" s="12" t="s">
        <v>149</v>
      </c>
      <c r="G40" s="24" t="s">
        <v>103</v>
      </c>
      <c r="H40" s="12" t="s">
        <v>113</v>
      </c>
      <c r="I40" s="23" t="s">
        <v>150</v>
      </c>
      <c r="J40" s="30" t="s">
        <v>151</v>
      </c>
      <c r="K40" s="30" t="s">
        <v>152</v>
      </c>
      <c r="L40" s="12" t="s">
        <v>107</v>
      </c>
      <c r="M40" s="34" t="s">
        <v>84</v>
      </c>
      <c r="N40" s="35">
        <v>1378450</v>
      </c>
      <c r="O40" s="33">
        <v>1190350</v>
      </c>
      <c r="P40" s="14" t="s">
        <v>369</v>
      </c>
      <c r="Q40" s="13" t="s">
        <v>153</v>
      </c>
      <c r="R40" s="12" t="s">
        <v>154</v>
      </c>
    </row>
    <row r="41" spans="1:18" ht="128.25">
      <c r="A41" s="74" t="s">
        <v>88</v>
      </c>
      <c r="B41" s="73"/>
      <c r="C41" s="22" t="s">
        <v>155</v>
      </c>
      <c r="D41" s="12" t="s">
        <v>156</v>
      </c>
      <c r="E41" s="12" t="s">
        <v>157</v>
      </c>
      <c r="F41" s="12" t="s">
        <v>158</v>
      </c>
      <c r="G41" s="24" t="s">
        <v>103</v>
      </c>
      <c r="H41" s="12" t="s">
        <v>113</v>
      </c>
      <c r="I41" s="23" t="s">
        <v>159</v>
      </c>
      <c r="J41" s="30" t="s">
        <v>151</v>
      </c>
      <c r="K41" s="30" t="s">
        <v>160</v>
      </c>
      <c r="L41" s="12" t="s">
        <v>107</v>
      </c>
      <c r="M41" s="34" t="s">
        <v>84</v>
      </c>
      <c r="N41" s="33">
        <v>26296</v>
      </c>
      <c r="O41" s="33">
        <v>26292</v>
      </c>
      <c r="P41" s="14" t="s">
        <v>370</v>
      </c>
      <c r="Q41" s="13" t="s">
        <v>153</v>
      </c>
      <c r="R41" s="12" t="s">
        <v>161</v>
      </c>
    </row>
    <row r="42" spans="1:18" ht="156.75">
      <c r="A42" s="74" t="s">
        <v>88</v>
      </c>
      <c r="B42" s="73"/>
      <c r="C42" s="22" t="s">
        <v>162</v>
      </c>
      <c r="D42" s="12" t="s">
        <v>163</v>
      </c>
      <c r="E42" s="12" t="s">
        <v>164</v>
      </c>
      <c r="F42" s="12" t="s">
        <v>165</v>
      </c>
      <c r="G42" s="24" t="s">
        <v>103</v>
      </c>
      <c r="H42" s="12" t="s">
        <v>113</v>
      </c>
      <c r="I42" s="23" t="s">
        <v>150</v>
      </c>
      <c r="J42" s="30" t="s">
        <v>151</v>
      </c>
      <c r="K42" s="30" t="s">
        <v>152</v>
      </c>
      <c r="L42" s="12" t="s">
        <v>107</v>
      </c>
      <c r="M42" s="34" t="s">
        <v>84</v>
      </c>
      <c r="N42" s="35">
        <v>4560</v>
      </c>
      <c r="O42" s="33">
        <v>4020</v>
      </c>
      <c r="P42" s="14" t="s">
        <v>370</v>
      </c>
      <c r="Q42" s="13" t="s">
        <v>153</v>
      </c>
      <c r="R42" s="12" t="s">
        <v>166</v>
      </c>
    </row>
    <row r="43" spans="1:18" ht="114">
      <c r="A43" s="74" t="s">
        <v>128</v>
      </c>
      <c r="B43" s="73"/>
      <c r="C43" s="22" t="s">
        <v>167</v>
      </c>
      <c r="D43" s="12" t="s">
        <v>168</v>
      </c>
      <c r="E43" s="12" t="s">
        <v>169</v>
      </c>
      <c r="F43" s="12" t="s">
        <v>170</v>
      </c>
      <c r="G43" s="24" t="s">
        <v>103</v>
      </c>
      <c r="H43" s="12" t="s">
        <v>113</v>
      </c>
      <c r="I43" s="12" t="s">
        <v>171</v>
      </c>
      <c r="J43" s="30" t="s">
        <v>172</v>
      </c>
      <c r="K43" s="30" t="s">
        <v>173</v>
      </c>
      <c r="L43" s="12" t="s">
        <v>107</v>
      </c>
      <c r="M43" s="34" t="s">
        <v>84</v>
      </c>
      <c r="N43" s="35">
        <v>7997</v>
      </c>
      <c r="O43" s="33">
        <v>6000</v>
      </c>
      <c r="P43" s="14" t="s">
        <v>371</v>
      </c>
      <c r="Q43" s="12" t="s">
        <v>174</v>
      </c>
      <c r="R43" s="12" t="s">
        <v>175</v>
      </c>
    </row>
    <row r="44" spans="1:18" ht="128.25">
      <c r="A44" s="74" t="s">
        <v>74</v>
      </c>
      <c r="B44" s="73"/>
      <c r="C44" s="22" t="s">
        <v>176</v>
      </c>
      <c r="D44" s="12" t="s">
        <v>177</v>
      </c>
      <c r="E44" s="12" t="s">
        <v>178</v>
      </c>
      <c r="F44" s="12" t="s">
        <v>179</v>
      </c>
      <c r="G44" s="12" t="s">
        <v>103</v>
      </c>
      <c r="H44" s="12" t="s">
        <v>113</v>
      </c>
      <c r="I44" s="12" t="s">
        <v>180</v>
      </c>
      <c r="J44" s="12" t="s">
        <v>181</v>
      </c>
      <c r="K44" s="12">
        <v>4</v>
      </c>
      <c r="L44" s="12" t="s">
        <v>182</v>
      </c>
      <c r="M44" s="12" t="s">
        <v>183</v>
      </c>
      <c r="N44" s="12">
        <v>2676</v>
      </c>
      <c r="O44" s="12">
        <v>2550</v>
      </c>
      <c r="P44" s="12">
        <v>573</v>
      </c>
      <c r="Q44" s="12" t="s">
        <v>184</v>
      </c>
      <c r="R44" s="12" t="s">
        <v>185</v>
      </c>
    </row>
    <row r="45" spans="1:18" ht="128.25">
      <c r="A45" s="74" t="s">
        <v>88</v>
      </c>
      <c r="B45" s="73"/>
      <c r="C45" s="22" t="s">
        <v>186</v>
      </c>
      <c r="D45" s="12" t="s">
        <v>187</v>
      </c>
      <c r="E45" s="12" t="s">
        <v>188</v>
      </c>
      <c r="F45" s="12" t="s">
        <v>189</v>
      </c>
      <c r="G45" s="12" t="s">
        <v>103</v>
      </c>
      <c r="H45" s="12" t="s">
        <v>113</v>
      </c>
      <c r="I45" s="12" t="s">
        <v>190</v>
      </c>
      <c r="J45" s="12" t="s">
        <v>191</v>
      </c>
      <c r="K45" s="12" t="s">
        <v>192</v>
      </c>
      <c r="L45" s="12" t="s">
        <v>107</v>
      </c>
      <c r="M45" s="12" t="s">
        <v>84</v>
      </c>
      <c r="N45" s="12" t="s">
        <v>85</v>
      </c>
      <c r="O45" s="12">
        <v>15000</v>
      </c>
      <c r="P45" s="12" t="s">
        <v>372</v>
      </c>
      <c r="Q45" s="12" t="s">
        <v>184</v>
      </c>
      <c r="R45" s="12" t="s">
        <v>185</v>
      </c>
    </row>
    <row r="46" spans="1:18" ht="128.25">
      <c r="A46" s="74" t="s">
        <v>88</v>
      </c>
      <c r="B46" s="73"/>
      <c r="C46" s="22" t="s">
        <v>193</v>
      </c>
      <c r="D46" s="12" t="s">
        <v>194</v>
      </c>
      <c r="E46" s="12" t="s">
        <v>195</v>
      </c>
      <c r="F46" s="12" t="s">
        <v>196</v>
      </c>
      <c r="G46" s="24" t="s">
        <v>103</v>
      </c>
      <c r="H46" s="12" t="s">
        <v>113</v>
      </c>
      <c r="I46" s="23" t="s">
        <v>197</v>
      </c>
      <c r="J46" s="30" t="s">
        <v>198</v>
      </c>
      <c r="K46" s="30" t="s">
        <v>199</v>
      </c>
      <c r="L46" s="12" t="s">
        <v>107</v>
      </c>
      <c r="M46" s="34" t="s">
        <v>84</v>
      </c>
      <c r="N46" s="35">
        <v>28995</v>
      </c>
      <c r="O46" s="33">
        <v>29000</v>
      </c>
      <c r="P46" s="14" t="s">
        <v>373</v>
      </c>
      <c r="Q46" s="13" t="s">
        <v>200</v>
      </c>
      <c r="R46" s="12" t="s">
        <v>201</v>
      </c>
    </row>
    <row r="47" spans="1:18" ht="171">
      <c r="A47" s="74" t="s">
        <v>74</v>
      </c>
      <c r="B47" s="73"/>
      <c r="C47" s="22" t="s">
        <v>202</v>
      </c>
      <c r="D47" s="12" t="s">
        <v>203</v>
      </c>
      <c r="E47" s="12" t="s">
        <v>204</v>
      </c>
      <c r="F47" s="12" t="s">
        <v>205</v>
      </c>
      <c r="G47" s="24" t="s">
        <v>103</v>
      </c>
      <c r="H47" s="12" t="s">
        <v>113</v>
      </c>
      <c r="I47" s="12" t="s">
        <v>206</v>
      </c>
      <c r="J47" s="30" t="s">
        <v>207</v>
      </c>
      <c r="K47" s="30">
        <v>4</v>
      </c>
      <c r="L47" s="12" t="s">
        <v>182</v>
      </c>
      <c r="M47" s="34" t="s">
        <v>183</v>
      </c>
      <c r="N47" s="12" t="s">
        <v>85</v>
      </c>
      <c r="O47" s="35">
        <v>1500</v>
      </c>
      <c r="P47" s="14">
        <v>382.5</v>
      </c>
      <c r="Q47" s="13" t="s">
        <v>117</v>
      </c>
      <c r="R47" s="12" t="s">
        <v>208</v>
      </c>
    </row>
    <row r="48" spans="1:18" ht="171">
      <c r="A48" s="74" t="s">
        <v>88</v>
      </c>
      <c r="B48" s="73"/>
      <c r="C48" s="22" t="s">
        <v>209</v>
      </c>
      <c r="D48" s="12" t="s">
        <v>210</v>
      </c>
      <c r="E48" s="12" t="s">
        <v>211</v>
      </c>
      <c r="F48" s="12" t="s">
        <v>212</v>
      </c>
      <c r="G48" s="24" t="s">
        <v>103</v>
      </c>
      <c r="H48" s="12" t="s">
        <v>113</v>
      </c>
      <c r="I48" s="23" t="s">
        <v>213</v>
      </c>
      <c r="J48" s="30" t="s">
        <v>214</v>
      </c>
      <c r="K48" s="30" t="s">
        <v>215</v>
      </c>
      <c r="L48" s="12" t="s">
        <v>107</v>
      </c>
      <c r="M48" s="34" t="s">
        <v>84</v>
      </c>
      <c r="N48" s="35">
        <v>203457</v>
      </c>
      <c r="O48" s="35">
        <v>224400</v>
      </c>
      <c r="P48" s="14" t="s">
        <v>374</v>
      </c>
      <c r="Q48" s="13" t="s">
        <v>117</v>
      </c>
      <c r="R48" s="12" t="s">
        <v>208</v>
      </c>
    </row>
    <row r="49" spans="1:18" ht="114">
      <c r="A49" s="74" t="s">
        <v>74</v>
      </c>
      <c r="B49" s="73"/>
      <c r="C49" s="22" t="s">
        <v>216</v>
      </c>
      <c r="D49" s="37" t="s">
        <v>217</v>
      </c>
      <c r="E49" s="37" t="s">
        <v>218</v>
      </c>
      <c r="F49" s="37" t="s">
        <v>219</v>
      </c>
      <c r="G49" s="38" t="s">
        <v>103</v>
      </c>
      <c r="H49" s="37" t="s">
        <v>113</v>
      </c>
      <c r="I49" s="37" t="s">
        <v>220</v>
      </c>
      <c r="J49" s="39" t="s">
        <v>221</v>
      </c>
      <c r="K49" s="39">
        <v>4</v>
      </c>
      <c r="L49" s="12" t="s">
        <v>182</v>
      </c>
      <c r="M49" s="40" t="s">
        <v>183</v>
      </c>
      <c r="N49" s="41" t="s">
        <v>85</v>
      </c>
      <c r="O49" s="41">
        <v>4500</v>
      </c>
      <c r="P49" s="115">
        <v>1270.5</v>
      </c>
      <c r="Q49" s="12" t="s">
        <v>222</v>
      </c>
      <c r="R49" s="12" t="s">
        <v>223</v>
      </c>
    </row>
    <row r="50" spans="1:18" ht="99.75">
      <c r="A50" s="74" t="s">
        <v>88</v>
      </c>
      <c r="B50" s="73"/>
      <c r="C50" s="22" t="s">
        <v>224</v>
      </c>
      <c r="D50" s="12" t="s">
        <v>225</v>
      </c>
      <c r="E50" s="12" t="s">
        <v>226</v>
      </c>
      <c r="F50" s="12" t="s">
        <v>227</v>
      </c>
      <c r="G50" s="24" t="s">
        <v>103</v>
      </c>
      <c r="H50" s="12" t="s">
        <v>113</v>
      </c>
      <c r="I50" s="12" t="s">
        <v>228</v>
      </c>
      <c r="J50" s="30" t="s">
        <v>229</v>
      </c>
      <c r="K50" s="30">
        <v>4</v>
      </c>
      <c r="L50" s="12" t="s">
        <v>182</v>
      </c>
      <c r="M50" s="34" t="s">
        <v>183</v>
      </c>
      <c r="N50" s="17"/>
      <c r="O50" s="35">
        <v>780</v>
      </c>
      <c r="P50" s="14">
        <v>219</v>
      </c>
      <c r="Q50" s="12" t="s">
        <v>230</v>
      </c>
      <c r="R50" s="12" t="s">
        <v>231</v>
      </c>
    </row>
    <row r="51" spans="1:18" ht="99.75">
      <c r="A51" s="74" t="s">
        <v>74</v>
      </c>
      <c r="B51" s="73"/>
      <c r="C51" s="22" t="s">
        <v>232</v>
      </c>
      <c r="D51" s="12" t="s">
        <v>233</v>
      </c>
      <c r="E51" s="12" t="s">
        <v>234</v>
      </c>
      <c r="F51" s="12" t="s">
        <v>235</v>
      </c>
      <c r="G51" s="24" t="s">
        <v>103</v>
      </c>
      <c r="H51" s="12" t="s">
        <v>113</v>
      </c>
      <c r="I51" s="23" t="s">
        <v>236</v>
      </c>
      <c r="J51" s="30" t="s">
        <v>237</v>
      </c>
      <c r="K51" s="30" t="s">
        <v>238</v>
      </c>
      <c r="L51" s="12" t="s">
        <v>107</v>
      </c>
      <c r="M51" s="34" t="s">
        <v>84</v>
      </c>
      <c r="N51" s="35">
        <v>2037</v>
      </c>
      <c r="O51" s="35">
        <v>2030</v>
      </c>
      <c r="P51" s="14" t="s">
        <v>369</v>
      </c>
      <c r="Q51" s="13" t="s">
        <v>239</v>
      </c>
      <c r="R51" s="12" t="s">
        <v>240</v>
      </c>
    </row>
    <row r="52" spans="1:18" ht="99.75">
      <c r="A52" s="75" t="s">
        <v>88</v>
      </c>
      <c r="B52" s="73"/>
      <c r="C52" s="22" t="s">
        <v>241</v>
      </c>
      <c r="D52" s="12" t="s">
        <v>242</v>
      </c>
      <c r="E52" s="12" t="s">
        <v>243</v>
      </c>
      <c r="F52" s="12" t="s">
        <v>244</v>
      </c>
      <c r="G52" s="24" t="s">
        <v>103</v>
      </c>
      <c r="H52" s="12" t="s">
        <v>113</v>
      </c>
      <c r="I52" s="23" t="s">
        <v>245</v>
      </c>
      <c r="J52" s="30" t="s">
        <v>246</v>
      </c>
      <c r="K52" s="30" t="s">
        <v>247</v>
      </c>
      <c r="L52" s="12" t="s">
        <v>107</v>
      </c>
      <c r="M52" s="34" t="s">
        <v>84</v>
      </c>
      <c r="N52" s="12" t="s">
        <v>85</v>
      </c>
      <c r="O52" s="35">
        <v>1188</v>
      </c>
      <c r="P52" s="14" t="s">
        <v>370</v>
      </c>
      <c r="Q52" s="13" t="s">
        <v>248</v>
      </c>
      <c r="R52" s="12" t="s">
        <v>240</v>
      </c>
    </row>
    <row r="53" spans="1:18" ht="99.75">
      <c r="A53" s="93" t="s">
        <v>74</v>
      </c>
      <c r="B53" s="76" t="s">
        <v>98</v>
      </c>
      <c r="C53" s="44" t="s">
        <v>249</v>
      </c>
      <c r="D53" s="12" t="s">
        <v>250</v>
      </c>
      <c r="E53" s="12" t="s">
        <v>350</v>
      </c>
      <c r="F53" s="12" t="s">
        <v>112</v>
      </c>
      <c r="G53" s="12" t="s">
        <v>103</v>
      </c>
      <c r="H53" s="12" t="s">
        <v>79</v>
      </c>
      <c r="I53" s="12" t="s">
        <v>251</v>
      </c>
      <c r="J53" s="30" t="s">
        <v>252</v>
      </c>
      <c r="K53" s="30" t="s">
        <v>253</v>
      </c>
      <c r="L53" s="12" t="s">
        <v>107</v>
      </c>
      <c r="M53" s="12" t="s">
        <v>84</v>
      </c>
      <c r="N53" s="12">
        <v>4431</v>
      </c>
      <c r="O53" s="12">
        <v>5000</v>
      </c>
      <c r="P53" s="14" t="s">
        <v>375</v>
      </c>
      <c r="Q53" s="12" t="s">
        <v>254</v>
      </c>
      <c r="R53" s="12" t="s">
        <v>255</v>
      </c>
    </row>
    <row r="54" spans="1:18" ht="199.5">
      <c r="A54" s="73" t="s">
        <v>88</v>
      </c>
      <c r="B54" s="73"/>
      <c r="C54" s="45" t="s">
        <v>256</v>
      </c>
      <c r="D54" s="12" t="s">
        <v>257</v>
      </c>
      <c r="E54" s="12" t="s">
        <v>258</v>
      </c>
      <c r="F54" s="12" t="s">
        <v>259</v>
      </c>
      <c r="G54" s="12" t="s">
        <v>103</v>
      </c>
      <c r="H54" s="12" t="s">
        <v>113</v>
      </c>
      <c r="I54" s="12" t="s">
        <v>260</v>
      </c>
      <c r="J54" s="30" t="s">
        <v>261</v>
      </c>
      <c r="K54" s="30" t="s">
        <v>262</v>
      </c>
      <c r="L54" s="12" t="s">
        <v>107</v>
      </c>
      <c r="M54" s="12" t="s">
        <v>84</v>
      </c>
      <c r="N54" s="12">
        <v>17</v>
      </c>
      <c r="O54" s="12">
        <v>7</v>
      </c>
      <c r="P54" s="114" t="s">
        <v>376</v>
      </c>
      <c r="Q54" s="12" t="s">
        <v>263</v>
      </c>
      <c r="R54" s="12" t="s">
        <v>264</v>
      </c>
    </row>
    <row r="55" spans="1:18" ht="128.25">
      <c r="A55" s="93" t="s">
        <v>88</v>
      </c>
      <c r="B55" s="77" t="s">
        <v>98</v>
      </c>
      <c r="C55" s="20" t="s">
        <v>265</v>
      </c>
      <c r="D55" s="12" t="s">
        <v>266</v>
      </c>
      <c r="E55" s="12" t="s">
        <v>267</v>
      </c>
      <c r="F55" s="12" t="s">
        <v>268</v>
      </c>
      <c r="G55" s="12" t="s">
        <v>103</v>
      </c>
      <c r="H55" s="12" t="s">
        <v>79</v>
      </c>
      <c r="I55" s="12" t="s">
        <v>269</v>
      </c>
      <c r="J55" s="46" t="s">
        <v>270</v>
      </c>
      <c r="K55" s="47" t="s">
        <v>271</v>
      </c>
      <c r="L55" s="12" t="s">
        <v>107</v>
      </c>
      <c r="M55" s="12" t="s">
        <v>84</v>
      </c>
      <c r="N55" s="48" t="s">
        <v>85</v>
      </c>
      <c r="O55" s="12">
        <v>1100</v>
      </c>
      <c r="P55" s="14" t="s">
        <v>377</v>
      </c>
      <c r="Q55" s="12" t="s">
        <v>272</v>
      </c>
      <c r="R55" s="12" t="s">
        <v>273</v>
      </c>
    </row>
    <row r="56" spans="1:18" ht="156.75">
      <c r="A56" s="72" t="s">
        <v>74</v>
      </c>
      <c r="B56" s="78"/>
      <c r="C56" s="22" t="s">
        <v>274</v>
      </c>
      <c r="D56" s="12" t="s">
        <v>275</v>
      </c>
      <c r="E56" s="12" t="s">
        <v>276</v>
      </c>
      <c r="F56" s="12" t="s">
        <v>277</v>
      </c>
      <c r="G56" s="12" t="s">
        <v>103</v>
      </c>
      <c r="H56" s="12" t="s">
        <v>113</v>
      </c>
      <c r="I56" s="12" t="s">
        <v>278</v>
      </c>
      <c r="J56" s="30" t="s">
        <v>279</v>
      </c>
      <c r="K56" s="30" t="s">
        <v>280</v>
      </c>
      <c r="L56" s="12" t="s">
        <v>107</v>
      </c>
      <c r="M56" s="12" t="s">
        <v>84</v>
      </c>
      <c r="N56" s="48" t="s">
        <v>85</v>
      </c>
      <c r="O56" s="12">
        <v>700</v>
      </c>
      <c r="P56" s="14" t="s">
        <v>378</v>
      </c>
      <c r="Q56" s="12" t="s">
        <v>281</v>
      </c>
      <c r="R56" s="12" t="s">
        <v>282</v>
      </c>
    </row>
    <row r="57" spans="1:18" ht="114">
      <c r="A57" s="75" t="s">
        <v>88</v>
      </c>
      <c r="B57" s="78"/>
      <c r="C57" s="22" t="s">
        <v>283</v>
      </c>
      <c r="D57" s="12" t="s">
        <v>284</v>
      </c>
      <c r="E57" s="12" t="s">
        <v>285</v>
      </c>
      <c r="F57" s="12" t="s">
        <v>286</v>
      </c>
      <c r="G57" s="12" t="s">
        <v>103</v>
      </c>
      <c r="H57" s="12" t="s">
        <v>113</v>
      </c>
      <c r="I57" s="12" t="s">
        <v>287</v>
      </c>
      <c r="J57" s="30" t="s">
        <v>288</v>
      </c>
      <c r="K57" s="30" t="s">
        <v>289</v>
      </c>
      <c r="L57" s="12" t="s">
        <v>107</v>
      </c>
      <c r="M57" s="12" t="s">
        <v>84</v>
      </c>
      <c r="N57" s="48" t="s">
        <v>85</v>
      </c>
      <c r="O57" s="12">
        <v>400</v>
      </c>
      <c r="P57" s="116" t="s">
        <v>379</v>
      </c>
      <c r="Q57" s="12" t="s">
        <v>290</v>
      </c>
      <c r="R57" s="12" t="s">
        <v>291</v>
      </c>
    </row>
    <row r="58" spans="1:18" ht="128.25">
      <c r="B58" s="76" t="s">
        <v>292</v>
      </c>
      <c r="C58" s="20" t="s">
        <v>293</v>
      </c>
      <c r="D58" s="12" t="s">
        <v>294</v>
      </c>
      <c r="E58" s="12" t="s">
        <v>295</v>
      </c>
      <c r="F58" s="12" t="s">
        <v>296</v>
      </c>
      <c r="G58" s="12" t="s">
        <v>103</v>
      </c>
      <c r="H58" s="12" t="s">
        <v>79</v>
      </c>
      <c r="I58" s="12" t="s">
        <v>297</v>
      </c>
      <c r="J58" s="30" t="s">
        <v>298</v>
      </c>
      <c r="K58" s="30" t="s">
        <v>299</v>
      </c>
      <c r="L58" s="12" t="s">
        <v>107</v>
      </c>
      <c r="M58" s="12" t="s">
        <v>84</v>
      </c>
      <c r="N58" s="49">
        <v>12</v>
      </c>
      <c r="O58" s="12">
        <v>12</v>
      </c>
      <c r="P58" s="116" t="s">
        <v>370</v>
      </c>
      <c r="Q58" s="12" t="s">
        <v>300</v>
      </c>
      <c r="R58" s="12" t="s">
        <v>301</v>
      </c>
    </row>
    <row r="59" spans="1:18" ht="128.25">
      <c r="A59" s="73" t="s">
        <v>74</v>
      </c>
      <c r="B59" s="73"/>
      <c r="C59" s="22" t="s">
        <v>302</v>
      </c>
      <c r="D59" s="12" t="s">
        <v>303</v>
      </c>
      <c r="E59" s="12" t="s">
        <v>304</v>
      </c>
      <c r="F59" s="13" t="s">
        <v>305</v>
      </c>
      <c r="G59" s="12" t="s">
        <v>103</v>
      </c>
      <c r="H59" s="12" t="s">
        <v>113</v>
      </c>
      <c r="I59" s="12" t="s">
        <v>380</v>
      </c>
      <c r="J59" s="30" t="s">
        <v>307</v>
      </c>
      <c r="K59" s="30">
        <v>4</v>
      </c>
      <c r="L59" s="12" t="s">
        <v>182</v>
      </c>
      <c r="M59" s="12" t="s">
        <v>183</v>
      </c>
      <c r="N59" s="48" t="s">
        <v>85</v>
      </c>
      <c r="O59" s="12">
        <v>990</v>
      </c>
      <c r="P59" s="14">
        <v>60.8</v>
      </c>
      <c r="Q59" s="12" t="s">
        <v>308</v>
      </c>
      <c r="R59" s="12" t="s">
        <v>309</v>
      </c>
    </row>
    <row r="60" spans="1:18" ht="171.75">
      <c r="A60" s="73" t="s">
        <v>88</v>
      </c>
      <c r="B60" s="73"/>
      <c r="C60" s="22" t="s">
        <v>310</v>
      </c>
      <c r="D60" s="79" t="s">
        <v>311</v>
      </c>
      <c r="E60" s="80" t="s">
        <v>312</v>
      </c>
      <c r="F60" s="81" t="s">
        <v>313</v>
      </c>
      <c r="G60" s="80" t="s">
        <v>103</v>
      </c>
      <c r="H60" s="80" t="s">
        <v>113</v>
      </c>
      <c r="I60" s="81" t="s">
        <v>314</v>
      </c>
      <c r="J60" s="82" t="s">
        <v>315</v>
      </c>
      <c r="K60" s="83" t="s">
        <v>316</v>
      </c>
      <c r="L60" s="81" t="s">
        <v>107</v>
      </c>
      <c r="M60" s="81" t="s">
        <v>84</v>
      </c>
      <c r="N60" s="84" t="s">
        <v>85</v>
      </c>
      <c r="O60" s="81">
        <v>1800</v>
      </c>
      <c r="P60" s="117" t="s">
        <v>381</v>
      </c>
      <c r="Q60" s="80" t="s">
        <v>317</v>
      </c>
      <c r="R60" s="80" t="s">
        <v>309</v>
      </c>
    </row>
    <row r="61" spans="1:18" ht="15.75">
      <c r="A61" s="86"/>
      <c r="B61" s="87"/>
    </row>
    <row r="62" spans="1:18" ht="15.75">
      <c r="D62" s="88"/>
      <c r="E62" s="88"/>
      <c r="F62" s="88"/>
      <c r="G62" s="88"/>
      <c r="H62" s="88"/>
    </row>
    <row r="63" spans="1:18" ht="15.75">
      <c r="D63" s="88"/>
      <c r="E63" s="88"/>
      <c r="F63" s="88"/>
      <c r="G63" s="88"/>
      <c r="H63" s="88"/>
    </row>
    <row r="64" spans="1:18" ht="15.75">
      <c r="D64" s="88"/>
      <c r="E64" s="88"/>
      <c r="F64" s="88"/>
      <c r="G64" s="88"/>
      <c r="H64" s="88"/>
    </row>
    <row r="65" spans="4:8" ht="15.75">
      <c r="D65" s="88"/>
      <c r="E65" s="88"/>
      <c r="F65" s="88"/>
      <c r="G65" s="88"/>
      <c r="H65" s="88"/>
    </row>
    <row r="66" spans="4:8" ht="15.75">
      <c r="D66" s="88"/>
      <c r="E66" s="88"/>
      <c r="F66" s="88"/>
      <c r="G66" s="88"/>
      <c r="H66" s="88"/>
    </row>
    <row r="67" spans="4:8" ht="15.75">
      <c r="D67" s="88"/>
      <c r="E67" s="88"/>
      <c r="F67" s="88"/>
      <c r="G67" s="88"/>
      <c r="H67" s="88"/>
    </row>
    <row r="68" spans="4:8" ht="15.75">
      <c r="D68" s="88"/>
      <c r="E68" s="88"/>
      <c r="F68" s="88"/>
      <c r="G68" s="88"/>
      <c r="H68" s="88"/>
    </row>
    <row r="69" spans="4:8" ht="15.75">
      <c r="D69" s="88"/>
      <c r="E69" s="88"/>
      <c r="F69" s="88"/>
      <c r="G69" s="88"/>
      <c r="H69" s="88"/>
    </row>
    <row r="70" spans="4:8" ht="15.75">
      <c r="D70" s="88"/>
      <c r="E70" s="88"/>
      <c r="F70" s="88"/>
      <c r="G70" s="88"/>
      <c r="H70" s="88"/>
    </row>
    <row r="71" spans="4:8" ht="15.75">
      <c r="D71" s="88"/>
      <c r="E71" s="88"/>
      <c r="F71" s="88"/>
      <c r="G71" s="88"/>
      <c r="H71" s="88"/>
    </row>
    <row r="72" spans="4:8" ht="15.75">
      <c r="D72" s="88"/>
      <c r="E72" s="88"/>
      <c r="F72" s="88"/>
      <c r="G72" s="88"/>
      <c r="H72" s="88"/>
    </row>
    <row r="73" spans="4:8" ht="15.75">
      <c r="D73" s="88"/>
      <c r="E73" s="88"/>
      <c r="F73" s="88"/>
      <c r="G73" s="88"/>
      <c r="H73" s="88"/>
    </row>
    <row r="74" spans="4:8" ht="15.75">
      <c r="D74" s="88"/>
      <c r="E74" s="88"/>
      <c r="F74" s="88"/>
      <c r="G74" s="88"/>
      <c r="H74" s="88"/>
    </row>
    <row r="75" spans="4:8" ht="15.75">
      <c r="D75" s="88"/>
      <c r="E75" s="88"/>
      <c r="F75" s="88"/>
      <c r="G75" s="88"/>
      <c r="H75" s="88"/>
    </row>
    <row r="76" spans="4:8" ht="15.75">
      <c r="D76" s="88"/>
      <c r="E76" s="88"/>
      <c r="F76" s="88"/>
      <c r="G76" s="88"/>
      <c r="H76" s="88"/>
    </row>
    <row r="77" spans="4:8" ht="15.75">
      <c r="D77" s="88"/>
      <c r="E77" s="88"/>
      <c r="F77" s="88"/>
      <c r="G77" s="88"/>
      <c r="H77" s="88"/>
    </row>
    <row r="78" spans="4:8" ht="15.75">
      <c r="D78" s="88"/>
      <c r="E78" s="88"/>
      <c r="F78" s="88"/>
      <c r="G78" s="88"/>
      <c r="H78" s="88"/>
    </row>
    <row r="79" spans="4:8" ht="15.75">
      <c r="D79" s="88"/>
      <c r="E79" s="88"/>
      <c r="F79" s="88"/>
      <c r="G79" s="88"/>
      <c r="H79" s="88"/>
    </row>
    <row r="80" spans="4:8" ht="15.75">
      <c r="D80" s="88"/>
      <c r="E80" s="88"/>
      <c r="F80" s="88"/>
      <c r="G80" s="88"/>
      <c r="H80" s="88"/>
    </row>
    <row r="81" spans="4:8" ht="15.75">
      <c r="D81" s="88"/>
      <c r="E81" s="88"/>
      <c r="F81" s="88"/>
      <c r="G81" s="88"/>
      <c r="H81" s="88"/>
    </row>
    <row r="82" spans="4:8" ht="15.75">
      <c r="D82" s="88"/>
      <c r="E82" s="88"/>
      <c r="F82" s="88"/>
      <c r="G82" s="88"/>
      <c r="H82" s="88"/>
    </row>
    <row r="83" spans="4:8" ht="15.75">
      <c r="D83" s="88"/>
      <c r="E83" s="88"/>
      <c r="F83" s="88"/>
      <c r="G83" s="88"/>
      <c r="H83" s="88"/>
    </row>
    <row r="84" spans="4:8" ht="15.75">
      <c r="D84" s="88"/>
      <c r="E84" s="88"/>
      <c r="F84" s="88"/>
      <c r="G84" s="88"/>
      <c r="H84" s="88"/>
    </row>
    <row r="85" spans="4:8" ht="15.75">
      <c r="D85" s="88"/>
      <c r="E85" s="88"/>
      <c r="F85" s="88"/>
      <c r="G85" s="88"/>
      <c r="H85" s="88"/>
    </row>
    <row r="86" spans="4:8" ht="15.75">
      <c r="D86" s="88"/>
      <c r="E86" s="88"/>
      <c r="F86" s="88"/>
      <c r="G86" s="88"/>
      <c r="H86" s="88"/>
    </row>
    <row r="87" spans="4:8" ht="15.75">
      <c r="D87" s="88"/>
      <c r="E87" s="88"/>
      <c r="F87" s="88"/>
      <c r="G87" s="88"/>
      <c r="H87" s="88"/>
    </row>
    <row r="88" spans="4:8" ht="15.75">
      <c r="D88" s="88"/>
      <c r="E88" s="88"/>
      <c r="F88" s="88"/>
      <c r="G88" s="88"/>
      <c r="H88" s="88"/>
    </row>
    <row r="89" spans="4:8" ht="15.75">
      <c r="D89" s="88"/>
      <c r="E89" s="88"/>
      <c r="F89" s="88"/>
      <c r="G89" s="88"/>
      <c r="H89" s="88"/>
    </row>
    <row r="90" spans="4:8" ht="15.75">
      <c r="D90" s="88"/>
      <c r="E90" s="88"/>
      <c r="F90" s="88"/>
      <c r="G90" s="88"/>
      <c r="H90" s="88"/>
    </row>
    <row r="91" spans="4:8" ht="15.75">
      <c r="D91" s="88"/>
      <c r="E91" s="88"/>
      <c r="F91" s="88"/>
      <c r="G91" s="88"/>
      <c r="H91" s="88"/>
    </row>
    <row r="92" spans="4:8" ht="15.75">
      <c r="D92" s="88"/>
      <c r="E92" s="88"/>
      <c r="F92" s="88"/>
      <c r="G92" s="88"/>
      <c r="H92" s="88"/>
    </row>
    <row r="93" spans="4:8" ht="15.75">
      <c r="D93" s="88"/>
      <c r="E93" s="88"/>
      <c r="F93" s="88"/>
      <c r="G93" s="88"/>
      <c r="H93" s="88"/>
    </row>
    <row r="94" spans="4:8" ht="15.75">
      <c r="D94" s="88"/>
      <c r="E94" s="88"/>
      <c r="F94" s="88"/>
      <c r="G94" s="88"/>
      <c r="H94" s="88"/>
    </row>
    <row r="95" spans="4:8" ht="15.75">
      <c r="D95" s="88"/>
      <c r="E95" s="88"/>
      <c r="F95" s="88"/>
      <c r="G95" s="88"/>
      <c r="H95" s="88"/>
    </row>
    <row r="96" spans="4:8" ht="15.75">
      <c r="D96" s="88"/>
      <c r="E96" s="88"/>
      <c r="F96" s="88"/>
      <c r="G96" s="88"/>
      <c r="H96" s="88"/>
    </row>
    <row r="97" spans="4:8" ht="15.75">
      <c r="D97" s="88"/>
      <c r="E97" s="88"/>
      <c r="F97" s="88"/>
      <c r="G97" s="88"/>
      <c r="H97" s="88"/>
    </row>
    <row r="98" spans="4:8" ht="15.75">
      <c r="D98" s="88"/>
      <c r="E98" s="88"/>
      <c r="F98" s="88"/>
      <c r="G98" s="88"/>
      <c r="H98" s="88"/>
    </row>
    <row r="99" spans="4:8" ht="15.75">
      <c r="D99" s="88"/>
      <c r="E99" s="88"/>
      <c r="F99" s="88"/>
      <c r="G99" s="88"/>
      <c r="H99" s="88"/>
    </row>
    <row r="100" spans="4:8" ht="15.75">
      <c r="D100" s="88"/>
      <c r="E100" s="88"/>
      <c r="F100" s="88"/>
      <c r="G100" s="88"/>
      <c r="H100" s="88"/>
    </row>
    <row r="101" spans="4:8" ht="15.75">
      <c r="D101" s="88"/>
      <c r="E101" s="88"/>
      <c r="F101" s="88"/>
      <c r="G101" s="88"/>
      <c r="H101" s="88"/>
    </row>
    <row r="102" spans="4:8" ht="15.75">
      <c r="D102" s="88"/>
      <c r="E102" s="88"/>
      <c r="F102" s="88"/>
      <c r="G102" s="88"/>
      <c r="H102" s="88"/>
    </row>
    <row r="103" spans="4:8" ht="15.75">
      <c r="D103" s="88"/>
      <c r="E103" s="88"/>
      <c r="F103" s="88"/>
      <c r="G103" s="88"/>
      <c r="H103" s="88"/>
    </row>
    <row r="104" spans="4:8" ht="15.75">
      <c r="D104" s="88"/>
      <c r="E104" s="88"/>
      <c r="F104" s="88"/>
      <c r="G104" s="88"/>
      <c r="H104" s="88"/>
    </row>
    <row r="105" spans="4:8" ht="15.75">
      <c r="D105" s="88"/>
      <c r="E105" s="88"/>
      <c r="F105" s="88"/>
      <c r="G105" s="88"/>
      <c r="H105" s="88"/>
    </row>
    <row r="106" spans="4:8" ht="15.75">
      <c r="D106" s="88"/>
      <c r="E106" s="88"/>
      <c r="F106" s="88"/>
      <c r="G106" s="88"/>
      <c r="H106" s="88"/>
    </row>
    <row r="107" spans="4:8" ht="15.75">
      <c r="D107" s="88"/>
      <c r="E107" s="88"/>
      <c r="F107" s="88"/>
      <c r="G107" s="88"/>
      <c r="H107" s="88"/>
    </row>
    <row r="108" spans="4:8" ht="15.75">
      <c r="D108" s="88"/>
      <c r="E108" s="88"/>
      <c r="F108" s="88"/>
      <c r="G108" s="88"/>
      <c r="H108" s="88"/>
    </row>
    <row r="109" spans="4:8" ht="15.75">
      <c r="D109" s="88"/>
      <c r="E109" s="88"/>
      <c r="F109" s="88"/>
      <c r="G109" s="88"/>
      <c r="H109" s="88"/>
    </row>
    <row r="110" spans="4:8" ht="15.75">
      <c r="D110" s="88"/>
      <c r="E110" s="88"/>
      <c r="F110" s="88"/>
      <c r="G110" s="88"/>
      <c r="H110" s="88"/>
    </row>
    <row r="111" spans="4:8" ht="15.75">
      <c r="D111" s="88"/>
      <c r="E111" s="88"/>
      <c r="F111" s="88"/>
      <c r="G111" s="88"/>
      <c r="H111" s="88"/>
    </row>
    <row r="112" spans="4:8" ht="15.75">
      <c r="D112" s="88"/>
      <c r="E112" s="88"/>
      <c r="F112" s="88"/>
      <c r="G112" s="88"/>
      <c r="H112" s="88"/>
    </row>
    <row r="113" spans="3:18" ht="15.75">
      <c r="D113" s="88"/>
      <c r="E113" s="88"/>
      <c r="F113" s="88"/>
      <c r="G113" s="88"/>
      <c r="H113" s="88"/>
    </row>
    <row r="114" spans="3:18" ht="15.75">
      <c r="D114" s="88"/>
      <c r="E114" s="88"/>
      <c r="F114" s="88"/>
      <c r="G114" s="88"/>
      <c r="H114" s="88"/>
    </row>
    <row r="115" spans="3:18" ht="15.75">
      <c r="D115" s="88"/>
      <c r="E115" s="88"/>
      <c r="F115" s="88"/>
      <c r="G115" s="88"/>
      <c r="H115" s="88"/>
    </row>
    <row r="116" spans="3:18" ht="15.75">
      <c r="D116" s="88"/>
      <c r="E116" s="88"/>
      <c r="F116" s="88"/>
      <c r="G116" s="88"/>
      <c r="H116" s="88"/>
    </row>
    <row r="117" spans="3:18" ht="15.75">
      <c r="D117" s="88"/>
      <c r="E117" s="88"/>
      <c r="F117" s="88"/>
      <c r="G117" s="88"/>
      <c r="H117" s="88"/>
    </row>
    <row r="118" spans="3:18" ht="15.75">
      <c r="D118" s="88"/>
      <c r="E118" s="88"/>
      <c r="F118" s="88"/>
      <c r="G118" s="88"/>
      <c r="H118" s="88"/>
    </row>
    <row r="119" spans="3:18" ht="15.75">
      <c r="D119" s="88"/>
      <c r="E119" s="88"/>
      <c r="F119" s="88"/>
      <c r="G119" s="88"/>
      <c r="H119" s="88"/>
    </row>
    <row r="120" spans="3:18" ht="15.75">
      <c r="D120" s="88"/>
      <c r="E120" s="88"/>
      <c r="F120" s="88"/>
      <c r="G120" s="88"/>
      <c r="H120" s="88"/>
    </row>
    <row r="121" spans="3:18" ht="15.75">
      <c r="D121" s="88"/>
      <c r="E121" s="88"/>
      <c r="F121" s="88"/>
      <c r="G121" s="88"/>
      <c r="H121" s="88"/>
    </row>
    <row r="122" spans="3:18" ht="15.75">
      <c r="D122" s="88"/>
      <c r="E122" s="88"/>
      <c r="F122" s="88"/>
      <c r="G122" s="88"/>
      <c r="H122" s="88"/>
    </row>
    <row r="123" spans="3:18" ht="15.75">
      <c r="D123" s="88"/>
      <c r="E123" s="88"/>
      <c r="F123" s="88"/>
      <c r="G123" s="88"/>
      <c r="H123" s="88"/>
    </row>
    <row r="124" spans="3:18" ht="15.75">
      <c r="D124" s="88"/>
      <c r="E124" s="88"/>
      <c r="F124" s="88"/>
      <c r="G124" s="88"/>
      <c r="H124" s="88"/>
    </row>
    <row r="125" spans="3:18" ht="15.75">
      <c r="D125" s="88"/>
      <c r="E125" s="88"/>
      <c r="F125" s="88"/>
      <c r="G125" s="88"/>
      <c r="H125" s="88"/>
    </row>
    <row r="126" spans="3:18" ht="15.75">
      <c r="D126" s="88"/>
      <c r="E126" s="88"/>
      <c r="F126" s="88"/>
      <c r="G126" s="88"/>
      <c r="H126" s="88"/>
    </row>
    <row r="127" spans="3:18" ht="15.75">
      <c r="C127" s="50" t="s">
        <v>318</v>
      </c>
      <c r="D127" s="212"/>
      <c r="E127" s="213"/>
      <c r="F127" s="213"/>
      <c r="G127" s="214"/>
      <c r="H127" s="59" t="s">
        <v>7</v>
      </c>
      <c r="I127" s="202" t="s">
        <v>319</v>
      </c>
      <c r="J127" s="203"/>
      <c r="K127" s="203"/>
      <c r="L127" s="203"/>
      <c r="M127" s="203"/>
      <c r="N127" s="203"/>
      <c r="O127" s="203"/>
      <c r="P127" s="203"/>
      <c r="Q127" s="203"/>
      <c r="R127" s="204"/>
    </row>
    <row r="128" spans="3:18" ht="15.75">
      <c r="C128" s="3" t="s">
        <v>320</v>
      </c>
      <c r="D128" s="205"/>
      <c r="E128" s="203"/>
      <c r="F128" s="203"/>
      <c r="G128" s="204"/>
      <c r="H128" s="59" t="s">
        <v>7</v>
      </c>
      <c r="I128" s="89" t="s">
        <v>321</v>
      </c>
      <c r="J128" s="90" t="s">
        <v>322</v>
      </c>
      <c r="K128" s="90" t="s">
        <v>323</v>
      </c>
      <c r="L128" s="90" t="s">
        <v>324</v>
      </c>
      <c r="M128" s="90" t="s">
        <v>325</v>
      </c>
      <c r="N128" s="90" t="s">
        <v>326</v>
      </c>
      <c r="O128" s="90" t="s">
        <v>327</v>
      </c>
      <c r="P128" s="90" t="s">
        <v>328</v>
      </c>
      <c r="Q128" s="90" t="s">
        <v>329</v>
      </c>
      <c r="R128" s="90" t="s">
        <v>330</v>
      </c>
    </row>
    <row r="129" spans="3:18" ht="15.75">
      <c r="C129" s="3" t="s">
        <v>333</v>
      </c>
      <c r="D129" s="205"/>
      <c r="E129" s="203"/>
      <c r="F129" s="203"/>
      <c r="G129" s="204"/>
      <c r="H129" s="59" t="s">
        <v>7</v>
      </c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3:18" ht="15.75">
      <c r="C130" s="22" t="s">
        <v>334</v>
      </c>
      <c r="D130" s="206"/>
      <c r="E130" s="203"/>
      <c r="F130" s="203"/>
      <c r="G130" s="204"/>
      <c r="H130" s="88"/>
      <c r="I130" s="92"/>
      <c r="J130" s="92"/>
      <c r="K130" s="92"/>
      <c r="L130" s="92"/>
      <c r="M130" s="92"/>
      <c r="N130" s="92"/>
      <c r="O130" s="92"/>
      <c r="P130" s="92"/>
      <c r="Q130" s="92"/>
      <c r="R130" s="92"/>
    </row>
    <row r="131" spans="3:18" ht="15.75">
      <c r="C131" s="3" t="s">
        <v>335</v>
      </c>
      <c r="D131" s="207"/>
      <c r="E131" s="203"/>
      <c r="F131" s="203"/>
      <c r="G131" s="204"/>
      <c r="H131" s="59" t="s">
        <v>7</v>
      </c>
      <c r="I131" s="92"/>
      <c r="J131" s="92"/>
      <c r="K131" s="92"/>
      <c r="L131" s="92"/>
      <c r="M131" s="92"/>
      <c r="N131" s="92"/>
      <c r="O131" s="92"/>
      <c r="P131" s="92"/>
      <c r="Q131" s="92"/>
      <c r="R131" s="92"/>
    </row>
    <row r="132" spans="3:18" ht="31.5">
      <c r="C132" s="3" t="s">
        <v>336</v>
      </c>
      <c r="D132" s="205"/>
      <c r="E132" s="203"/>
      <c r="F132" s="203"/>
      <c r="G132" s="204"/>
      <c r="H132" s="88"/>
      <c r="I132" s="92"/>
      <c r="J132" s="92"/>
      <c r="K132" s="92"/>
      <c r="L132" s="92"/>
      <c r="M132" s="92"/>
      <c r="N132" s="92"/>
      <c r="O132" s="92"/>
      <c r="P132" s="92"/>
      <c r="Q132" s="92"/>
      <c r="R132" s="92"/>
    </row>
    <row r="133" spans="3:18" ht="31.5">
      <c r="C133" s="3" t="s">
        <v>337</v>
      </c>
      <c r="D133" s="210"/>
      <c r="E133" s="203"/>
      <c r="F133" s="203"/>
      <c r="G133" s="204"/>
      <c r="H133" s="88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3:18" ht="15.75">
      <c r="D134" s="88"/>
      <c r="E134" s="88"/>
      <c r="F134" s="88"/>
      <c r="G134" s="88"/>
      <c r="H134" s="88"/>
    </row>
    <row r="135" spans="3:18" ht="15.75">
      <c r="D135" s="88"/>
      <c r="E135" s="88"/>
      <c r="F135" s="88"/>
      <c r="G135" s="88"/>
      <c r="H135" s="88"/>
    </row>
    <row r="136" spans="3:18" ht="15.75">
      <c r="D136" s="88"/>
      <c r="E136" s="88"/>
      <c r="F136" s="88"/>
      <c r="G136" s="88"/>
      <c r="H136" s="88"/>
    </row>
    <row r="137" spans="3:18" ht="15.75">
      <c r="D137" s="88"/>
      <c r="E137" s="88"/>
      <c r="F137" s="88"/>
      <c r="G137" s="88"/>
      <c r="H137" s="88"/>
    </row>
    <row r="138" spans="3:18" ht="15.75">
      <c r="D138" s="88"/>
      <c r="E138" s="88"/>
      <c r="F138" s="88"/>
      <c r="G138" s="88"/>
      <c r="H138" s="88"/>
    </row>
    <row r="139" spans="3:18" ht="15.75">
      <c r="D139" s="88"/>
      <c r="E139" s="88"/>
      <c r="F139" s="88"/>
      <c r="G139" s="88"/>
      <c r="H139" s="88"/>
    </row>
    <row r="140" spans="3:18" ht="15.75">
      <c r="D140" s="88"/>
      <c r="E140" s="88"/>
      <c r="F140" s="88"/>
      <c r="G140" s="88"/>
      <c r="H140" s="88"/>
    </row>
    <row r="141" spans="3:18" ht="15.75">
      <c r="D141" s="88"/>
      <c r="E141" s="88"/>
      <c r="F141" s="88"/>
      <c r="G141" s="88"/>
      <c r="H141" s="88"/>
    </row>
    <row r="142" spans="3:18" ht="15.75">
      <c r="D142" s="88"/>
      <c r="E142" s="88"/>
      <c r="F142" s="88"/>
      <c r="G142" s="88"/>
      <c r="H142" s="88"/>
    </row>
    <row r="143" spans="3:18" ht="15.75">
      <c r="D143" s="88"/>
      <c r="E143" s="88"/>
      <c r="F143" s="88"/>
      <c r="G143" s="88"/>
      <c r="H143" s="88"/>
    </row>
    <row r="144" spans="3:18" ht="15.75">
      <c r="D144" s="88"/>
      <c r="E144" s="88"/>
      <c r="F144" s="88"/>
      <c r="G144" s="88"/>
      <c r="H144" s="88"/>
    </row>
    <row r="145" spans="4:8" ht="15.75">
      <c r="D145" s="88"/>
      <c r="E145" s="88"/>
      <c r="F145" s="88"/>
      <c r="G145" s="88"/>
      <c r="H145" s="88"/>
    </row>
    <row r="146" spans="4:8" ht="15.75">
      <c r="D146" s="88"/>
      <c r="E146" s="88"/>
      <c r="F146" s="88"/>
      <c r="G146" s="88"/>
      <c r="H146" s="88"/>
    </row>
    <row r="147" spans="4:8" ht="15.75">
      <c r="D147" s="88"/>
      <c r="E147" s="88"/>
      <c r="F147" s="88"/>
      <c r="G147" s="88"/>
      <c r="H147" s="88"/>
    </row>
    <row r="148" spans="4:8" ht="15.75">
      <c r="D148" s="88"/>
      <c r="E148" s="88"/>
      <c r="F148" s="88"/>
      <c r="G148" s="88"/>
      <c r="H148" s="88"/>
    </row>
    <row r="149" spans="4:8" ht="15.75">
      <c r="D149" s="88"/>
      <c r="E149" s="88"/>
      <c r="F149" s="88"/>
      <c r="G149" s="88"/>
      <c r="H149" s="88"/>
    </row>
    <row r="150" spans="4:8" ht="15.75">
      <c r="D150" s="88"/>
      <c r="E150" s="88"/>
      <c r="F150" s="88"/>
      <c r="G150" s="88"/>
      <c r="H150" s="88"/>
    </row>
    <row r="151" spans="4:8" ht="15.75">
      <c r="D151" s="88"/>
      <c r="E151" s="88"/>
      <c r="F151" s="88"/>
      <c r="G151" s="88"/>
      <c r="H151" s="88"/>
    </row>
    <row r="152" spans="4:8" ht="15.75">
      <c r="D152" s="88"/>
      <c r="E152" s="88"/>
      <c r="F152" s="88"/>
      <c r="G152" s="88"/>
      <c r="H152" s="88"/>
    </row>
    <row r="153" spans="4:8" ht="15.75">
      <c r="D153" s="88"/>
      <c r="E153" s="88"/>
      <c r="F153" s="88"/>
      <c r="G153" s="88"/>
      <c r="H153" s="88"/>
    </row>
    <row r="154" spans="4:8" ht="15.75">
      <c r="D154" s="88"/>
      <c r="E154" s="88"/>
      <c r="F154" s="88"/>
      <c r="G154" s="88"/>
      <c r="H154" s="88"/>
    </row>
    <row r="155" spans="4:8" ht="15.75">
      <c r="D155" s="88"/>
      <c r="E155" s="88"/>
      <c r="F155" s="88"/>
      <c r="G155" s="88"/>
      <c r="H155" s="88"/>
    </row>
    <row r="156" spans="4:8" ht="15.75">
      <c r="D156" s="88"/>
      <c r="E156" s="88"/>
      <c r="F156" s="88"/>
      <c r="G156" s="88"/>
      <c r="H156" s="88"/>
    </row>
    <row r="157" spans="4:8" ht="15.75">
      <c r="D157" s="88"/>
      <c r="E157" s="88"/>
      <c r="F157" s="88"/>
      <c r="G157" s="88"/>
      <c r="H157" s="88"/>
    </row>
    <row r="158" spans="4:8" ht="15.75">
      <c r="D158" s="88"/>
      <c r="E158" s="88"/>
      <c r="F158" s="88"/>
      <c r="G158" s="88"/>
      <c r="H158" s="88"/>
    </row>
    <row r="159" spans="4:8" ht="15.75">
      <c r="D159" s="88"/>
      <c r="E159" s="88"/>
      <c r="F159" s="88"/>
      <c r="G159" s="88"/>
      <c r="H159" s="88"/>
    </row>
    <row r="160" spans="4:8" ht="15.75">
      <c r="D160" s="88"/>
      <c r="E160" s="88"/>
      <c r="F160" s="88"/>
      <c r="G160" s="88"/>
      <c r="H160" s="88"/>
    </row>
    <row r="161" spans="4:8" ht="15.75">
      <c r="D161" s="88"/>
      <c r="E161" s="88"/>
      <c r="F161" s="88"/>
      <c r="G161" s="88"/>
      <c r="H161" s="88"/>
    </row>
    <row r="162" spans="4:8" ht="15.75">
      <c r="D162" s="88"/>
      <c r="E162" s="88"/>
      <c r="F162" s="88"/>
      <c r="G162" s="88"/>
      <c r="H162" s="88"/>
    </row>
    <row r="163" spans="4:8" ht="15.75">
      <c r="D163" s="88"/>
      <c r="E163" s="88"/>
      <c r="F163" s="88"/>
      <c r="G163" s="88"/>
      <c r="H163" s="88"/>
    </row>
    <row r="164" spans="4:8" ht="15.75">
      <c r="D164" s="88"/>
      <c r="E164" s="88"/>
      <c r="F164" s="88"/>
      <c r="G164" s="88"/>
      <c r="H164" s="88"/>
    </row>
    <row r="165" spans="4:8" ht="15.75">
      <c r="D165" s="88"/>
      <c r="E165" s="88"/>
      <c r="F165" s="88"/>
      <c r="G165" s="88"/>
      <c r="H165" s="88"/>
    </row>
    <row r="166" spans="4:8" ht="15.75">
      <c r="D166" s="88"/>
      <c r="E166" s="88"/>
      <c r="F166" s="88"/>
      <c r="G166" s="88"/>
      <c r="H166" s="88"/>
    </row>
    <row r="167" spans="4:8" ht="15.75">
      <c r="D167" s="88"/>
      <c r="E167" s="88"/>
      <c r="F167" s="88"/>
      <c r="G167" s="88"/>
      <c r="H167" s="88"/>
    </row>
    <row r="168" spans="4:8" ht="15.75">
      <c r="D168" s="88"/>
      <c r="E168" s="88"/>
      <c r="F168" s="88"/>
      <c r="G168" s="88"/>
      <c r="H168" s="88"/>
    </row>
    <row r="169" spans="4:8" ht="15.75">
      <c r="D169" s="88"/>
      <c r="E169" s="88"/>
      <c r="F169" s="88"/>
      <c r="G169" s="88"/>
      <c r="H169" s="88"/>
    </row>
    <row r="170" spans="4:8" ht="15.75">
      <c r="D170" s="88"/>
      <c r="E170" s="88"/>
      <c r="F170" s="88"/>
      <c r="G170" s="88"/>
      <c r="H170" s="88"/>
    </row>
    <row r="171" spans="4:8" ht="15.75">
      <c r="D171" s="88"/>
      <c r="E171" s="88"/>
      <c r="F171" s="88"/>
      <c r="G171" s="88"/>
      <c r="H171" s="88"/>
    </row>
    <row r="172" spans="4:8" ht="15.75">
      <c r="D172" s="88"/>
      <c r="E172" s="88"/>
      <c r="F172" s="88"/>
      <c r="G172" s="88"/>
      <c r="H172" s="88"/>
    </row>
    <row r="173" spans="4:8" ht="15.75">
      <c r="D173" s="88"/>
      <c r="E173" s="88"/>
      <c r="F173" s="88"/>
      <c r="G173" s="88"/>
      <c r="H173" s="88"/>
    </row>
    <row r="174" spans="4:8" ht="15.75">
      <c r="D174" s="88"/>
      <c r="E174" s="88"/>
      <c r="F174" s="88"/>
      <c r="G174" s="88"/>
      <c r="H174" s="88"/>
    </row>
    <row r="175" spans="4:8" ht="15.75">
      <c r="D175" s="88"/>
      <c r="E175" s="88"/>
      <c r="F175" s="88"/>
      <c r="G175" s="88"/>
      <c r="H175" s="88"/>
    </row>
    <row r="176" spans="4:8" ht="15.75">
      <c r="D176" s="88"/>
      <c r="E176" s="88"/>
      <c r="F176" s="88"/>
      <c r="G176" s="88"/>
      <c r="H176" s="88"/>
    </row>
    <row r="177" spans="4:8" ht="15.75">
      <c r="D177" s="88"/>
      <c r="E177" s="88"/>
      <c r="F177" s="88"/>
      <c r="G177" s="88"/>
      <c r="H177" s="88"/>
    </row>
    <row r="178" spans="4:8" ht="15.75">
      <c r="D178" s="88"/>
      <c r="E178" s="88"/>
      <c r="F178" s="88"/>
      <c r="G178" s="88"/>
      <c r="H178" s="88"/>
    </row>
    <row r="179" spans="4:8" ht="15.75">
      <c r="D179" s="88"/>
      <c r="E179" s="88"/>
      <c r="F179" s="88"/>
      <c r="G179" s="88"/>
      <c r="H179" s="88"/>
    </row>
    <row r="180" spans="4:8" ht="15.75">
      <c r="D180" s="88"/>
      <c r="E180" s="88"/>
      <c r="F180" s="88"/>
      <c r="G180" s="88"/>
      <c r="H180" s="88"/>
    </row>
    <row r="181" spans="4:8" ht="15.75">
      <c r="D181" s="88"/>
      <c r="E181" s="88"/>
      <c r="F181" s="88"/>
      <c r="G181" s="88"/>
      <c r="H181" s="88"/>
    </row>
    <row r="182" spans="4:8" ht="15.75">
      <c r="D182" s="88"/>
      <c r="E182" s="88"/>
      <c r="F182" s="88"/>
      <c r="G182" s="88"/>
      <c r="H182" s="88"/>
    </row>
    <row r="183" spans="4:8" ht="15.75">
      <c r="D183" s="88"/>
      <c r="E183" s="88"/>
      <c r="F183" s="88"/>
      <c r="G183" s="88"/>
      <c r="H183" s="88"/>
    </row>
    <row r="184" spans="4:8" ht="15.75">
      <c r="D184" s="88"/>
      <c r="E184" s="88"/>
      <c r="F184" s="88"/>
      <c r="G184" s="88"/>
      <c r="H184" s="88"/>
    </row>
    <row r="185" spans="4:8" ht="15.75">
      <c r="D185" s="88"/>
      <c r="E185" s="88"/>
      <c r="F185" s="88"/>
      <c r="G185" s="88"/>
      <c r="H185" s="88"/>
    </row>
    <row r="186" spans="4:8" ht="15.75">
      <c r="D186" s="88"/>
      <c r="E186" s="88"/>
      <c r="F186" s="88"/>
      <c r="G186" s="88"/>
      <c r="H186" s="88"/>
    </row>
    <row r="187" spans="4:8" ht="15.75">
      <c r="D187" s="88"/>
      <c r="E187" s="88"/>
      <c r="F187" s="88"/>
      <c r="G187" s="88"/>
      <c r="H187" s="88"/>
    </row>
    <row r="188" spans="4:8" ht="15.75">
      <c r="D188" s="88"/>
      <c r="E188" s="88"/>
      <c r="F188" s="88"/>
      <c r="G188" s="88"/>
      <c r="H188" s="88"/>
    </row>
    <row r="189" spans="4:8" ht="15.75">
      <c r="D189" s="88"/>
      <c r="E189" s="88"/>
      <c r="F189" s="88"/>
      <c r="G189" s="88"/>
      <c r="H189" s="88"/>
    </row>
    <row r="190" spans="4:8" ht="15.75">
      <c r="D190" s="88"/>
      <c r="E190" s="88"/>
      <c r="F190" s="88"/>
      <c r="G190" s="88"/>
      <c r="H190" s="88"/>
    </row>
    <row r="191" spans="4:8" ht="15.75">
      <c r="D191" s="88"/>
      <c r="E191" s="88"/>
      <c r="F191" s="88"/>
      <c r="G191" s="88"/>
      <c r="H191" s="88"/>
    </row>
    <row r="192" spans="4:8" ht="15.75">
      <c r="D192" s="88"/>
      <c r="E192" s="88"/>
      <c r="F192" s="88"/>
      <c r="G192" s="88"/>
      <c r="H192" s="88"/>
    </row>
    <row r="193" spans="4:8" ht="15.75">
      <c r="D193" s="88"/>
      <c r="E193" s="88"/>
      <c r="F193" s="88"/>
      <c r="G193" s="88"/>
      <c r="H193" s="88"/>
    </row>
    <row r="194" spans="4:8" ht="15.75">
      <c r="D194" s="88"/>
      <c r="E194" s="88"/>
      <c r="F194" s="88"/>
      <c r="G194" s="88"/>
      <c r="H194" s="88"/>
    </row>
    <row r="195" spans="4:8" ht="15.75">
      <c r="D195" s="88"/>
      <c r="E195" s="88"/>
      <c r="F195" s="88"/>
      <c r="G195" s="88"/>
      <c r="H195" s="88"/>
    </row>
    <row r="196" spans="4:8" ht="15.75">
      <c r="D196" s="88"/>
      <c r="E196" s="88"/>
      <c r="F196" s="88"/>
      <c r="G196" s="88"/>
      <c r="H196" s="88"/>
    </row>
    <row r="197" spans="4:8" ht="15.75">
      <c r="D197" s="88"/>
      <c r="E197" s="88"/>
      <c r="F197" s="88"/>
      <c r="G197" s="88"/>
      <c r="H197" s="88"/>
    </row>
    <row r="198" spans="4:8" ht="15.75">
      <c r="D198" s="88"/>
      <c r="E198" s="88"/>
      <c r="F198" s="88"/>
      <c r="G198" s="88"/>
      <c r="H198" s="88"/>
    </row>
    <row r="199" spans="4:8" ht="15.75">
      <c r="D199" s="88"/>
      <c r="E199" s="88"/>
      <c r="F199" s="88"/>
      <c r="G199" s="88"/>
      <c r="H199" s="88"/>
    </row>
    <row r="200" spans="4:8" ht="15.75">
      <c r="D200" s="88"/>
      <c r="E200" s="88"/>
      <c r="F200" s="88"/>
      <c r="G200" s="88"/>
      <c r="H200" s="88"/>
    </row>
    <row r="201" spans="4:8" ht="15.75">
      <c r="D201" s="88"/>
      <c r="E201" s="88"/>
      <c r="F201" s="88"/>
      <c r="G201" s="88"/>
      <c r="H201" s="88"/>
    </row>
    <row r="202" spans="4:8" ht="15.75">
      <c r="D202" s="88"/>
      <c r="E202" s="88"/>
      <c r="F202" s="88"/>
      <c r="G202" s="88"/>
      <c r="H202" s="88"/>
    </row>
    <row r="203" spans="4:8" ht="15.75">
      <c r="D203" s="88"/>
      <c r="E203" s="88"/>
      <c r="F203" s="88"/>
      <c r="G203" s="88"/>
      <c r="H203" s="88"/>
    </row>
    <row r="204" spans="4:8" ht="15.75">
      <c r="D204" s="88"/>
      <c r="E204" s="88"/>
      <c r="F204" s="88"/>
      <c r="G204" s="88"/>
      <c r="H204" s="88"/>
    </row>
    <row r="205" spans="4:8" ht="15.75">
      <c r="D205" s="88"/>
      <c r="E205" s="88"/>
      <c r="F205" s="88"/>
      <c r="G205" s="88"/>
      <c r="H205" s="88"/>
    </row>
    <row r="206" spans="4:8" ht="15.75">
      <c r="D206" s="88"/>
      <c r="E206" s="88"/>
      <c r="F206" s="88"/>
      <c r="G206" s="88"/>
      <c r="H206" s="88"/>
    </row>
    <row r="207" spans="4:8" ht="15.75">
      <c r="D207" s="88"/>
      <c r="E207" s="88"/>
      <c r="F207" s="88"/>
      <c r="G207" s="88"/>
      <c r="H207" s="88"/>
    </row>
    <row r="208" spans="4:8" ht="15.75">
      <c r="D208" s="88"/>
      <c r="E208" s="88"/>
      <c r="F208" s="88"/>
      <c r="G208" s="88"/>
      <c r="H208" s="88"/>
    </row>
    <row r="209" spans="4:8" ht="15.75">
      <c r="D209" s="88"/>
      <c r="E209" s="88"/>
      <c r="F209" s="88"/>
      <c r="G209" s="88"/>
      <c r="H209" s="88"/>
    </row>
    <row r="210" spans="4:8" ht="15.75">
      <c r="D210" s="88"/>
      <c r="E210" s="88"/>
      <c r="F210" s="88"/>
      <c r="G210" s="88"/>
      <c r="H210" s="88"/>
    </row>
    <row r="211" spans="4:8" ht="15.75">
      <c r="D211" s="88"/>
      <c r="E211" s="88"/>
      <c r="F211" s="88"/>
      <c r="G211" s="88"/>
      <c r="H211" s="88"/>
    </row>
    <row r="212" spans="4:8" ht="15.75">
      <c r="D212" s="88"/>
      <c r="E212" s="88"/>
      <c r="F212" s="88"/>
      <c r="G212" s="88"/>
      <c r="H212" s="88"/>
    </row>
    <row r="213" spans="4:8" ht="15.75">
      <c r="D213" s="88"/>
      <c r="E213" s="88"/>
      <c r="F213" s="88"/>
      <c r="G213" s="88"/>
      <c r="H213" s="88"/>
    </row>
    <row r="214" spans="4:8" ht="15.75">
      <c r="D214" s="88"/>
      <c r="E214" s="88"/>
      <c r="F214" s="88"/>
      <c r="G214" s="88"/>
      <c r="H214" s="88"/>
    </row>
    <row r="215" spans="4:8" ht="15.75">
      <c r="D215" s="88"/>
      <c r="E215" s="88"/>
      <c r="F215" s="88"/>
      <c r="G215" s="88"/>
      <c r="H215" s="88"/>
    </row>
    <row r="216" spans="4:8" ht="15.75">
      <c r="D216" s="88"/>
      <c r="E216" s="88"/>
      <c r="F216" s="88"/>
      <c r="G216" s="88"/>
      <c r="H216" s="88"/>
    </row>
    <row r="217" spans="4:8" ht="15.75">
      <c r="D217" s="88"/>
      <c r="E217" s="88"/>
      <c r="F217" s="88"/>
      <c r="G217" s="88"/>
      <c r="H217" s="88"/>
    </row>
    <row r="218" spans="4:8" ht="15.75">
      <c r="D218" s="88"/>
      <c r="E218" s="88"/>
      <c r="F218" s="88"/>
      <c r="G218" s="88"/>
      <c r="H218" s="88"/>
    </row>
    <row r="219" spans="4:8" ht="15.75">
      <c r="D219" s="88"/>
      <c r="E219" s="88"/>
      <c r="F219" s="88"/>
      <c r="G219" s="88"/>
      <c r="H219" s="88"/>
    </row>
    <row r="220" spans="4:8" ht="15.75">
      <c r="D220" s="88"/>
      <c r="E220" s="88"/>
      <c r="F220" s="88"/>
      <c r="G220" s="88"/>
      <c r="H220" s="88"/>
    </row>
    <row r="221" spans="4:8" ht="15.75">
      <c r="D221" s="88"/>
      <c r="E221" s="88"/>
      <c r="F221" s="88"/>
      <c r="G221" s="88"/>
      <c r="H221" s="88"/>
    </row>
    <row r="222" spans="4:8" ht="15.75">
      <c r="D222" s="88"/>
      <c r="E222" s="88"/>
      <c r="F222" s="88"/>
      <c r="G222" s="88"/>
      <c r="H222" s="88"/>
    </row>
    <row r="223" spans="4:8" ht="15.75">
      <c r="D223" s="88"/>
      <c r="E223" s="88"/>
      <c r="F223" s="88"/>
      <c r="G223" s="88"/>
      <c r="H223" s="88"/>
    </row>
    <row r="224" spans="4:8" ht="15.75">
      <c r="D224" s="88"/>
      <c r="E224" s="88"/>
      <c r="F224" s="88"/>
      <c r="G224" s="88"/>
      <c r="H224" s="88"/>
    </row>
    <row r="225" spans="4:8" ht="15.75">
      <c r="D225" s="88"/>
      <c r="E225" s="88"/>
      <c r="F225" s="88"/>
      <c r="G225" s="88"/>
      <c r="H225" s="88"/>
    </row>
    <row r="226" spans="4:8" ht="15.75">
      <c r="D226" s="88"/>
      <c r="E226" s="88"/>
      <c r="F226" s="88"/>
      <c r="G226" s="88"/>
      <c r="H226" s="88"/>
    </row>
    <row r="227" spans="4:8" ht="15.75">
      <c r="D227" s="88"/>
      <c r="E227" s="88"/>
      <c r="F227" s="88"/>
      <c r="G227" s="88"/>
      <c r="H227" s="88"/>
    </row>
    <row r="228" spans="4:8" ht="15.75">
      <c r="D228" s="88"/>
      <c r="E228" s="88"/>
      <c r="F228" s="88"/>
      <c r="G228" s="88"/>
      <c r="H228" s="88"/>
    </row>
    <row r="229" spans="4:8" ht="15.75">
      <c r="D229" s="88"/>
      <c r="E229" s="88"/>
      <c r="F229" s="88"/>
      <c r="G229" s="88"/>
      <c r="H229" s="88"/>
    </row>
    <row r="230" spans="4:8" ht="15.75">
      <c r="D230" s="88"/>
      <c r="E230" s="88"/>
      <c r="F230" s="88"/>
      <c r="G230" s="88"/>
      <c r="H230" s="88"/>
    </row>
    <row r="231" spans="4:8" ht="15.75">
      <c r="D231" s="88"/>
      <c r="E231" s="88"/>
      <c r="F231" s="88"/>
      <c r="G231" s="88"/>
      <c r="H231" s="88"/>
    </row>
    <row r="232" spans="4:8" ht="15.75">
      <c r="D232" s="88"/>
      <c r="E232" s="88"/>
      <c r="F232" s="88"/>
      <c r="G232" s="88"/>
      <c r="H232" s="88"/>
    </row>
    <row r="233" spans="4:8" ht="15.75">
      <c r="D233" s="88"/>
      <c r="E233" s="88"/>
      <c r="F233" s="88"/>
      <c r="G233" s="88"/>
      <c r="H233" s="88"/>
    </row>
    <row r="234" spans="4:8" ht="15.75">
      <c r="D234" s="88"/>
      <c r="E234" s="88"/>
      <c r="F234" s="88"/>
      <c r="G234" s="88"/>
      <c r="H234" s="88"/>
    </row>
    <row r="235" spans="4:8" ht="15.75">
      <c r="D235" s="88"/>
      <c r="E235" s="88"/>
      <c r="F235" s="88"/>
      <c r="G235" s="88"/>
      <c r="H235" s="88"/>
    </row>
    <row r="236" spans="4:8" ht="15.75">
      <c r="D236" s="88"/>
      <c r="E236" s="88"/>
      <c r="F236" s="88"/>
      <c r="G236" s="88"/>
      <c r="H236" s="88"/>
    </row>
    <row r="237" spans="4:8" ht="15.75">
      <c r="D237" s="88"/>
      <c r="E237" s="88"/>
      <c r="F237" s="88"/>
      <c r="G237" s="88"/>
      <c r="H237" s="88"/>
    </row>
    <row r="238" spans="4:8" ht="15.75">
      <c r="D238" s="88"/>
      <c r="E238" s="88"/>
      <c r="F238" s="88"/>
      <c r="G238" s="88"/>
      <c r="H238" s="88"/>
    </row>
    <row r="239" spans="4:8" ht="15.75">
      <c r="D239" s="88"/>
      <c r="E239" s="88"/>
      <c r="F239" s="88"/>
      <c r="G239" s="88"/>
      <c r="H239" s="88"/>
    </row>
    <row r="240" spans="4:8" ht="15.75">
      <c r="D240" s="88"/>
      <c r="E240" s="88"/>
      <c r="F240" s="88"/>
      <c r="G240" s="88"/>
      <c r="H240" s="88"/>
    </row>
    <row r="241" spans="4:8" ht="15.75">
      <c r="D241" s="88"/>
      <c r="E241" s="88"/>
      <c r="F241" s="88"/>
      <c r="G241" s="88"/>
      <c r="H241" s="88"/>
    </row>
    <row r="242" spans="4:8" ht="15.75">
      <c r="D242" s="88"/>
      <c r="E242" s="88"/>
      <c r="F242" s="88"/>
      <c r="G242" s="88"/>
      <c r="H242" s="88"/>
    </row>
    <row r="243" spans="4:8" ht="15.75">
      <c r="D243" s="88"/>
      <c r="E243" s="88"/>
      <c r="F243" s="88"/>
      <c r="G243" s="88"/>
      <c r="H243" s="88"/>
    </row>
    <row r="244" spans="4:8" ht="15.75">
      <c r="D244" s="88"/>
      <c r="E244" s="88"/>
      <c r="F244" s="88"/>
      <c r="G244" s="88"/>
      <c r="H244" s="88"/>
    </row>
    <row r="245" spans="4:8" ht="15.75">
      <c r="D245" s="88"/>
      <c r="E245" s="88"/>
      <c r="F245" s="88"/>
      <c r="G245" s="88"/>
      <c r="H245" s="88"/>
    </row>
    <row r="246" spans="4:8" ht="15.75">
      <c r="D246" s="88"/>
      <c r="E246" s="88"/>
      <c r="F246" s="88"/>
      <c r="G246" s="88"/>
      <c r="H246" s="88"/>
    </row>
    <row r="247" spans="4:8" ht="15.75">
      <c r="D247" s="88"/>
      <c r="E247" s="88"/>
      <c r="F247" s="88"/>
      <c r="G247" s="88"/>
      <c r="H247" s="88"/>
    </row>
    <row r="248" spans="4:8" ht="15.75">
      <c r="D248" s="88"/>
      <c r="E248" s="88"/>
      <c r="F248" s="88"/>
      <c r="G248" s="88"/>
      <c r="H248" s="88"/>
    </row>
    <row r="249" spans="4:8" ht="15.75">
      <c r="D249" s="88"/>
      <c r="E249" s="88"/>
      <c r="F249" s="88"/>
      <c r="G249" s="88"/>
      <c r="H249" s="88"/>
    </row>
    <row r="250" spans="4:8" ht="15.75">
      <c r="D250" s="88"/>
      <c r="E250" s="88"/>
      <c r="F250" s="88"/>
      <c r="G250" s="88"/>
      <c r="H250" s="88"/>
    </row>
    <row r="251" spans="4:8" ht="15.75">
      <c r="D251" s="88"/>
      <c r="E251" s="88"/>
      <c r="F251" s="88"/>
      <c r="G251" s="88"/>
      <c r="H251" s="88"/>
    </row>
    <row r="252" spans="4:8" ht="15.75">
      <c r="D252" s="88"/>
      <c r="E252" s="88"/>
      <c r="F252" s="88"/>
      <c r="G252" s="88"/>
      <c r="H252" s="88"/>
    </row>
    <row r="253" spans="4:8" ht="15.75">
      <c r="D253" s="88"/>
      <c r="E253" s="88"/>
      <c r="F253" s="88"/>
      <c r="G253" s="88"/>
      <c r="H253" s="88"/>
    </row>
    <row r="254" spans="4:8" ht="15.75">
      <c r="D254" s="88"/>
      <c r="E254" s="88"/>
      <c r="F254" s="88"/>
      <c r="G254" s="88"/>
      <c r="H254" s="88"/>
    </row>
    <row r="255" spans="4:8" ht="15.75">
      <c r="D255" s="88"/>
      <c r="E255" s="88"/>
      <c r="F255" s="88"/>
      <c r="G255" s="88"/>
      <c r="H255" s="88"/>
    </row>
    <row r="256" spans="4:8" ht="15.75">
      <c r="D256" s="88"/>
      <c r="E256" s="88"/>
      <c r="F256" s="88"/>
      <c r="G256" s="88"/>
      <c r="H256" s="88"/>
    </row>
    <row r="257" spans="4:8" ht="15.75">
      <c r="D257" s="88"/>
      <c r="E257" s="88"/>
      <c r="F257" s="88"/>
      <c r="G257" s="88"/>
      <c r="H257" s="88"/>
    </row>
    <row r="258" spans="4:8" ht="15.75">
      <c r="D258" s="88"/>
      <c r="E258" s="88"/>
      <c r="F258" s="88"/>
      <c r="G258" s="88"/>
      <c r="H258" s="88"/>
    </row>
    <row r="259" spans="4:8" ht="15.75">
      <c r="D259" s="88"/>
      <c r="E259" s="88"/>
      <c r="F259" s="88"/>
      <c r="G259" s="88"/>
      <c r="H259" s="88"/>
    </row>
    <row r="260" spans="4:8" ht="15.75">
      <c r="D260" s="88"/>
      <c r="E260" s="88"/>
      <c r="F260" s="88"/>
      <c r="G260" s="88"/>
      <c r="H260" s="88"/>
    </row>
    <row r="261" spans="4:8" ht="15.75">
      <c r="D261" s="88"/>
      <c r="E261" s="88"/>
      <c r="F261" s="88"/>
      <c r="G261" s="88"/>
      <c r="H261" s="88"/>
    </row>
    <row r="262" spans="4:8" ht="15.75">
      <c r="D262" s="88"/>
      <c r="E262" s="88"/>
      <c r="F262" s="88"/>
      <c r="G262" s="88"/>
      <c r="H262" s="88"/>
    </row>
    <row r="263" spans="4:8" ht="15.75">
      <c r="D263" s="88"/>
      <c r="E263" s="88"/>
      <c r="F263" s="88"/>
      <c r="G263" s="88"/>
      <c r="H263" s="88"/>
    </row>
    <row r="264" spans="4:8" ht="15.75">
      <c r="D264" s="88"/>
      <c r="E264" s="88"/>
      <c r="F264" s="88"/>
      <c r="G264" s="88"/>
      <c r="H264" s="88"/>
    </row>
    <row r="265" spans="4:8" ht="15.75">
      <c r="D265" s="88"/>
      <c r="E265" s="88"/>
      <c r="F265" s="88"/>
      <c r="G265" s="88"/>
      <c r="H265" s="88"/>
    </row>
    <row r="266" spans="4:8" ht="15.75">
      <c r="D266" s="88"/>
      <c r="E266" s="88"/>
      <c r="F266" s="88"/>
      <c r="G266" s="88"/>
      <c r="H266" s="88"/>
    </row>
    <row r="267" spans="4:8" ht="15.75">
      <c r="D267" s="88"/>
      <c r="E267" s="88"/>
      <c r="F267" s="88"/>
      <c r="G267" s="88"/>
      <c r="H267" s="88"/>
    </row>
    <row r="268" spans="4:8" ht="15.75">
      <c r="D268" s="88"/>
      <c r="E268" s="88"/>
      <c r="F268" s="88"/>
      <c r="G268" s="88"/>
      <c r="H268" s="88"/>
    </row>
    <row r="269" spans="4:8" ht="15.75">
      <c r="D269" s="88"/>
      <c r="E269" s="88"/>
      <c r="F269" s="88"/>
      <c r="G269" s="88"/>
      <c r="H269" s="88"/>
    </row>
    <row r="270" spans="4:8" ht="15.75">
      <c r="D270" s="88"/>
      <c r="E270" s="88"/>
      <c r="F270" s="88"/>
      <c r="G270" s="88"/>
      <c r="H270" s="88"/>
    </row>
    <row r="271" spans="4:8" ht="15.75">
      <c r="D271" s="88"/>
      <c r="E271" s="88"/>
      <c r="F271" s="88"/>
      <c r="G271" s="88"/>
      <c r="H271" s="88"/>
    </row>
    <row r="272" spans="4:8" ht="15.75">
      <c r="D272" s="88"/>
      <c r="E272" s="88"/>
      <c r="F272" s="88"/>
      <c r="G272" s="88"/>
      <c r="H272" s="88"/>
    </row>
    <row r="273" spans="4:8" ht="15.75">
      <c r="D273" s="88"/>
      <c r="E273" s="88"/>
      <c r="F273" s="88"/>
      <c r="G273" s="88"/>
      <c r="H273" s="88"/>
    </row>
    <row r="274" spans="4:8" ht="15.75">
      <c r="D274" s="88"/>
      <c r="E274" s="88"/>
      <c r="F274" s="88"/>
      <c r="G274" s="88"/>
      <c r="H274" s="88"/>
    </row>
    <row r="275" spans="4:8" ht="15.75">
      <c r="D275" s="88"/>
      <c r="E275" s="88"/>
      <c r="F275" s="88"/>
      <c r="G275" s="88"/>
      <c r="H275" s="88"/>
    </row>
    <row r="276" spans="4:8" ht="15.75">
      <c r="D276" s="88"/>
      <c r="E276" s="88"/>
      <c r="F276" s="88"/>
      <c r="G276" s="88"/>
      <c r="H276" s="88"/>
    </row>
    <row r="277" spans="4:8" ht="15.75">
      <c r="D277" s="88"/>
      <c r="E277" s="88"/>
      <c r="F277" s="88"/>
      <c r="G277" s="88"/>
      <c r="H277" s="88"/>
    </row>
    <row r="278" spans="4:8" ht="15.75">
      <c r="D278" s="88"/>
      <c r="E278" s="88"/>
      <c r="F278" s="88"/>
      <c r="G278" s="88"/>
      <c r="H278" s="88"/>
    </row>
    <row r="279" spans="4:8" ht="15.75">
      <c r="D279" s="88"/>
      <c r="E279" s="88"/>
      <c r="F279" s="88"/>
      <c r="G279" s="88"/>
      <c r="H279" s="88"/>
    </row>
    <row r="280" spans="4:8" ht="15.75">
      <c r="D280" s="88"/>
      <c r="E280" s="88"/>
      <c r="F280" s="88"/>
      <c r="G280" s="88"/>
      <c r="H280" s="88"/>
    </row>
    <row r="281" spans="4:8" ht="15.75">
      <c r="D281" s="88"/>
      <c r="E281" s="88"/>
      <c r="F281" s="88"/>
      <c r="G281" s="88"/>
      <c r="H281" s="88"/>
    </row>
    <row r="282" spans="4:8" ht="15.75">
      <c r="D282" s="88"/>
      <c r="E282" s="88"/>
      <c r="F282" s="88"/>
      <c r="G282" s="88"/>
      <c r="H282" s="88"/>
    </row>
    <row r="283" spans="4:8" ht="15.75">
      <c r="D283" s="88"/>
      <c r="E283" s="88"/>
      <c r="F283" s="88"/>
      <c r="G283" s="88"/>
      <c r="H283" s="88"/>
    </row>
    <row r="284" spans="4:8" ht="15.75">
      <c r="D284" s="88"/>
      <c r="E284" s="88"/>
      <c r="F284" s="88"/>
      <c r="G284" s="88"/>
      <c r="H284" s="88"/>
    </row>
    <row r="285" spans="4:8" ht="15.75">
      <c r="D285" s="88"/>
      <c r="E285" s="88"/>
      <c r="F285" s="88"/>
      <c r="G285" s="88"/>
      <c r="H285" s="88"/>
    </row>
    <row r="286" spans="4:8" ht="15.75">
      <c r="D286" s="88"/>
      <c r="E286" s="88"/>
      <c r="F286" s="88"/>
      <c r="G286" s="88"/>
      <c r="H286" s="88"/>
    </row>
    <row r="287" spans="4:8" ht="15.75">
      <c r="D287" s="88"/>
      <c r="E287" s="88"/>
      <c r="F287" s="88"/>
      <c r="G287" s="88"/>
      <c r="H287" s="88"/>
    </row>
    <row r="288" spans="4:8" ht="15.75">
      <c r="D288" s="88"/>
      <c r="E288" s="88"/>
      <c r="F288" s="88"/>
      <c r="G288" s="88"/>
      <c r="H288" s="88"/>
    </row>
    <row r="289" spans="4:8" ht="15.75">
      <c r="D289" s="88"/>
      <c r="E289" s="88"/>
      <c r="F289" s="88"/>
      <c r="G289" s="88"/>
      <c r="H289" s="88"/>
    </row>
    <row r="290" spans="4:8" ht="15.75">
      <c r="D290" s="88"/>
      <c r="E290" s="88"/>
      <c r="F290" s="88"/>
      <c r="G290" s="88"/>
      <c r="H290" s="88"/>
    </row>
    <row r="291" spans="4:8" ht="15.75">
      <c r="D291" s="88"/>
      <c r="E291" s="88"/>
      <c r="F291" s="88"/>
      <c r="G291" s="88"/>
      <c r="H291" s="88"/>
    </row>
    <row r="292" spans="4:8" ht="15.75">
      <c r="D292" s="88"/>
      <c r="E292" s="88"/>
      <c r="F292" s="88"/>
      <c r="G292" s="88"/>
      <c r="H292" s="88"/>
    </row>
    <row r="293" spans="4:8" ht="15.75">
      <c r="D293" s="88"/>
      <c r="E293" s="88"/>
      <c r="F293" s="88"/>
      <c r="G293" s="88"/>
      <c r="H293" s="88"/>
    </row>
    <row r="294" spans="4:8" ht="15.75">
      <c r="D294" s="88"/>
      <c r="E294" s="88"/>
      <c r="F294" s="88"/>
      <c r="G294" s="88"/>
      <c r="H294" s="88"/>
    </row>
    <row r="295" spans="4:8" ht="15.75">
      <c r="D295" s="88"/>
      <c r="E295" s="88"/>
      <c r="F295" s="88"/>
      <c r="G295" s="88"/>
      <c r="H295" s="88"/>
    </row>
    <row r="296" spans="4:8" ht="15.75">
      <c r="D296" s="88"/>
      <c r="E296" s="88"/>
      <c r="F296" s="88"/>
      <c r="G296" s="88"/>
      <c r="H296" s="88"/>
    </row>
    <row r="297" spans="4:8" ht="15.75">
      <c r="D297" s="88"/>
      <c r="E297" s="88"/>
      <c r="F297" s="88"/>
      <c r="G297" s="88"/>
      <c r="H297" s="88"/>
    </row>
    <row r="298" spans="4:8" ht="15.75">
      <c r="D298" s="88"/>
      <c r="E298" s="88"/>
      <c r="F298" s="88"/>
      <c r="G298" s="88"/>
      <c r="H298" s="88"/>
    </row>
    <row r="299" spans="4:8" ht="15.75">
      <c r="D299" s="88"/>
      <c r="E299" s="88"/>
      <c r="F299" s="88"/>
      <c r="G299" s="88"/>
      <c r="H299" s="88"/>
    </row>
    <row r="300" spans="4:8" ht="15.75">
      <c r="D300" s="88"/>
      <c r="E300" s="88"/>
      <c r="F300" s="88"/>
      <c r="G300" s="88"/>
      <c r="H300" s="88"/>
    </row>
    <row r="301" spans="4:8" ht="15.75">
      <c r="D301" s="88"/>
      <c r="E301" s="88"/>
      <c r="F301" s="88"/>
      <c r="G301" s="88"/>
      <c r="H301" s="88"/>
    </row>
    <row r="302" spans="4:8" ht="15.75">
      <c r="D302" s="88"/>
      <c r="E302" s="88"/>
      <c r="F302" s="88"/>
      <c r="G302" s="88"/>
      <c r="H302" s="88"/>
    </row>
    <row r="303" spans="4:8" ht="15.75">
      <c r="D303" s="88"/>
      <c r="E303" s="88"/>
      <c r="F303" s="88"/>
      <c r="G303" s="88"/>
      <c r="H303" s="88"/>
    </row>
    <row r="304" spans="4:8" ht="15.75">
      <c r="D304" s="88"/>
      <c r="E304" s="88"/>
      <c r="F304" s="88"/>
      <c r="G304" s="88"/>
      <c r="H304" s="88"/>
    </row>
    <row r="305" spans="4:8" ht="15.75">
      <c r="D305" s="88"/>
      <c r="E305" s="88"/>
      <c r="F305" s="88"/>
      <c r="G305" s="88"/>
      <c r="H305" s="88"/>
    </row>
    <row r="306" spans="4:8" ht="15.75">
      <c r="D306" s="88"/>
      <c r="E306" s="88"/>
      <c r="F306" s="88"/>
      <c r="G306" s="88"/>
      <c r="H306" s="88"/>
    </row>
    <row r="307" spans="4:8" ht="15.75">
      <c r="D307" s="88"/>
      <c r="E307" s="88"/>
      <c r="F307" s="88"/>
      <c r="G307" s="88"/>
      <c r="H307" s="88"/>
    </row>
    <row r="308" spans="4:8" ht="15.75">
      <c r="D308" s="88"/>
      <c r="E308" s="88"/>
      <c r="F308" s="88"/>
      <c r="G308" s="88"/>
      <c r="H308" s="88"/>
    </row>
    <row r="309" spans="4:8" ht="15.75">
      <c r="D309" s="88"/>
      <c r="E309" s="88"/>
      <c r="F309" s="88"/>
      <c r="G309" s="88"/>
      <c r="H309" s="88"/>
    </row>
    <row r="310" spans="4:8" ht="15.75">
      <c r="D310" s="88"/>
      <c r="E310" s="88"/>
      <c r="F310" s="88"/>
      <c r="G310" s="88"/>
      <c r="H310" s="88"/>
    </row>
    <row r="311" spans="4:8" ht="15.75">
      <c r="D311" s="88"/>
      <c r="E311" s="88"/>
      <c r="F311" s="88"/>
      <c r="G311" s="88"/>
      <c r="H311" s="88"/>
    </row>
    <row r="312" spans="4:8" ht="15.75">
      <c r="D312" s="88"/>
      <c r="E312" s="88"/>
      <c r="F312" s="88"/>
      <c r="G312" s="88"/>
      <c r="H312" s="88"/>
    </row>
    <row r="313" spans="4:8" ht="15.75">
      <c r="D313" s="88"/>
      <c r="E313" s="88"/>
      <c r="F313" s="88"/>
      <c r="G313" s="88"/>
      <c r="H313" s="88"/>
    </row>
    <row r="314" spans="4:8" ht="15.75">
      <c r="D314" s="88"/>
      <c r="E314" s="88"/>
      <c r="F314" s="88"/>
      <c r="G314" s="88"/>
      <c r="H314" s="88"/>
    </row>
    <row r="315" spans="4:8" ht="15.75">
      <c r="D315" s="88"/>
      <c r="E315" s="88"/>
      <c r="F315" s="88"/>
      <c r="G315" s="88"/>
      <c r="H315" s="88"/>
    </row>
    <row r="316" spans="4:8" ht="15.75">
      <c r="D316" s="88"/>
      <c r="E316" s="88"/>
      <c r="F316" s="88"/>
      <c r="G316" s="88"/>
      <c r="H316" s="88"/>
    </row>
    <row r="317" spans="4:8" ht="15.75">
      <c r="D317" s="88"/>
      <c r="E317" s="88"/>
      <c r="F317" s="88"/>
      <c r="G317" s="88"/>
      <c r="H317" s="88"/>
    </row>
    <row r="318" spans="4:8" ht="15.75">
      <c r="D318" s="88"/>
      <c r="E318" s="88"/>
      <c r="F318" s="88"/>
      <c r="G318" s="88"/>
      <c r="H318" s="88"/>
    </row>
    <row r="319" spans="4:8" ht="15.75">
      <c r="D319" s="88"/>
      <c r="E319" s="88"/>
      <c r="F319" s="88"/>
      <c r="G319" s="88"/>
      <c r="H319" s="88"/>
    </row>
    <row r="320" spans="4:8" ht="15.75">
      <c r="D320" s="88"/>
      <c r="E320" s="88"/>
      <c r="F320" s="88"/>
      <c r="G320" s="88"/>
      <c r="H320" s="88"/>
    </row>
    <row r="321" spans="4:8" ht="15.75">
      <c r="D321" s="88"/>
      <c r="E321" s="88"/>
      <c r="F321" s="88"/>
      <c r="G321" s="88"/>
      <c r="H321" s="88"/>
    </row>
    <row r="322" spans="4:8" ht="15.75">
      <c r="D322" s="88"/>
      <c r="E322" s="88"/>
      <c r="F322" s="88"/>
      <c r="G322" s="88"/>
      <c r="H322" s="88"/>
    </row>
    <row r="323" spans="4:8" ht="15.75">
      <c r="D323" s="88"/>
      <c r="E323" s="88"/>
      <c r="F323" s="88"/>
      <c r="G323" s="88"/>
      <c r="H323" s="88"/>
    </row>
    <row r="324" spans="4:8" ht="15.75">
      <c r="D324" s="88"/>
      <c r="E324" s="88"/>
      <c r="F324" s="88"/>
      <c r="G324" s="88"/>
      <c r="H324" s="88"/>
    </row>
    <row r="325" spans="4:8" ht="15.75">
      <c r="D325" s="88"/>
      <c r="E325" s="88"/>
      <c r="F325" s="88"/>
      <c r="G325" s="88"/>
      <c r="H325" s="88"/>
    </row>
    <row r="326" spans="4:8" ht="15.75">
      <c r="D326" s="88"/>
      <c r="E326" s="88"/>
      <c r="F326" s="88"/>
      <c r="G326" s="88"/>
      <c r="H326" s="88"/>
    </row>
    <row r="327" spans="4:8" ht="15.75">
      <c r="D327" s="88"/>
      <c r="E327" s="88"/>
      <c r="F327" s="88"/>
      <c r="G327" s="88"/>
      <c r="H327" s="88"/>
    </row>
    <row r="328" spans="4:8" ht="15.75">
      <c r="D328" s="88"/>
      <c r="E328" s="88"/>
      <c r="F328" s="88"/>
      <c r="G328" s="88"/>
      <c r="H328" s="88"/>
    </row>
    <row r="329" spans="4:8" ht="15.75">
      <c r="D329" s="88"/>
      <c r="E329" s="88"/>
      <c r="F329" s="88"/>
      <c r="G329" s="88"/>
      <c r="H329" s="88"/>
    </row>
    <row r="330" spans="4:8" ht="15.75">
      <c r="D330" s="88"/>
      <c r="E330" s="88"/>
      <c r="F330" s="88"/>
      <c r="G330" s="88"/>
      <c r="H330" s="88"/>
    </row>
    <row r="331" spans="4:8" ht="15.75">
      <c r="D331" s="88"/>
      <c r="E331" s="88"/>
      <c r="F331" s="88"/>
      <c r="G331" s="88"/>
      <c r="H331" s="88"/>
    </row>
    <row r="332" spans="4:8" ht="15.75">
      <c r="D332" s="88"/>
      <c r="E332" s="88"/>
      <c r="F332" s="88"/>
      <c r="G332" s="88"/>
      <c r="H332" s="88"/>
    </row>
    <row r="333" spans="4:8" ht="15.75">
      <c r="D333" s="88"/>
      <c r="E333" s="88"/>
      <c r="F333" s="88"/>
      <c r="G333" s="88"/>
      <c r="H333" s="88"/>
    </row>
    <row r="334" spans="4:8" ht="15.75">
      <c r="D334" s="88"/>
      <c r="E334" s="88"/>
      <c r="F334" s="88"/>
      <c r="G334" s="88"/>
      <c r="H334" s="88"/>
    </row>
    <row r="335" spans="4:8" ht="15.75">
      <c r="D335" s="88"/>
      <c r="E335" s="88"/>
      <c r="F335" s="88"/>
      <c r="G335" s="88"/>
      <c r="H335" s="88"/>
    </row>
    <row r="336" spans="4:8" ht="15.75">
      <c r="D336" s="88"/>
      <c r="E336" s="88"/>
      <c r="F336" s="88"/>
      <c r="G336" s="88"/>
      <c r="H336" s="88"/>
    </row>
    <row r="337" spans="4:8" ht="15.75">
      <c r="D337" s="88"/>
      <c r="E337" s="88"/>
      <c r="F337" s="88"/>
      <c r="G337" s="88"/>
      <c r="H337" s="88"/>
    </row>
    <row r="338" spans="4:8" ht="15.75">
      <c r="D338" s="88"/>
      <c r="E338" s="88"/>
      <c r="F338" s="88"/>
      <c r="G338" s="88"/>
      <c r="H338" s="88"/>
    </row>
    <row r="339" spans="4:8" ht="15.75">
      <c r="D339" s="88"/>
      <c r="E339" s="88"/>
      <c r="F339" s="88"/>
      <c r="G339" s="88"/>
      <c r="H339" s="88"/>
    </row>
    <row r="340" spans="4:8" ht="15.75">
      <c r="D340" s="88"/>
      <c r="E340" s="88"/>
      <c r="F340" s="88"/>
      <c r="G340" s="88"/>
      <c r="H340" s="88"/>
    </row>
    <row r="341" spans="4:8" ht="15.75">
      <c r="D341" s="88"/>
      <c r="E341" s="88"/>
      <c r="F341" s="88"/>
      <c r="G341" s="88"/>
      <c r="H341" s="88"/>
    </row>
    <row r="342" spans="4:8" ht="15.75">
      <c r="D342" s="88"/>
      <c r="E342" s="88"/>
      <c r="F342" s="88"/>
      <c r="G342" s="88"/>
      <c r="H342" s="88"/>
    </row>
    <row r="343" spans="4:8" ht="15.75">
      <c r="D343" s="88"/>
      <c r="E343" s="88"/>
      <c r="F343" s="88"/>
      <c r="G343" s="88"/>
      <c r="H343" s="88"/>
    </row>
    <row r="344" spans="4:8" ht="15.75">
      <c r="D344" s="88"/>
      <c r="E344" s="88"/>
      <c r="F344" s="88"/>
      <c r="G344" s="88"/>
      <c r="H344" s="88"/>
    </row>
    <row r="345" spans="4:8" ht="15.75">
      <c r="D345" s="88"/>
      <c r="E345" s="88"/>
      <c r="F345" s="88"/>
      <c r="G345" s="88"/>
      <c r="H345" s="88"/>
    </row>
    <row r="346" spans="4:8" ht="15.75">
      <c r="D346" s="88"/>
      <c r="E346" s="88"/>
      <c r="F346" s="88"/>
      <c r="G346" s="88"/>
      <c r="H346" s="88"/>
    </row>
    <row r="347" spans="4:8" ht="15.75">
      <c r="D347" s="88"/>
      <c r="E347" s="88"/>
      <c r="F347" s="88"/>
      <c r="G347" s="88"/>
      <c r="H347" s="88"/>
    </row>
    <row r="348" spans="4:8" ht="15.75">
      <c r="D348" s="88"/>
      <c r="E348" s="88"/>
      <c r="F348" s="88"/>
      <c r="G348" s="88"/>
      <c r="H348" s="88"/>
    </row>
    <row r="349" spans="4:8" ht="15.75">
      <c r="D349" s="88"/>
      <c r="E349" s="88"/>
      <c r="F349" s="88"/>
      <c r="G349" s="88"/>
      <c r="H349" s="88"/>
    </row>
    <row r="350" spans="4:8" ht="15.75">
      <c r="D350" s="88"/>
      <c r="E350" s="88"/>
      <c r="F350" s="88"/>
      <c r="G350" s="88"/>
      <c r="H350" s="88"/>
    </row>
    <row r="351" spans="4:8" ht="15.75">
      <c r="D351" s="88"/>
      <c r="E351" s="88"/>
      <c r="F351" s="88"/>
      <c r="G351" s="88"/>
      <c r="H351" s="88"/>
    </row>
    <row r="352" spans="4:8" ht="15.75">
      <c r="D352" s="88"/>
      <c r="E352" s="88"/>
      <c r="F352" s="88"/>
      <c r="G352" s="88"/>
      <c r="H352" s="88"/>
    </row>
    <row r="353" spans="4:8" ht="15.75">
      <c r="D353" s="88"/>
      <c r="E353" s="88"/>
      <c r="F353" s="88"/>
      <c r="G353" s="88"/>
      <c r="H353" s="88"/>
    </row>
    <row r="354" spans="4:8" ht="15.75">
      <c r="D354" s="88"/>
      <c r="E354" s="88"/>
      <c r="F354" s="88"/>
      <c r="G354" s="88"/>
      <c r="H354" s="88"/>
    </row>
    <row r="355" spans="4:8" ht="15.75">
      <c r="D355" s="88"/>
      <c r="E355" s="88"/>
      <c r="F355" s="88"/>
      <c r="G355" s="88"/>
      <c r="H355" s="88"/>
    </row>
    <row r="356" spans="4:8" ht="15.75">
      <c r="D356" s="88"/>
      <c r="E356" s="88"/>
      <c r="F356" s="88"/>
      <c r="G356" s="88"/>
      <c r="H356" s="88"/>
    </row>
    <row r="357" spans="4:8" ht="15.75">
      <c r="D357" s="88"/>
      <c r="E357" s="88"/>
      <c r="F357" s="88"/>
      <c r="G357" s="88"/>
      <c r="H357" s="88"/>
    </row>
    <row r="358" spans="4:8" ht="15.75">
      <c r="D358" s="88"/>
      <c r="E358" s="88"/>
      <c r="F358" s="88"/>
      <c r="G358" s="88"/>
      <c r="H358" s="88"/>
    </row>
    <row r="359" spans="4:8" ht="15.75">
      <c r="D359" s="88"/>
      <c r="E359" s="88"/>
      <c r="F359" s="88"/>
      <c r="G359" s="88"/>
      <c r="H359" s="88"/>
    </row>
    <row r="360" spans="4:8" ht="15.75">
      <c r="D360" s="88"/>
      <c r="E360" s="88"/>
      <c r="F360" s="88"/>
      <c r="G360" s="88"/>
      <c r="H360" s="88"/>
    </row>
    <row r="361" spans="4:8" ht="15.75">
      <c r="D361" s="88"/>
      <c r="E361" s="88"/>
      <c r="F361" s="88"/>
      <c r="G361" s="88"/>
      <c r="H361" s="88"/>
    </row>
    <row r="362" spans="4:8" ht="15.75">
      <c r="D362" s="88"/>
      <c r="E362" s="88"/>
      <c r="F362" s="88"/>
      <c r="G362" s="88"/>
      <c r="H362" s="88"/>
    </row>
    <row r="363" spans="4:8" ht="15.75">
      <c r="D363" s="88"/>
      <c r="E363" s="88"/>
      <c r="F363" s="88"/>
      <c r="G363" s="88"/>
      <c r="H363" s="88"/>
    </row>
    <row r="364" spans="4:8" ht="15.75">
      <c r="D364" s="88"/>
      <c r="E364" s="88"/>
      <c r="F364" s="88"/>
      <c r="G364" s="88"/>
      <c r="H364" s="88"/>
    </row>
    <row r="365" spans="4:8" ht="15.75">
      <c r="D365" s="88"/>
      <c r="E365" s="88"/>
      <c r="F365" s="88"/>
      <c r="G365" s="88"/>
      <c r="H365" s="88"/>
    </row>
    <row r="366" spans="4:8" ht="15.75">
      <c r="D366" s="88"/>
      <c r="E366" s="88"/>
      <c r="F366" s="88"/>
      <c r="G366" s="88"/>
      <c r="H366" s="88"/>
    </row>
    <row r="367" spans="4:8" ht="15.75">
      <c r="D367" s="88"/>
      <c r="E367" s="88"/>
      <c r="F367" s="88"/>
      <c r="G367" s="88"/>
      <c r="H367" s="88"/>
    </row>
    <row r="368" spans="4:8" ht="15.75">
      <c r="D368" s="88"/>
      <c r="E368" s="88"/>
      <c r="F368" s="88"/>
      <c r="G368" s="88"/>
      <c r="H368" s="88"/>
    </row>
    <row r="369" spans="4:8" ht="15.75">
      <c r="D369" s="88"/>
      <c r="E369" s="88"/>
      <c r="F369" s="88"/>
      <c r="G369" s="88"/>
      <c r="H369" s="88"/>
    </row>
    <row r="370" spans="4:8" ht="15.75">
      <c r="D370" s="88"/>
      <c r="E370" s="88"/>
      <c r="F370" s="88"/>
      <c r="G370" s="88"/>
      <c r="H370" s="88"/>
    </row>
    <row r="371" spans="4:8" ht="15.75">
      <c r="D371" s="88"/>
      <c r="E371" s="88"/>
      <c r="F371" s="88"/>
      <c r="G371" s="88"/>
      <c r="H371" s="88"/>
    </row>
    <row r="372" spans="4:8" ht="15.75">
      <c r="D372" s="88"/>
      <c r="E372" s="88"/>
      <c r="F372" s="88"/>
      <c r="G372" s="88"/>
      <c r="H372" s="88"/>
    </row>
    <row r="373" spans="4:8" ht="15.75">
      <c r="D373" s="88"/>
      <c r="E373" s="88"/>
      <c r="F373" s="88"/>
      <c r="G373" s="88"/>
      <c r="H373" s="88"/>
    </row>
    <row r="374" spans="4:8" ht="15.75">
      <c r="D374" s="88"/>
      <c r="E374" s="88"/>
      <c r="F374" s="88"/>
      <c r="G374" s="88"/>
      <c r="H374" s="88"/>
    </row>
    <row r="375" spans="4:8" ht="15.75">
      <c r="D375" s="88"/>
      <c r="E375" s="88"/>
      <c r="F375" s="88"/>
      <c r="G375" s="88"/>
      <c r="H375" s="88"/>
    </row>
    <row r="376" spans="4:8" ht="15.75">
      <c r="D376" s="88"/>
      <c r="E376" s="88"/>
      <c r="F376" s="88"/>
      <c r="G376" s="88"/>
      <c r="H376" s="88"/>
    </row>
    <row r="377" spans="4:8" ht="15.75">
      <c r="D377" s="88"/>
      <c r="E377" s="88"/>
      <c r="F377" s="88"/>
      <c r="G377" s="88"/>
      <c r="H377" s="88"/>
    </row>
    <row r="378" spans="4:8" ht="15.75">
      <c r="D378" s="88"/>
      <c r="E378" s="88"/>
      <c r="F378" s="88"/>
      <c r="G378" s="88"/>
      <c r="H378" s="88"/>
    </row>
    <row r="379" spans="4:8" ht="15.75">
      <c r="D379" s="88"/>
      <c r="E379" s="88"/>
      <c r="F379" s="88"/>
      <c r="G379" s="88"/>
      <c r="H379" s="88"/>
    </row>
    <row r="380" spans="4:8" ht="15.75">
      <c r="D380" s="88"/>
      <c r="E380" s="88"/>
      <c r="F380" s="88"/>
      <c r="G380" s="88"/>
      <c r="H380" s="88"/>
    </row>
    <row r="381" spans="4:8" ht="15.75">
      <c r="D381" s="88"/>
      <c r="E381" s="88"/>
      <c r="F381" s="88"/>
      <c r="G381" s="88"/>
      <c r="H381" s="88"/>
    </row>
    <row r="382" spans="4:8" ht="15.75">
      <c r="D382" s="88"/>
      <c r="E382" s="88"/>
      <c r="F382" s="88"/>
      <c r="G382" s="88"/>
      <c r="H382" s="88"/>
    </row>
    <row r="383" spans="4:8" ht="15.75">
      <c r="D383" s="88"/>
      <c r="E383" s="88"/>
      <c r="F383" s="88"/>
      <c r="G383" s="88"/>
      <c r="H383" s="88"/>
    </row>
    <row r="384" spans="4:8" ht="15.75">
      <c r="D384" s="88"/>
      <c r="E384" s="88"/>
      <c r="F384" s="88"/>
      <c r="G384" s="88"/>
      <c r="H384" s="88"/>
    </row>
    <row r="385" spans="4:8" ht="15.75">
      <c r="D385" s="88"/>
      <c r="E385" s="88"/>
      <c r="F385" s="88"/>
      <c r="G385" s="88"/>
      <c r="H385" s="88"/>
    </row>
    <row r="386" spans="4:8" ht="15.75">
      <c r="D386" s="88"/>
      <c r="E386" s="88"/>
      <c r="F386" s="88"/>
      <c r="G386" s="88"/>
      <c r="H386" s="88"/>
    </row>
    <row r="387" spans="4:8" ht="15.75">
      <c r="D387" s="88"/>
      <c r="E387" s="88"/>
      <c r="F387" s="88"/>
      <c r="G387" s="88"/>
      <c r="H387" s="88"/>
    </row>
    <row r="388" spans="4:8" ht="15.75">
      <c r="D388" s="88"/>
      <c r="E388" s="88"/>
      <c r="F388" s="88"/>
      <c r="G388" s="88"/>
      <c r="H388" s="88"/>
    </row>
    <row r="389" spans="4:8" ht="15.75">
      <c r="D389" s="88"/>
      <c r="E389" s="88"/>
      <c r="F389" s="88"/>
      <c r="G389" s="88"/>
      <c r="H389" s="88"/>
    </row>
    <row r="390" spans="4:8" ht="15.75">
      <c r="D390" s="88"/>
      <c r="E390" s="88"/>
      <c r="F390" s="88"/>
      <c r="G390" s="88"/>
      <c r="H390" s="88"/>
    </row>
    <row r="391" spans="4:8" ht="15.75">
      <c r="D391" s="88"/>
      <c r="E391" s="88"/>
      <c r="F391" s="88"/>
      <c r="G391" s="88"/>
      <c r="H391" s="88"/>
    </row>
    <row r="392" spans="4:8" ht="15.75">
      <c r="D392" s="88"/>
      <c r="E392" s="88"/>
      <c r="F392" s="88"/>
      <c r="G392" s="88"/>
      <c r="H392" s="88"/>
    </row>
    <row r="393" spans="4:8" ht="15.75">
      <c r="D393" s="88"/>
      <c r="E393" s="88"/>
      <c r="F393" s="88"/>
      <c r="G393" s="88"/>
      <c r="H393" s="88"/>
    </row>
    <row r="394" spans="4:8" ht="15.75">
      <c r="D394" s="88"/>
      <c r="E394" s="88"/>
      <c r="F394" s="88"/>
      <c r="G394" s="88"/>
      <c r="H394" s="88"/>
    </row>
    <row r="395" spans="4:8" ht="15.75">
      <c r="D395" s="88"/>
      <c r="E395" s="88"/>
      <c r="F395" s="88"/>
      <c r="G395" s="88"/>
      <c r="H395" s="88"/>
    </row>
    <row r="396" spans="4:8" ht="15.75">
      <c r="D396" s="88"/>
      <c r="E396" s="88"/>
      <c r="F396" s="88"/>
      <c r="G396" s="88"/>
      <c r="H396" s="88"/>
    </row>
    <row r="397" spans="4:8" ht="15.75">
      <c r="D397" s="88"/>
      <c r="E397" s="88"/>
      <c r="F397" s="88"/>
      <c r="G397" s="88"/>
      <c r="H397" s="88"/>
    </row>
    <row r="398" spans="4:8" ht="15.75">
      <c r="D398" s="88"/>
      <c r="E398" s="88"/>
      <c r="F398" s="88"/>
      <c r="G398" s="88"/>
      <c r="H398" s="88"/>
    </row>
    <row r="399" spans="4:8" ht="15.75">
      <c r="D399" s="88"/>
      <c r="E399" s="88"/>
      <c r="F399" s="88"/>
      <c r="G399" s="88"/>
      <c r="H399" s="88"/>
    </row>
    <row r="400" spans="4:8" ht="15.75">
      <c r="D400" s="88"/>
      <c r="E400" s="88"/>
      <c r="F400" s="88"/>
      <c r="G400" s="88"/>
      <c r="H400" s="88"/>
    </row>
    <row r="401" spans="4:8" ht="15.75">
      <c r="D401" s="88"/>
      <c r="E401" s="88"/>
      <c r="F401" s="88"/>
      <c r="G401" s="88"/>
      <c r="H401" s="88"/>
    </row>
    <row r="402" spans="4:8" ht="15.75">
      <c r="D402" s="88"/>
      <c r="E402" s="88"/>
      <c r="F402" s="88"/>
      <c r="G402" s="88"/>
      <c r="H402" s="88"/>
    </row>
    <row r="403" spans="4:8" ht="15.75">
      <c r="D403" s="88"/>
      <c r="E403" s="88"/>
      <c r="F403" s="88"/>
      <c r="G403" s="88"/>
      <c r="H403" s="88"/>
    </row>
    <row r="404" spans="4:8" ht="15.75">
      <c r="D404" s="88"/>
      <c r="E404" s="88"/>
      <c r="F404" s="88"/>
      <c r="G404" s="88"/>
      <c r="H404" s="88"/>
    </row>
    <row r="405" spans="4:8" ht="15.75">
      <c r="D405" s="88"/>
      <c r="E405" s="88"/>
      <c r="F405" s="88"/>
      <c r="G405" s="88"/>
      <c r="H405" s="88"/>
    </row>
    <row r="406" spans="4:8" ht="15.75">
      <c r="D406" s="88"/>
      <c r="E406" s="88"/>
      <c r="F406" s="88"/>
      <c r="G406" s="88"/>
      <c r="H406" s="88"/>
    </row>
    <row r="407" spans="4:8" ht="15.75">
      <c r="D407" s="88"/>
      <c r="E407" s="88"/>
      <c r="F407" s="88"/>
      <c r="G407" s="88"/>
      <c r="H407" s="88"/>
    </row>
    <row r="408" spans="4:8" ht="15.75">
      <c r="D408" s="88"/>
      <c r="E408" s="88"/>
      <c r="F408" s="88"/>
      <c r="G408" s="88"/>
      <c r="H408" s="88"/>
    </row>
    <row r="409" spans="4:8" ht="15.75">
      <c r="D409" s="88"/>
      <c r="E409" s="88"/>
      <c r="F409" s="88"/>
      <c r="G409" s="88"/>
      <c r="H409" s="88"/>
    </row>
    <row r="410" spans="4:8" ht="15.75">
      <c r="D410" s="88"/>
      <c r="E410" s="88"/>
      <c r="F410" s="88"/>
      <c r="G410" s="88"/>
      <c r="H410" s="88"/>
    </row>
    <row r="411" spans="4:8" ht="15.75">
      <c r="D411" s="88"/>
      <c r="E411" s="88"/>
      <c r="F411" s="88"/>
      <c r="G411" s="88"/>
      <c r="H411" s="88"/>
    </row>
    <row r="412" spans="4:8" ht="15.75">
      <c r="D412" s="88"/>
      <c r="E412" s="88"/>
      <c r="F412" s="88"/>
      <c r="G412" s="88"/>
      <c r="H412" s="88"/>
    </row>
    <row r="413" spans="4:8" ht="15.75">
      <c r="D413" s="88"/>
      <c r="E413" s="88"/>
      <c r="F413" s="88"/>
      <c r="G413" s="88"/>
      <c r="H413" s="88"/>
    </row>
    <row r="414" spans="4:8" ht="15.75">
      <c r="D414" s="88"/>
      <c r="E414" s="88"/>
      <c r="F414" s="88"/>
      <c r="G414" s="88"/>
      <c r="H414" s="88"/>
    </row>
    <row r="415" spans="4:8" ht="15.75">
      <c r="D415" s="88"/>
      <c r="E415" s="88"/>
      <c r="F415" s="88"/>
      <c r="G415" s="88"/>
      <c r="H415" s="88"/>
    </row>
    <row r="416" spans="4:8" ht="15.75">
      <c r="D416" s="88"/>
      <c r="E416" s="88"/>
      <c r="F416" s="88"/>
      <c r="G416" s="88"/>
      <c r="H416" s="88"/>
    </row>
    <row r="417" spans="4:8" ht="15.75">
      <c r="D417" s="88"/>
      <c r="E417" s="88"/>
      <c r="F417" s="88"/>
      <c r="G417" s="88"/>
      <c r="H417" s="88"/>
    </row>
    <row r="418" spans="4:8" ht="15.75">
      <c r="D418" s="88"/>
      <c r="E418" s="88"/>
      <c r="F418" s="88"/>
      <c r="G418" s="88"/>
      <c r="H418" s="88"/>
    </row>
    <row r="419" spans="4:8" ht="15.75">
      <c r="D419" s="88"/>
      <c r="E419" s="88"/>
      <c r="F419" s="88"/>
      <c r="G419" s="88"/>
      <c r="H419" s="88"/>
    </row>
    <row r="420" spans="4:8" ht="15.75">
      <c r="D420" s="88"/>
      <c r="E420" s="88"/>
      <c r="F420" s="88"/>
      <c r="G420" s="88"/>
      <c r="H420" s="88"/>
    </row>
    <row r="421" spans="4:8" ht="15.75">
      <c r="D421" s="88"/>
      <c r="E421" s="88"/>
      <c r="F421" s="88"/>
      <c r="G421" s="88"/>
      <c r="H421" s="88"/>
    </row>
    <row r="422" spans="4:8" ht="15.75">
      <c r="D422" s="88"/>
      <c r="E422" s="88"/>
      <c r="F422" s="88"/>
      <c r="G422" s="88"/>
      <c r="H422" s="88"/>
    </row>
    <row r="423" spans="4:8" ht="15.75">
      <c r="D423" s="88"/>
      <c r="E423" s="88"/>
      <c r="F423" s="88"/>
      <c r="G423" s="88"/>
      <c r="H423" s="88"/>
    </row>
    <row r="424" spans="4:8" ht="15.75">
      <c r="D424" s="88"/>
      <c r="E424" s="88"/>
      <c r="F424" s="88"/>
      <c r="G424" s="88"/>
      <c r="H424" s="88"/>
    </row>
    <row r="425" spans="4:8" ht="15.75">
      <c r="D425" s="88"/>
      <c r="E425" s="88"/>
      <c r="F425" s="88"/>
      <c r="G425" s="88"/>
      <c r="H425" s="88"/>
    </row>
    <row r="426" spans="4:8" ht="15.75">
      <c r="D426" s="88"/>
      <c r="E426" s="88"/>
      <c r="F426" s="88"/>
      <c r="G426" s="88"/>
      <c r="H426" s="88"/>
    </row>
    <row r="427" spans="4:8" ht="15.75">
      <c r="D427" s="88"/>
      <c r="E427" s="88"/>
      <c r="F427" s="88"/>
      <c r="G427" s="88"/>
      <c r="H427" s="88"/>
    </row>
    <row r="428" spans="4:8" ht="15.75">
      <c r="D428" s="88"/>
      <c r="E428" s="88"/>
      <c r="F428" s="88"/>
      <c r="G428" s="88"/>
      <c r="H428" s="88"/>
    </row>
    <row r="429" spans="4:8" ht="15.75">
      <c r="D429" s="88"/>
      <c r="E429" s="88"/>
      <c r="F429" s="88"/>
      <c r="G429" s="88"/>
      <c r="H429" s="88"/>
    </row>
    <row r="430" spans="4:8" ht="15.75">
      <c r="D430" s="88"/>
      <c r="E430" s="88"/>
      <c r="F430" s="88"/>
      <c r="G430" s="88"/>
      <c r="H430" s="88"/>
    </row>
    <row r="431" spans="4:8" ht="15.75">
      <c r="D431" s="88"/>
      <c r="E431" s="88"/>
      <c r="F431" s="88"/>
      <c r="G431" s="88"/>
      <c r="H431" s="88"/>
    </row>
    <row r="432" spans="4:8" ht="15.75">
      <c r="D432" s="88"/>
      <c r="E432" s="88"/>
      <c r="F432" s="88"/>
      <c r="G432" s="88"/>
      <c r="H432" s="88"/>
    </row>
    <row r="433" spans="4:8" ht="15.75">
      <c r="D433" s="88"/>
      <c r="E433" s="88"/>
      <c r="F433" s="88"/>
      <c r="G433" s="88"/>
      <c r="H433" s="88"/>
    </row>
    <row r="434" spans="4:8" ht="15.75">
      <c r="D434" s="88"/>
      <c r="E434" s="88"/>
      <c r="F434" s="88"/>
      <c r="G434" s="88"/>
      <c r="H434" s="88"/>
    </row>
    <row r="435" spans="4:8" ht="15.75">
      <c r="D435" s="88"/>
      <c r="E435" s="88"/>
      <c r="F435" s="88"/>
      <c r="G435" s="88"/>
      <c r="H435" s="88"/>
    </row>
    <row r="436" spans="4:8" ht="15.75">
      <c r="D436" s="88"/>
      <c r="E436" s="88"/>
      <c r="F436" s="88"/>
      <c r="G436" s="88"/>
      <c r="H436" s="88"/>
    </row>
    <row r="437" spans="4:8" ht="15.75">
      <c r="D437" s="88"/>
      <c r="E437" s="88"/>
      <c r="F437" s="88"/>
      <c r="G437" s="88"/>
      <c r="H437" s="88"/>
    </row>
    <row r="438" spans="4:8" ht="15.75">
      <c r="D438" s="88"/>
      <c r="E438" s="88"/>
      <c r="F438" s="88"/>
      <c r="G438" s="88"/>
      <c r="H438" s="88"/>
    </row>
    <row r="439" spans="4:8" ht="15.75">
      <c r="D439" s="88"/>
      <c r="E439" s="88"/>
      <c r="F439" s="88"/>
      <c r="G439" s="88"/>
      <c r="H439" s="88"/>
    </row>
    <row r="440" spans="4:8" ht="15.75">
      <c r="D440" s="88"/>
      <c r="E440" s="88"/>
      <c r="F440" s="88"/>
      <c r="G440" s="88"/>
      <c r="H440" s="88"/>
    </row>
    <row r="441" spans="4:8" ht="15.75">
      <c r="D441" s="88"/>
      <c r="E441" s="88"/>
      <c r="F441" s="88"/>
      <c r="G441" s="88"/>
      <c r="H441" s="88"/>
    </row>
    <row r="442" spans="4:8" ht="15.75">
      <c r="D442" s="88"/>
      <c r="E442" s="88"/>
      <c r="F442" s="88"/>
      <c r="G442" s="88"/>
      <c r="H442" s="88"/>
    </row>
    <row r="443" spans="4:8" ht="15.75">
      <c r="D443" s="88"/>
      <c r="E443" s="88"/>
      <c r="F443" s="88"/>
      <c r="G443" s="88"/>
      <c r="H443" s="88"/>
    </row>
    <row r="444" spans="4:8" ht="15.75">
      <c r="D444" s="88"/>
      <c r="E444" s="88"/>
      <c r="F444" s="88"/>
      <c r="G444" s="88"/>
      <c r="H444" s="88"/>
    </row>
    <row r="445" spans="4:8" ht="15.75">
      <c r="D445" s="88"/>
      <c r="E445" s="88"/>
      <c r="F445" s="88"/>
      <c r="G445" s="88"/>
      <c r="H445" s="88"/>
    </row>
    <row r="446" spans="4:8" ht="15.75">
      <c r="D446" s="88"/>
      <c r="E446" s="88"/>
      <c r="F446" s="88"/>
      <c r="G446" s="88"/>
      <c r="H446" s="88"/>
    </row>
    <row r="447" spans="4:8" ht="15.75">
      <c r="D447" s="88"/>
      <c r="E447" s="88"/>
      <c r="F447" s="88"/>
      <c r="G447" s="88"/>
      <c r="H447" s="88"/>
    </row>
    <row r="448" spans="4:8" ht="15.75">
      <c r="D448" s="88"/>
      <c r="E448" s="88"/>
      <c r="F448" s="88"/>
      <c r="G448" s="88"/>
      <c r="H448" s="88"/>
    </row>
    <row r="449" spans="4:8" ht="15.75">
      <c r="D449" s="88"/>
      <c r="E449" s="88"/>
      <c r="F449" s="88"/>
      <c r="G449" s="88"/>
      <c r="H449" s="88"/>
    </row>
    <row r="450" spans="4:8" ht="15.75">
      <c r="D450" s="88"/>
      <c r="E450" s="88"/>
      <c r="F450" s="88"/>
      <c r="G450" s="88"/>
      <c r="H450" s="88"/>
    </row>
    <row r="451" spans="4:8" ht="15.75">
      <c r="D451" s="88"/>
      <c r="E451" s="88"/>
      <c r="F451" s="88"/>
      <c r="G451" s="88"/>
      <c r="H451" s="88"/>
    </row>
    <row r="452" spans="4:8" ht="15.75">
      <c r="D452" s="88"/>
      <c r="E452" s="88"/>
      <c r="F452" s="88"/>
      <c r="G452" s="88"/>
      <c r="H452" s="88"/>
    </row>
    <row r="453" spans="4:8" ht="15.75">
      <c r="D453" s="88"/>
      <c r="E453" s="88"/>
      <c r="F453" s="88"/>
      <c r="G453" s="88"/>
      <c r="H453" s="88"/>
    </row>
    <row r="454" spans="4:8" ht="15.75">
      <c r="D454" s="88"/>
      <c r="E454" s="88"/>
      <c r="F454" s="88"/>
      <c r="G454" s="88"/>
      <c r="H454" s="88"/>
    </row>
    <row r="455" spans="4:8" ht="15.75">
      <c r="D455" s="88"/>
      <c r="E455" s="88"/>
      <c r="F455" s="88"/>
      <c r="G455" s="88"/>
      <c r="H455" s="88"/>
    </row>
    <row r="456" spans="4:8" ht="15.75">
      <c r="D456" s="88"/>
      <c r="E456" s="88"/>
      <c r="F456" s="88"/>
      <c r="G456" s="88"/>
      <c r="H456" s="88"/>
    </row>
    <row r="457" spans="4:8" ht="15.75">
      <c r="D457" s="88"/>
      <c r="E457" s="88"/>
      <c r="F457" s="88"/>
      <c r="G457" s="88"/>
      <c r="H457" s="88"/>
    </row>
    <row r="458" spans="4:8" ht="15.75">
      <c r="D458" s="88"/>
      <c r="E458" s="88"/>
      <c r="F458" s="88"/>
      <c r="G458" s="88"/>
      <c r="H458" s="88"/>
    </row>
    <row r="459" spans="4:8" ht="15.75">
      <c r="D459" s="88"/>
      <c r="E459" s="88"/>
      <c r="F459" s="88"/>
      <c r="G459" s="88"/>
      <c r="H459" s="88"/>
    </row>
    <row r="460" spans="4:8" ht="15.75">
      <c r="D460" s="88"/>
      <c r="E460" s="88"/>
      <c r="F460" s="88"/>
      <c r="G460" s="88"/>
      <c r="H460" s="88"/>
    </row>
    <row r="461" spans="4:8" ht="15.75">
      <c r="D461" s="88"/>
      <c r="E461" s="88"/>
      <c r="F461" s="88"/>
      <c r="G461" s="88"/>
      <c r="H461" s="88"/>
    </row>
    <row r="462" spans="4:8" ht="15.75">
      <c r="D462" s="88"/>
      <c r="E462" s="88"/>
      <c r="F462" s="88"/>
      <c r="G462" s="88"/>
      <c r="H462" s="88"/>
    </row>
    <row r="463" spans="4:8" ht="15.75">
      <c r="D463" s="88"/>
      <c r="E463" s="88"/>
      <c r="F463" s="88"/>
      <c r="G463" s="88"/>
      <c r="H463" s="88"/>
    </row>
    <row r="464" spans="4:8" ht="15.75">
      <c r="D464" s="88"/>
      <c r="E464" s="88"/>
      <c r="F464" s="88"/>
      <c r="G464" s="88"/>
      <c r="H464" s="88"/>
    </row>
    <row r="465" spans="4:8" ht="15.75">
      <c r="D465" s="88"/>
      <c r="E465" s="88"/>
      <c r="F465" s="88"/>
      <c r="G465" s="88"/>
      <c r="H465" s="88"/>
    </row>
    <row r="466" spans="4:8" ht="15.75">
      <c r="D466" s="88"/>
      <c r="E466" s="88"/>
      <c r="F466" s="88"/>
      <c r="G466" s="88"/>
      <c r="H466" s="88"/>
    </row>
    <row r="467" spans="4:8" ht="15.75">
      <c r="D467" s="88"/>
      <c r="E467" s="88"/>
      <c r="F467" s="88"/>
      <c r="G467" s="88"/>
      <c r="H467" s="88"/>
    </row>
    <row r="468" spans="4:8" ht="15.75">
      <c r="D468" s="88"/>
      <c r="E468" s="88"/>
      <c r="F468" s="88"/>
      <c r="G468" s="88"/>
      <c r="H468" s="88"/>
    </row>
    <row r="469" spans="4:8" ht="15.75">
      <c r="D469" s="88"/>
      <c r="E469" s="88"/>
      <c r="F469" s="88"/>
      <c r="G469" s="88"/>
      <c r="H469" s="88"/>
    </row>
    <row r="470" spans="4:8" ht="15.75">
      <c r="D470" s="88"/>
      <c r="E470" s="88"/>
      <c r="F470" s="88"/>
      <c r="G470" s="88"/>
      <c r="H470" s="88"/>
    </row>
    <row r="471" spans="4:8" ht="15.75">
      <c r="D471" s="88"/>
      <c r="E471" s="88"/>
      <c r="F471" s="88"/>
      <c r="G471" s="88"/>
      <c r="H471" s="88"/>
    </row>
    <row r="472" spans="4:8" ht="15.75">
      <c r="D472" s="88"/>
      <c r="E472" s="88"/>
      <c r="F472" s="88"/>
      <c r="G472" s="88"/>
      <c r="H472" s="88"/>
    </row>
    <row r="473" spans="4:8" ht="15.75">
      <c r="D473" s="88"/>
      <c r="E473" s="88"/>
      <c r="F473" s="88"/>
      <c r="G473" s="88"/>
      <c r="H473" s="88"/>
    </row>
    <row r="474" spans="4:8" ht="15.75">
      <c r="D474" s="88"/>
      <c r="E474" s="88"/>
      <c r="F474" s="88"/>
      <c r="G474" s="88"/>
      <c r="H474" s="88"/>
    </row>
    <row r="475" spans="4:8" ht="15.75">
      <c r="D475" s="88"/>
      <c r="E475" s="88"/>
      <c r="F475" s="88"/>
      <c r="G475" s="88"/>
      <c r="H475" s="88"/>
    </row>
    <row r="476" spans="4:8" ht="15.75">
      <c r="D476" s="88"/>
      <c r="E476" s="88"/>
      <c r="F476" s="88"/>
      <c r="G476" s="88"/>
      <c r="H476" s="88"/>
    </row>
    <row r="477" spans="4:8" ht="15.75">
      <c r="D477" s="88"/>
      <c r="E477" s="88"/>
      <c r="F477" s="88"/>
      <c r="G477" s="88"/>
      <c r="H477" s="88"/>
    </row>
    <row r="478" spans="4:8" ht="15.75">
      <c r="D478" s="88"/>
      <c r="E478" s="88"/>
      <c r="F478" s="88"/>
      <c r="G478" s="88"/>
      <c r="H478" s="88"/>
    </row>
    <row r="479" spans="4:8" ht="15.75">
      <c r="D479" s="88"/>
      <c r="E479" s="88"/>
      <c r="F479" s="88"/>
      <c r="G479" s="88"/>
      <c r="H479" s="88"/>
    </row>
    <row r="480" spans="4:8" ht="15.75">
      <c r="D480" s="88"/>
      <c r="E480" s="88"/>
      <c r="F480" s="88"/>
      <c r="G480" s="88"/>
      <c r="H480" s="88"/>
    </row>
    <row r="481" spans="4:8" ht="15.75">
      <c r="D481" s="88"/>
      <c r="E481" s="88"/>
      <c r="F481" s="88"/>
      <c r="G481" s="88"/>
      <c r="H481" s="88"/>
    </row>
    <row r="482" spans="4:8" ht="15.75">
      <c r="D482" s="88"/>
      <c r="E482" s="88"/>
      <c r="F482" s="88"/>
      <c r="G482" s="88"/>
      <c r="H482" s="88"/>
    </row>
    <row r="483" spans="4:8" ht="15.75">
      <c r="D483" s="88"/>
      <c r="E483" s="88"/>
      <c r="F483" s="88"/>
      <c r="G483" s="88"/>
      <c r="H483" s="88"/>
    </row>
    <row r="484" spans="4:8" ht="15.75">
      <c r="D484" s="88"/>
      <c r="E484" s="88"/>
      <c r="F484" s="88"/>
      <c r="G484" s="88"/>
      <c r="H484" s="88"/>
    </row>
    <row r="485" spans="4:8" ht="15.75">
      <c r="D485" s="88"/>
      <c r="E485" s="88"/>
      <c r="F485" s="88"/>
      <c r="G485" s="88"/>
      <c r="H485" s="88"/>
    </row>
    <row r="486" spans="4:8" ht="15.75">
      <c r="D486" s="88"/>
      <c r="E486" s="88"/>
      <c r="F486" s="88"/>
      <c r="G486" s="88"/>
      <c r="H486" s="88"/>
    </row>
    <row r="487" spans="4:8" ht="15.75">
      <c r="D487" s="88"/>
      <c r="E487" s="88"/>
      <c r="F487" s="88"/>
      <c r="G487" s="88"/>
      <c r="H487" s="88"/>
    </row>
    <row r="488" spans="4:8" ht="15.75">
      <c r="D488" s="88"/>
      <c r="E488" s="88"/>
      <c r="F488" s="88"/>
      <c r="G488" s="88"/>
      <c r="H488" s="88"/>
    </row>
    <row r="489" spans="4:8" ht="15.75">
      <c r="D489" s="88"/>
      <c r="E489" s="88"/>
      <c r="F489" s="88"/>
      <c r="G489" s="88"/>
      <c r="H489" s="88"/>
    </row>
    <row r="490" spans="4:8" ht="15.75">
      <c r="D490" s="88"/>
      <c r="E490" s="88"/>
      <c r="F490" s="88"/>
      <c r="G490" s="88"/>
      <c r="H490" s="88"/>
    </row>
    <row r="491" spans="4:8" ht="15.75">
      <c r="D491" s="88"/>
      <c r="E491" s="88"/>
      <c r="F491" s="88"/>
      <c r="G491" s="88"/>
      <c r="H491" s="88"/>
    </row>
    <row r="492" spans="4:8" ht="15.75">
      <c r="D492" s="88"/>
      <c r="E492" s="88"/>
      <c r="F492" s="88"/>
      <c r="G492" s="88"/>
      <c r="H492" s="88"/>
    </row>
    <row r="493" spans="4:8" ht="15.75">
      <c r="D493" s="88"/>
      <c r="E493" s="88"/>
      <c r="F493" s="88"/>
      <c r="G493" s="88"/>
      <c r="H493" s="88"/>
    </row>
    <row r="494" spans="4:8" ht="15.75">
      <c r="D494" s="88"/>
      <c r="E494" s="88"/>
      <c r="F494" s="88"/>
      <c r="G494" s="88"/>
      <c r="H494" s="88"/>
    </row>
    <row r="495" spans="4:8" ht="15.75">
      <c r="D495" s="88"/>
      <c r="E495" s="88"/>
      <c r="F495" s="88"/>
      <c r="G495" s="88"/>
      <c r="H495" s="88"/>
    </row>
    <row r="496" spans="4:8" ht="15.75">
      <c r="D496" s="88"/>
      <c r="E496" s="88"/>
      <c r="F496" s="88"/>
      <c r="G496" s="88"/>
      <c r="H496" s="88"/>
    </row>
    <row r="497" spans="4:8" ht="15.75">
      <c r="D497" s="88"/>
      <c r="E497" s="88"/>
      <c r="F497" s="88"/>
      <c r="G497" s="88"/>
      <c r="H497" s="88"/>
    </row>
    <row r="498" spans="4:8" ht="15.75">
      <c r="D498" s="88"/>
      <c r="E498" s="88"/>
      <c r="F498" s="88"/>
      <c r="G498" s="88"/>
      <c r="H498" s="88"/>
    </row>
    <row r="499" spans="4:8" ht="15.75">
      <c r="D499" s="88"/>
      <c r="E499" s="88"/>
      <c r="F499" s="88"/>
      <c r="G499" s="88"/>
      <c r="H499" s="88"/>
    </row>
    <row r="500" spans="4:8" ht="15.75">
      <c r="D500" s="88"/>
      <c r="E500" s="88"/>
      <c r="F500" s="88"/>
      <c r="G500" s="88"/>
      <c r="H500" s="88"/>
    </row>
    <row r="501" spans="4:8" ht="15.75">
      <c r="D501" s="88"/>
      <c r="E501" s="88"/>
      <c r="F501" s="88"/>
      <c r="G501" s="88"/>
      <c r="H501" s="88"/>
    </row>
    <row r="502" spans="4:8" ht="15.75">
      <c r="D502" s="88"/>
      <c r="E502" s="88"/>
      <c r="F502" s="88"/>
      <c r="G502" s="88"/>
      <c r="H502" s="88"/>
    </row>
    <row r="503" spans="4:8" ht="15.75">
      <c r="D503" s="88"/>
      <c r="E503" s="88"/>
      <c r="F503" s="88"/>
      <c r="G503" s="88"/>
      <c r="H503" s="88"/>
    </row>
    <row r="504" spans="4:8" ht="15.75">
      <c r="D504" s="88"/>
      <c r="E504" s="88"/>
      <c r="F504" s="88"/>
      <c r="G504" s="88"/>
      <c r="H504" s="88"/>
    </row>
    <row r="505" spans="4:8" ht="15.75">
      <c r="D505" s="88"/>
      <c r="E505" s="88"/>
      <c r="F505" s="88"/>
      <c r="G505" s="88"/>
      <c r="H505" s="88"/>
    </row>
    <row r="506" spans="4:8" ht="15.75">
      <c r="D506" s="88"/>
      <c r="E506" s="88"/>
      <c r="F506" s="88"/>
      <c r="G506" s="88"/>
      <c r="H506" s="88"/>
    </row>
    <row r="507" spans="4:8" ht="15.75">
      <c r="D507" s="88"/>
      <c r="E507" s="88"/>
      <c r="F507" s="88"/>
      <c r="G507" s="88"/>
      <c r="H507" s="88"/>
    </row>
    <row r="508" spans="4:8" ht="15.75">
      <c r="D508" s="88"/>
      <c r="E508" s="88"/>
      <c r="F508" s="88"/>
      <c r="G508" s="88"/>
      <c r="H508" s="88"/>
    </row>
    <row r="509" spans="4:8" ht="15.75">
      <c r="D509" s="88"/>
      <c r="E509" s="88"/>
      <c r="F509" s="88"/>
      <c r="G509" s="88"/>
      <c r="H509" s="88"/>
    </row>
    <row r="510" spans="4:8" ht="15.75">
      <c r="D510" s="88"/>
      <c r="E510" s="88"/>
      <c r="F510" s="88"/>
      <c r="G510" s="88"/>
      <c r="H510" s="88"/>
    </row>
    <row r="511" spans="4:8" ht="15.75">
      <c r="D511" s="88"/>
      <c r="E511" s="88"/>
      <c r="F511" s="88"/>
      <c r="G511" s="88"/>
      <c r="H511" s="88"/>
    </row>
    <row r="512" spans="4:8" ht="15.75">
      <c r="D512" s="88"/>
      <c r="E512" s="88"/>
      <c r="F512" s="88"/>
      <c r="G512" s="88"/>
      <c r="H512" s="88"/>
    </row>
    <row r="513" spans="4:8" ht="15.75">
      <c r="D513" s="88"/>
      <c r="E513" s="88"/>
      <c r="F513" s="88"/>
      <c r="G513" s="88"/>
      <c r="H513" s="88"/>
    </row>
    <row r="514" spans="4:8" ht="15.75">
      <c r="D514" s="88"/>
      <c r="E514" s="88"/>
      <c r="F514" s="88"/>
      <c r="G514" s="88"/>
      <c r="H514" s="88"/>
    </row>
    <row r="515" spans="4:8" ht="15.75">
      <c r="D515" s="88"/>
      <c r="E515" s="88"/>
      <c r="F515" s="88"/>
      <c r="G515" s="88"/>
      <c r="H515" s="88"/>
    </row>
    <row r="516" spans="4:8" ht="15.75">
      <c r="D516" s="88"/>
      <c r="E516" s="88"/>
      <c r="F516" s="88"/>
      <c r="G516" s="88"/>
      <c r="H516" s="88"/>
    </row>
    <row r="517" spans="4:8" ht="15.75">
      <c r="D517" s="88"/>
      <c r="E517" s="88"/>
      <c r="F517" s="88"/>
      <c r="G517" s="88"/>
      <c r="H517" s="88"/>
    </row>
    <row r="518" spans="4:8" ht="15.75">
      <c r="D518" s="88"/>
      <c r="E518" s="88"/>
      <c r="F518" s="88"/>
      <c r="G518" s="88"/>
      <c r="H518" s="88"/>
    </row>
    <row r="519" spans="4:8" ht="15.75">
      <c r="D519" s="88"/>
      <c r="E519" s="88"/>
      <c r="F519" s="88"/>
      <c r="G519" s="88"/>
      <c r="H519" s="88"/>
    </row>
    <row r="520" spans="4:8" ht="15.75">
      <c r="D520" s="88"/>
      <c r="E520" s="88"/>
      <c r="F520" s="88"/>
      <c r="G520" s="88"/>
      <c r="H520" s="88"/>
    </row>
    <row r="521" spans="4:8" ht="15.75">
      <c r="D521" s="88"/>
      <c r="E521" s="88"/>
      <c r="F521" s="88"/>
      <c r="G521" s="88"/>
      <c r="H521" s="88"/>
    </row>
    <row r="522" spans="4:8" ht="15.75">
      <c r="D522" s="88"/>
      <c r="E522" s="88"/>
      <c r="F522" s="88"/>
      <c r="G522" s="88"/>
      <c r="H522" s="88"/>
    </row>
    <row r="523" spans="4:8" ht="15.75">
      <c r="D523" s="88"/>
      <c r="E523" s="88"/>
      <c r="F523" s="88"/>
      <c r="G523" s="88"/>
      <c r="H523" s="88"/>
    </row>
    <row r="524" spans="4:8" ht="15.75">
      <c r="D524" s="88"/>
      <c r="E524" s="88"/>
      <c r="F524" s="88"/>
      <c r="G524" s="88"/>
      <c r="H524" s="88"/>
    </row>
    <row r="525" spans="4:8" ht="15.75">
      <c r="D525" s="88"/>
      <c r="E525" s="88"/>
      <c r="F525" s="88"/>
      <c r="G525" s="88"/>
      <c r="H525" s="88"/>
    </row>
    <row r="526" spans="4:8" ht="15.75">
      <c r="D526" s="88"/>
      <c r="E526" s="88"/>
      <c r="F526" s="88"/>
      <c r="G526" s="88"/>
      <c r="H526" s="88"/>
    </row>
    <row r="527" spans="4:8" ht="15.75">
      <c r="D527" s="88"/>
      <c r="E527" s="88"/>
      <c r="F527" s="88"/>
      <c r="G527" s="88"/>
      <c r="H527" s="88"/>
    </row>
    <row r="528" spans="4:8" ht="15.75">
      <c r="D528" s="88"/>
      <c r="E528" s="88"/>
      <c r="F528" s="88"/>
      <c r="G528" s="88"/>
      <c r="H528" s="88"/>
    </row>
    <row r="529" spans="4:8" ht="15.75">
      <c r="D529" s="88"/>
      <c r="E529" s="88"/>
      <c r="F529" s="88"/>
      <c r="G529" s="88"/>
      <c r="H529" s="88"/>
    </row>
    <row r="530" spans="4:8" ht="15.75">
      <c r="D530" s="88"/>
      <c r="E530" s="88"/>
      <c r="F530" s="88"/>
      <c r="G530" s="88"/>
      <c r="H530" s="88"/>
    </row>
    <row r="531" spans="4:8" ht="15.75">
      <c r="D531" s="88"/>
      <c r="E531" s="88"/>
      <c r="F531" s="88"/>
      <c r="G531" s="88"/>
      <c r="H531" s="88"/>
    </row>
    <row r="532" spans="4:8" ht="15.75">
      <c r="D532" s="88"/>
      <c r="E532" s="88"/>
      <c r="F532" s="88"/>
      <c r="G532" s="88"/>
      <c r="H532" s="88"/>
    </row>
    <row r="533" spans="4:8" ht="15.75">
      <c r="D533" s="88"/>
      <c r="E533" s="88"/>
      <c r="F533" s="88"/>
      <c r="G533" s="88"/>
      <c r="H533" s="88"/>
    </row>
    <row r="534" spans="4:8" ht="15.75">
      <c r="D534" s="88"/>
      <c r="E534" s="88"/>
      <c r="F534" s="88"/>
      <c r="G534" s="88"/>
      <c r="H534" s="88"/>
    </row>
    <row r="535" spans="4:8" ht="15.75">
      <c r="D535" s="88"/>
      <c r="E535" s="88"/>
      <c r="F535" s="88"/>
      <c r="G535" s="88"/>
      <c r="H535" s="88"/>
    </row>
    <row r="536" spans="4:8" ht="15.75">
      <c r="D536" s="88"/>
      <c r="E536" s="88"/>
      <c r="F536" s="88"/>
      <c r="G536" s="88"/>
      <c r="H536" s="88"/>
    </row>
    <row r="537" spans="4:8" ht="15.75">
      <c r="D537" s="88"/>
      <c r="E537" s="88"/>
      <c r="F537" s="88"/>
      <c r="G537" s="88"/>
      <c r="H537" s="88"/>
    </row>
    <row r="538" spans="4:8" ht="15.75">
      <c r="D538" s="88"/>
      <c r="E538" s="88"/>
      <c r="F538" s="88"/>
      <c r="G538" s="88"/>
      <c r="H538" s="88"/>
    </row>
    <row r="539" spans="4:8" ht="15.75">
      <c r="D539" s="88"/>
      <c r="E539" s="88"/>
      <c r="F539" s="88"/>
      <c r="G539" s="88"/>
      <c r="H539" s="88"/>
    </row>
    <row r="540" spans="4:8" ht="15.75">
      <c r="D540" s="88"/>
      <c r="E540" s="88"/>
      <c r="F540" s="88"/>
      <c r="G540" s="88"/>
      <c r="H540" s="88"/>
    </row>
    <row r="541" spans="4:8" ht="15.75">
      <c r="D541" s="88"/>
      <c r="E541" s="88"/>
      <c r="F541" s="88"/>
      <c r="G541" s="88"/>
      <c r="H541" s="88"/>
    </row>
    <row r="542" spans="4:8" ht="15.75">
      <c r="D542" s="88"/>
      <c r="E542" s="88"/>
      <c r="F542" s="88"/>
      <c r="G542" s="88"/>
      <c r="H542" s="88"/>
    </row>
    <row r="543" spans="4:8" ht="15.75">
      <c r="D543" s="88"/>
      <c r="E543" s="88"/>
      <c r="F543" s="88"/>
      <c r="G543" s="88"/>
      <c r="H543" s="88"/>
    </row>
    <row r="544" spans="4:8" ht="15.75">
      <c r="D544" s="88"/>
      <c r="E544" s="88"/>
      <c r="F544" s="88"/>
      <c r="G544" s="88"/>
      <c r="H544" s="88"/>
    </row>
    <row r="545" spans="4:8" ht="15.75">
      <c r="D545" s="88"/>
      <c r="E545" s="88"/>
      <c r="F545" s="88"/>
      <c r="G545" s="88"/>
      <c r="H545" s="88"/>
    </row>
    <row r="546" spans="4:8" ht="15.75">
      <c r="D546" s="88"/>
      <c r="E546" s="88"/>
      <c r="F546" s="88"/>
      <c r="G546" s="88"/>
      <c r="H546" s="88"/>
    </row>
    <row r="547" spans="4:8" ht="15.75">
      <c r="D547" s="88"/>
      <c r="E547" s="88"/>
      <c r="F547" s="88"/>
      <c r="G547" s="88"/>
      <c r="H547" s="88"/>
    </row>
    <row r="548" spans="4:8" ht="15.75">
      <c r="D548" s="88"/>
      <c r="E548" s="88"/>
      <c r="F548" s="88"/>
      <c r="G548" s="88"/>
      <c r="H548" s="88"/>
    </row>
    <row r="549" spans="4:8" ht="15.75">
      <c r="D549" s="88"/>
      <c r="E549" s="88"/>
      <c r="F549" s="88"/>
      <c r="G549" s="88"/>
      <c r="H549" s="88"/>
    </row>
    <row r="550" spans="4:8" ht="15.75">
      <c r="D550" s="88"/>
      <c r="E550" s="88"/>
      <c r="F550" s="88"/>
      <c r="G550" s="88"/>
      <c r="H550" s="88"/>
    </row>
    <row r="551" spans="4:8" ht="15.75">
      <c r="D551" s="88"/>
      <c r="E551" s="88"/>
      <c r="F551" s="88"/>
      <c r="G551" s="88"/>
      <c r="H551" s="88"/>
    </row>
    <row r="552" spans="4:8" ht="15.75">
      <c r="D552" s="88"/>
      <c r="E552" s="88"/>
      <c r="F552" s="88"/>
      <c r="G552" s="88"/>
      <c r="H552" s="88"/>
    </row>
    <row r="553" spans="4:8" ht="15.75">
      <c r="D553" s="88"/>
      <c r="E553" s="88"/>
      <c r="F553" s="88"/>
      <c r="G553" s="88"/>
      <c r="H553" s="88"/>
    </row>
    <row r="554" spans="4:8" ht="15.75">
      <c r="D554" s="88"/>
      <c r="E554" s="88"/>
      <c r="F554" s="88"/>
      <c r="G554" s="88"/>
      <c r="H554" s="88"/>
    </row>
    <row r="555" spans="4:8" ht="15.75">
      <c r="D555" s="88"/>
      <c r="E555" s="88"/>
      <c r="F555" s="88"/>
      <c r="G555" s="88"/>
      <c r="H555" s="88"/>
    </row>
    <row r="556" spans="4:8" ht="15.75">
      <c r="D556" s="88"/>
      <c r="E556" s="88"/>
      <c r="F556" s="88"/>
      <c r="G556" s="88"/>
      <c r="H556" s="88"/>
    </row>
    <row r="557" spans="4:8" ht="15.75">
      <c r="D557" s="88"/>
      <c r="E557" s="88"/>
      <c r="F557" s="88"/>
      <c r="G557" s="88"/>
      <c r="H557" s="88"/>
    </row>
    <row r="558" spans="4:8" ht="15.75">
      <c r="D558" s="88"/>
      <c r="E558" s="88"/>
      <c r="F558" s="88"/>
      <c r="G558" s="88"/>
      <c r="H558" s="88"/>
    </row>
    <row r="559" spans="4:8" ht="15.75">
      <c r="D559" s="88"/>
      <c r="E559" s="88"/>
      <c r="F559" s="88"/>
      <c r="G559" s="88"/>
      <c r="H559" s="88"/>
    </row>
    <row r="560" spans="4:8" ht="15.75">
      <c r="D560" s="88"/>
      <c r="E560" s="88"/>
      <c r="F560" s="88"/>
      <c r="G560" s="88"/>
      <c r="H560" s="88"/>
    </row>
    <row r="561" spans="4:8" ht="15.75">
      <c r="D561" s="88"/>
      <c r="E561" s="88"/>
      <c r="F561" s="88"/>
      <c r="G561" s="88"/>
      <c r="H561" s="88"/>
    </row>
    <row r="562" spans="4:8" ht="15.75">
      <c r="D562" s="88"/>
      <c r="E562" s="88"/>
      <c r="F562" s="88"/>
      <c r="G562" s="88"/>
      <c r="H562" s="88"/>
    </row>
    <row r="563" spans="4:8" ht="15.75">
      <c r="D563" s="88"/>
      <c r="E563" s="88"/>
      <c r="F563" s="88"/>
      <c r="G563" s="88"/>
      <c r="H563" s="88"/>
    </row>
    <row r="564" spans="4:8" ht="15.75">
      <c r="D564" s="88"/>
      <c r="E564" s="88"/>
      <c r="F564" s="88"/>
      <c r="G564" s="88"/>
      <c r="H564" s="88"/>
    </row>
    <row r="565" spans="4:8" ht="15.75">
      <c r="D565" s="88"/>
      <c r="E565" s="88"/>
      <c r="F565" s="88"/>
      <c r="G565" s="88"/>
      <c r="H565" s="88"/>
    </row>
    <row r="566" spans="4:8" ht="15.75">
      <c r="D566" s="88"/>
      <c r="E566" s="88"/>
      <c r="F566" s="88"/>
      <c r="G566" s="88"/>
      <c r="H566" s="88"/>
    </row>
    <row r="567" spans="4:8" ht="15.75">
      <c r="D567" s="88"/>
      <c r="E567" s="88"/>
      <c r="F567" s="88"/>
      <c r="G567" s="88"/>
      <c r="H567" s="88"/>
    </row>
    <row r="568" spans="4:8" ht="15.75">
      <c r="D568" s="88"/>
      <c r="E568" s="88"/>
      <c r="F568" s="88"/>
      <c r="G568" s="88"/>
      <c r="H568" s="88"/>
    </row>
    <row r="569" spans="4:8" ht="15.75">
      <c r="D569" s="88"/>
      <c r="E569" s="88"/>
      <c r="F569" s="88"/>
      <c r="G569" s="88"/>
      <c r="H569" s="88"/>
    </row>
    <row r="570" spans="4:8" ht="15.75">
      <c r="D570" s="88"/>
      <c r="E570" s="88"/>
      <c r="F570" s="88"/>
      <c r="G570" s="88"/>
      <c r="H570" s="88"/>
    </row>
    <row r="571" spans="4:8" ht="15.75">
      <c r="D571" s="88"/>
      <c r="E571" s="88"/>
      <c r="F571" s="88"/>
      <c r="G571" s="88"/>
      <c r="H571" s="88"/>
    </row>
    <row r="572" spans="4:8" ht="15.75">
      <c r="D572" s="88"/>
      <c r="E572" s="88"/>
      <c r="F572" s="88"/>
      <c r="G572" s="88"/>
      <c r="H572" s="88"/>
    </row>
    <row r="573" spans="4:8" ht="15.75">
      <c r="D573" s="88"/>
      <c r="E573" s="88"/>
      <c r="F573" s="88"/>
      <c r="G573" s="88"/>
      <c r="H573" s="88"/>
    </row>
    <row r="574" spans="4:8" ht="15.75">
      <c r="D574" s="88"/>
      <c r="E574" s="88"/>
      <c r="F574" s="88"/>
      <c r="G574" s="88"/>
      <c r="H574" s="88"/>
    </row>
    <row r="575" spans="4:8" ht="15.75">
      <c r="D575" s="88"/>
      <c r="E575" s="88"/>
      <c r="F575" s="88"/>
      <c r="G575" s="88"/>
      <c r="H575" s="88"/>
    </row>
    <row r="576" spans="4:8" ht="15.75">
      <c r="D576" s="88"/>
      <c r="E576" s="88"/>
      <c r="F576" s="88"/>
      <c r="G576" s="88"/>
      <c r="H576" s="88"/>
    </row>
    <row r="577" spans="4:8" ht="15.75">
      <c r="D577" s="88"/>
      <c r="E577" s="88"/>
      <c r="F577" s="88"/>
      <c r="G577" s="88"/>
      <c r="H577" s="88"/>
    </row>
    <row r="578" spans="4:8" ht="15.75">
      <c r="D578" s="88"/>
      <c r="E578" s="88"/>
      <c r="F578" s="88"/>
      <c r="G578" s="88"/>
      <c r="H578" s="88"/>
    </row>
    <row r="579" spans="4:8" ht="15.75">
      <c r="D579" s="88"/>
      <c r="E579" s="88"/>
      <c r="F579" s="88"/>
      <c r="G579" s="88"/>
      <c r="H579" s="88"/>
    </row>
    <row r="580" spans="4:8" ht="15.75">
      <c r="D580" s="88"/>
      <c r="E580" s="88"/>
      <c r="F580" s="88"/>
      <c r="G580" s="88"/>
      <c r="H580" s="88"/>
    </row>
    <row r="581" spans="4:8" ht="15.75">
      <c r="D581" s="88"/>
      <c r="E581" s="88"/>
      <c r="F581" s="88"/>
      <c r="G581" s="88"/>
      <c r="H581" s="88"/>
    </row>
    <row r="582" spans="4:8" ht="15.75">
      <c r="D582" s="88"/>
      <c r="E582" s="88"/>
      <c r="F582" s="88"/>
      <c r="G582" s="88"/>
      <c r="H582" s="88"/>
    </row>
    <row r="583" spans="4:8" ht="15.75">
      <c r="D583" s="88"/>
      <c r="E583" s="88"/>
      <c r="F583" s="88"/>
      <c r="G583" s="88"/>
      <c r="H583" s="88"/>
    </row>
    <row r="584" spans="4:8" ht="15.75">
      <c r="D584" s="88"/>
      <c r="E584" s="88"/>
      <c r="F584" s="88"/>
      <c r="G584" s="88"/>
      <c r="H584" s="88"/>
    </row>
    <row r="585" spans="4:8" ht="15.75">
      <c r="D585" s="88"/>
      <c r="E585" s="88"/>
      <c r="F585" s="88"/>
      <c r="G585" s="88"/>
      <c r="H585" s="88"/>
    </row>
    <row r="586" spans="4:8" ht="15.75">
      <c r="D586" s="88"/>
      <c r="E586" s="88"/>
      <c r="F586" s="88"/>
      <c r="G586" s="88"/>
      <c r="H586" s="88"/>
    </row>
    <row r="587" spans="4:8" ht="15.75">
      <c r="D587" s="88"/>
      <c r="E587" s="88"/>
      <c r="F587" s="88"/>
      <c r="G587" s="88"/>
      <c r="H587" s="88"/>
    </row>
    <row r="588" spans="4:8" ht="15.75">
      <c r="D588" s="88"/>
      <c r="E588" s="88"/>
      <c r="F588" s="88"/>
      <c r="G588" s="88"/>
      <c r="H588" s="88"/>
    </row>
    <row r="589" spans="4:8" ht="15.75">
      <c r="D589" s="88"/>
      <c r="E589" s="88"/>
      <c r="F589" s="88"/>
      <c r="G589" s="88"/>
      <c r="H589" s="88"/>
    </row>
    <row r="590" spans="4:8" ht="15.75">
      <c r="D590" s="88"/>
      <c r="E590" s="88"/>
      <c r="F590" s="88"/>
      <c r="G590" s="88"/>
      <c r="H590" s="88"/>
    </row>
    <row r="591" spans="4:8" ht="15.75">
      <c r="D591" s="88"/>
      <c r="E591" s="88"/>
      <c r="F591" s="88"/>
      <c r="G591" s="88"/>
      <c r="H591" s="88"/>
    </row>
    <row r="592" spans="4:8" ht="15.75">
      <c r="D592" s="88"/>
      <c r="E592" s="88"/>
      <c r="F592" s="88"/>
      <c r="G592" s="88"/>
      <c r="H592" s="88"/>
    </row>
    <row r="593" spans="4:8" ht="15.75">
      <c r="D593" s="88"/>
      <c r="E593" s="88"/>
      <c r="F593" s="88"/>
      <c r="G593" s="88"/>
      <c r="H593" s="88"/>
    </row>
    <row r="594" spans="4:8" ht="15.75">
      <c r="D594" s="88"/>
      <c r="E594" s="88"/>
      <c r="F594" s="88"/>
      <c r="G594" s="88"/>
      <c r="H594" s="88"/>
    </row>
    <row r="595" spans="4:8" ht="15.75">
      <c r="D595" s="88"/>
      <c r="E595" s="88"/>
      <c r="F595" s="88"/>
      <c r="G595" s="88"/>
      <c r="H595" s="88"/>
    </row>
    <row r="596" spans="4:8" ht="15.75">
      <c r="D596" s="88"/>
      <c r="E596" s="88"/>
      <c r="F596" s="88"/>
      <c r="G596" s="88"/>
      <c r="H596" s="88"/>
    </row>
    <row r="597" spans="4:8" ht="15.75">
      <c r="D597" s="88"/>
      <c r="E597" s="88"/>
      <c r="F597" s="88"/>
      <c r="G597" s="88"/>
      <c r="H597" s="88"/>
    </row>
    <row r="598" spans="4:8" ht="15.75">
      <c r="D598" s="88"/>
      <c r="E598" s="88"/>
      <c r="F598" s="88"/>
      <c r="G598" s="88"/>
      <c r="H598" s="88"/>
    </row>
    <row r="599" spans="4:8" ht="15.75">
      <c r="D599" s="88"/>
      <c r="E599" s="88"/>
      <c r="F599" s="88"/>
      <c r="G599" s="88"/>
      <c r="H599" s="88"/>
    </row>
    <row r="600" spans="4:8" ht="15.75">
      <c r="D600" s="88"/>
      <c r="E600" s="88"/>
      <c r="F600" s="88"/>
      <c r="G600" s="88"/>
      <c r="H600" s="88"/>
    </row>
    <row r="601" spans="4:8" ht="15.75">
      <c r="D601" s="88"/>
      <c r="E601" s="88"/>
      <c r="F601" s="88"/>
      <c r="G601" s="88"/>
      <c r="H601" s="88"/>
    </row>
    <row r="602" spans="4:8" ht="15.75">
      <c r="D602" s="88"/>
      <c r="E602" s="88"/>
      <c r="F602" s="88"/>
      <c r="G602" s="88"/>
      <c r="H602" s="88"/>
    </row>
    <row r="603" spans="4:8" ht="15.75">
      <c r="D603" s="88"/>
      <c r="E603" s="88"/>
      <c r="F603" s="88"/>
      <c r="G603" s="88"/>
      <c r="H603" s="88"/>
    </row>
    <row r="604" spans="4:8" ht="15.75">
      <c r="D604" s="88"/>
      <c r="E604" s="88"/>
      <c r="F604" s="88"/>
      <c r="G604" s="88"/>
      <c r="H604" s="88"/>
    </row>
    <row r="605" spans="4:8" ht="15.75">
      <c r="D605" s="88"/>
      <c r="E605" s="88"/>
      <c r="F605" s="88"/>
      <c r="G605" s="88"/>
      <c r="H605" s="88"/>
    </row>
    <row r="606" spans="4:8" ht="15.75">
      <c r="D606" s="88"/>
      <c r="E606" s="88"/>
      <c r="F606" s="88"/>
      <c r="G606" s="88"/>
      <c r="H606" s="88"/>
    </row>
    <row r="607" spans="4:8" ht="15.75">
      <c r="D607" s="88"/>
      <c r="E607" s="88"/>
      <c r="F607" s="88"/>
      <c r="G607" s="88"/>
      <c r="H607" s="88"/>
    </row>
    <row r="608" spans="4:8" ht="15.75">
      <c r="D608" s="88"/>
      <c r="E608" s="88"/>
      <c r="F608" s="88"/>
      <c r="G608" s="88"/>
      <c r="H608" s="88"/>
    </row>
    <row r="609" spans="4:8" ht="15.75">
      <c r="D609" s="88"/>
      <c r="E609" s="88"/>
      <c r="F609" s="88"/>
      <c r="G609" s="88"/>
      <c r="H609" s="88"/>
    </row>
    <row r="610" spans="4:8" ht="15.75">
      <c r="D610" s="88"/>
      <c r="E610" s="88"/>
      <c r="F610" s="88"/>
      <c r="G610" s="88"/>
      <c r="H610" s="88"/>
    </row>
    <row r="611" spans="4:8" ht="15.75">
      <c r="D611" s="88"/>
      <c r="E611" s="88"/>
      <c r="F611" s="88"/>
      <c r="G611" s="88"/>
      <c r="H611" s="88"/>
    </row>
    <row r="612" spans="4:8" ht="15.75">
      <c r="D612" s="88"/>
      <c r="E612" s="88"/>
      <c r="F612" s="88"/>
      <c r="G612" s="88"/>
      <c r="H612" s="88"/>
    </row>
    <row r="613" spans="4:8" ht="15.75">
      <c r="D613" s="88"/>
      <c r="E613" s="88"/>
      <c r="F613" s="88"/>
      <c r="G613" s="88"/>
      <c r="H613" s="88"/>
    </row>
    <row r="614" spans="4:8" ht="15.75">
      <c r="D614" s="88"/>
      <c r="E614" s="88"/>
      <c r="F614" s="88"/>
      <c r="G614" s="88"/>
      <c r="H614" s="88"/>
    </row>
    <row r="615" spans="4:8" ht="15.75">
      <c r="D615" s="88"/>
      <c r="E615" s="88"/>
      <c r="F615" s="88"/>
      <c r="G615" s="88"/>
      <c r="H615" s="88"/>
    </row>
    <row r="616" spans="4:8" ht="15.75">
      <c r="D616" s="88"/>
      <c r="E616" s="88"/>
      <c r="F616" s="88"/>
      <c r="G616" s="88"/>
      <c r="H616" s="88"/>
    </row>
    <row r="617" spans="4:8" ht="15.75">
      <c r="D617" s="88"/>
      <c r="E617" s="88"/>
      <c r="F617" s="88"/>
      <c r="G617" s="88"/>
      <c r="H617" s="88"/>
    </row>
    <row r="618" spans="4:8" ht="15.75">
      <c r="D618" s="88"/>
      <c r="E618" s="88"/>
      <c r="F618" s="88"/>
      <c r="G618" s="88"/>
      <c r="H618" s="88"/>
    </row>
    <row r="619" spans="4:8" ht="15.75">
      <c r="D619" s="88"/>
      <c r="E619" s="88"/>
      <c r="F619" s="88"/>
      <c r="G619" s="88"/>
      <c r="H619" s="88"/>
    </row>
    <row r="620" spans="4:8" ht="15.75">
      <c r="D620" s="88"/>
      <c r="E620" s="88"/>
      <c r="F620" s="88"/>
      <c r="G620" s="88"/>
      <c r="H620" s="88"/>
    </row>
    <row r="621" spans="4:8" ht="15.75">
      <c r="D621" s="88"/>
      <c r="E621" s="88"/>
      <c r="F621" s="88"/>
      <c r="G621" s="88"/>
      <c r="H621" s="88"/>
    </row>
    <row r="622" spans="4:8" ht="15.75">
      <c r="D622" s="88"/>
      <c r="E622" s="88"/>
      <c r="F622" s="88"/>
      <c r="G622" s="88"/>
      <c r="H622" s="88"/>
    </row>
    <row r="623" spans="4:8" ht="15.75">
      <c r="D623" s="88"/>
      <c r="E623" s="88"/>
      <c r="F623" s="88"/>
      <c r="G623" s="88"/>
      <c r="H623" s="88"/>
    </row>
    <row r="624" spans="4:8" ht="15.75">
      <c r="D624" s="88"/>
      <c r="E624" s="88"/>
      <c r="F624" s="88"/>
      <c r="G624" s="88"/>
      <c r="H624" s="88"/>
    </row>
    <row r="625" spans="4:8" ht="15.75">
      <c r="D625" s="88"/>
      <c r="E625" s="88"/>
      <c r="F625" s="88"/>
      <c r="G625" s="88"/>
      <c r="H625" s="88"/>
    </row>
    <row r="626" spans="4:8" ht="15.75">
      <c r="D626" s="88"/>
      <c r="E626" s="88"/>
      <c r="F626" s="88"/>
      <c r="G626" s="88"/>
      <c r="H626" s="88"/>
    </row>
    <row r="627" spans="4:8" ht="15.75">
      <c r="D627" s="88"/>
      <c r="E627" s="88"/>
      <c r="F627" s="88"/>
      <c r="G627" s="88"/>
      <c r="H627" s="88"/>
    </row>
    <row r="628" spans="4:8" ht="15.75">
      <c r="D628" s="88"/>
      <c r="E628" s="88"/>
      <c r="F628" s="88"/>
      <c r="G628" s="88"/>
      <c r="H628" s="88"/>
    </row>
    <row r="629" spans="4:8" ht="15.75">
      <c r="D629" s="88"/>
      <c r="E629" s="88"/>
      <c r="F629" s="88"/>
      <c r="G629" s="88"/>
      <c r="H629" s="88"/>
    </row>
    <row r="630" spans="4:8" ht="15.75">
      <c r="D630" s="88"/>
      <c r="E630" s="88"/>
      <c r="F630" s="88"/>
      <c r="G630" s="88"/>
      <c r="H630" s="88"/>
    </row>
    <row r="631" spans="4:8" ht="15.75">
      <c r="D631" s="88"/>
      <c r="E631" s="88"/>
      <c r="F631" s="88"/>
      <c r="G631" s="88"/>
      <c r="H631" s="88"/>
    </row>
    <row r="632" spans="4:8" ht="15.75">
      <c r="D632" s="88"/>
      <c r="E632" s="88"/>
      <c r="F632" s="88"/>
      <c r="G632" s="88"/>
      <c r="H632" s="88"/>
    </row>
    <row r="633" spans="4:8" ht="15.75">
      <c r="D633" s="88"/>
      <c r="E633" s="88"/>
      <c r="F633" s="88"/>
      <c r="G633" s="88"/>
      <c r="H633" s="88"/>
    </row>
    <row r="634" spans="4:8" ht="15.75">
      <c r="D634" s="88"/>
      <c r="E634" s="88"/>
      <c r="F634" s="88"/>
      <c r="G634" s="88"/>
      <c r="H634" s="88"/>
    </row>
    <row r="635" spans="4:8" ht="15.75">
      <c r="D635" s="88"/>
      <c r="E635" s="88"/>
      <c r="F635" s="88"/>
      <c r="G635" s="88"/>
      <c r="H635" s="88"/>
    </row>
    <row r="636" spans="4:8" ht="15.75">
      <c r="D636" s="88"/>
      <c r="E636" s="88"/>
      <c r="F636" s="88"/>
      <c r="G636" s="88"/>
      <c r="H636" s="88"/>
    </row>
    <row r="637" spans="4:8" ht="15.75">
      <c r="D637" s="88"/>
      <c r="E637" s="88"/>
      <c r="F637" s="88"/>
      <c r="G637" s="88"/>
      <c r="H637" s="88"/>
    </row>
    <row r="638" spans="4:8" ht="15.75">
      <c r="D638" s="88"/>
      <c r="E638" s="88"/>
      <c r="F638" s="88"/>
      <c r="G638" s="88"/>
      <c r="H638" s="88"/>
    </row>
    <row r="639" spans="4:8" ht="15.75">
      <c r="D639" s="88"/>
      <c r="E639" s="88"/>
      <c r="F639" s="88"/>
      <c r="G639" s="88"/>
      <c r="H639" s="88"/>
    </row>
    <row r="640" spans="4:8" ht="15.75">
      <c r="D640" s="88"/>
      <c r="E640" s="88"/>
      <c r="F640" s="88"/>
      <c r="G640" s="88"/>
      <c r="H640" s="88"/>
    </row>
    <row r="641" spans="4:8" ht="15.75">
      <c r="D641" s="88"/>
      <c r="E641" s="88"/>
      <c r="F641" s="88"/>
      <c r="G641" s="88"/>
      <c r="H641" s="88"/>
    </row>
    <row r="642" spans="4:8" ht="15.75">
      <c r="D642" s="88"/>
      <c r="E642" s="88"/>
      <c r="F642" s="88"/>
      <c r="G642" s="88"/>
      <c r="H642" s="88"/>
    </row>
    <row r="643" spans="4:8" ht="15.75">
      <c r="D643" s="88"/>
      <c r="E643" s="88"/>
      <c r="F643" s="88"/>
      <c r="G643" s="88"/>
      <c r="H643" s="88"/>
    </row>
    <row r="644" spans="4:8" ht="15.75">
      <c r="D644" s="88"/>
      <c r="E644" s="88"/>
      <c r="F644" s="88"/>
      <c r="G644" s="88"/>
      <c r="H644" s="88"/>
    </row>
    <row r="645" spans="4:8" ht="15.75">
      <c r="D645" s="88"/>
      <c r="E645" s="88"/>
      <c r="F645" s="88"/>
      <c r="G645" s="88"/>
      <c r="H645" s="88"/>
    </row>
    <row r="646" spans="4:8" ht="15.75">
      <c r="D646" s="88"/>
      <c r="E646" s="88"/>
      <c r="F646" s="88"/>
      <c r="G646" s="88"/>
      <c r="H646" s="88"/>
    </row>
    <row r="647" spans="4:8" ht="15.75">
      <c r="D647" s="88"/>
      <c r="E647" s="88"/>
      <c r="F647" s="88"/>
      <c r="G647" s="88"/>
      <c r="H647" s="88"/>
    </row>
    <row r="648" spans="4:8" ht="15.75">
      <c r="D648" s="88"/>
      <c r="E648" s="88"/>
      <c r="F648" s="88"/>
      <c r="G648" s="88"/>
      <c r="H648" s="88"/>
    </row>
    <row r="649" spans="4:8" ht="15.75">
      <c r="D649" s="88"/>
      <c r="E649" s="88"/>
      <c r="F649" s="88"/>
      <c r="G649" s="88"/>
      <c r="H649" s="88"/>
    </row>
    <row r="650" spans="4:8" ht="15.75">
      <c r="D650" s="88"/>
      <c r="E650" s="88"/>
      <c r="F650" s="88"/>
      <c r="G650" s="88"/>
      <c r="H650" s="88"/>
    </row>
    <row r="651" spans="4:8" ht="15.75">
      <c r="D651" s="88"/>
      <c r="E651" s="88"/>
      <c r="F651" s="88"/>
      <c r="G651" s="88"/>
      <c r="H651" s="88"/>
    </row>
    <row r="652" spans="4:8" ht="15.75">
      <c r="D652" s="88"/>
      <c r="E652" s="88"/>
      <c r="F652" s="88"/>
      <c r="G652" s="88"/>
      <c r="H652" s="88"/>
    </row>
    <row r="653" spans="4:8" ht="15.75">
      <c r="D653" s="88"/>
      <c r="E653" s="88"/>
      <c r="F653" s="88"/>
      <c r="G653" s="88"/>
      <c r="H653" s="88"/>
    </row>
    <row r="654" spans="4:8" ht="15.75">
      <c r="D654" s="88"/>
      <c r="E654" s="88"/>
      <c r="F654" s="88"/>
      <c r="G654" s="88"/>
      <c r="H654" s="88"/>
    </row>
    <row r="655" spans="4:8" ht="15.75">
      <c r="D655" s="88"/>
      <c r="E655" s="88"/>
      <c r="F655" s="88"/>
      <c r="G655" s="88"/>
      <c r="H655" s="88"/>
    </row>
    <row r="656" spans="4:8" ht="15.75">
      <c r="D656" s="88"/>
      <c r="E656" s="88"/>
      <c r="F656" s="88"/>
      <c r="G656" s="88"/>
      <c r="H656" s="88"/>
    </row>
    <row r="657" spans="4:8" ht="15.75">
      <c r="D657" s="88"/>
      <c r="E657" s="88"/>
      <c r="F657" s="88"/>
      <c r="G657" s="88"/>
      <c r="H657" s="88"/>
    </row>
    <row r="658" spans="4:8" ht="15.75">
      <c r="D658" s="88"/>
      <c r="E658" s="88"/>
      <c r="F658" s="88"/>
      <c r="G658" s="88"/>
      <c r="H658" s="88"/>
    </row>
    <row r="659" spans="4:8" ht="15.75">
      <c r="D659" s="88"/>
      <c r="E659" s="88"/>
      <c r="F659" s="88"/>
      <c r="G659" s="88"/>
      <c r="H659" s="88"/>
    </row>
    <row r="660" spans="4:8" ht="15.75">
      <c r="D660" s="88"/>
      <c r="E660" s="88"/>
      <c r="F660" s="88"/>
      <c r="G660" s="88"/>
      <c r="H660" s="88"/>
    </row>
    <row r="661" spans="4:8" ht="15.75">
      <c r="D661" s="88"/>
      <c r="E661" s="88"/>
      <c r="F661" s="88"/>
      <c r="G661" s="88"/>
      <c r="H661" s="88"/>
    </row>
    <row r="662" spans="4:8" ht="15.75">
      <c r="D662" s="88"/>
      <c r="E662" s="88"/>
      <c r="F662" s="88"/>
      <c r="G662" s="88"/>
      <c r="H662" s="88"/>
    </row>
    <row r="663" spans="4:8" ht="15.75">
      <c r="D663" s="88"/>
      <c r="E663" s="88"/>
      <c r="F663" s="88"/>
      <c r="G663" s="88"/>
      <c r="H663" s="88"/>
    </row>
    <row r="664" spans="4:8" ht="15.75">
      <c r="D664" s="88"/>
      <c r="E664" s="88"/>
      <c r="F664" s="88"/>
      <c r="G664" s="88"/>
      <c r="H664" s="88"/>
    </row>
    <row r="665" spans="4:8" ht="15.75">
      <c r="D665" s="88"/>
      <c r="E665" s="88"/>
      <c r="F665" s="88"/>
      <c r="G665" s="88"/>
      <c r="H665" s="88"/>
    </row>
    <row r="666" spans="4:8" ht="15.75">
      <c r="D666" s="88"/>
      <c r="E666" s="88"/>
      <c r="F666" s="88"/>
      <c r="G666" s="88"/>
      <c r="H666" s="88"/>
    </row>
    <row r="667" spans="4:8" ht="15.75">
      <c r="D667" s="88"/>
      <c r="E667" s="88"/>
      <c r="F667" s="88"/>
      <c r="G667" s="88"/>
      <c r="H667" s="88"/>
    </row>
    <row r="668" spans="4:8" ht="15.75">
      <c r="D668" s="88"/>
      <c r="E668" s="88"/>
      <c r="F668" s="88"/>
      <c r="G668" s="88"/>
      <c r="H668" s="88"/>
    </row>
    <row r="669" spans="4:8" ht="15.75">
      <c r="D669" s="88"/>
      <c r="E669" s="88"/>
      <c r="F669" s="88"/>
      <c r="G669" s="88"/>
      <c r="H669" s="88"/>
    </row>
    <row r="670" spans="4:8" ht="15.75">
      <c r="D670" s="88"/>
      <c r="E670" s="88"/>
      <c r="F670" s="88"/>
      <c r="G670" s="88"/>
      <c r="H670" s="88"/>
    </row>
    <row r="671" spans="4:8" ht="15.75">
      <c r="D671" s="88"/>
      <c r="E671" s="88"/>
      <c r="F671" s="88"/>
      <c r="G671" s="88"/>
      <c r="H671" s="88"/>
    </row>
    <row r="672" spans="4:8" ht="15.75">
      <c r="D672" s="88"/>
      <c r="E672" s="88"/>
      <c r="F672" s="88"/>
      <c r="G672" s="88"/>
      <c r="H672" s="88"/>
    </row>
    <row r="673" spans="4:8" ht="15.75">
      <c r="D673" s="88"/>
      <c r="E673" s="88"/>
      <c r="F673" s="88"/>
      <c r="G673" s="88"/>
      <c r="H673" s="88"/>
    </row>
    <row r="674" spans="4:8" ht="15.75">
      <c r="D674" s="88"/>
      <c r="E674" s="88"/>
      <c r="F674" s="88"/>
      <c r="G674" s="88"/>
      <c r="H674" s="88"/>
    </row>
    <row r="675" spans="4:8" ht="15.75">
      <c r="D675" s="88"/>
      <c r="E675" s="88"/>
      <c r="F675" s="88"/>
      <c r="G675" s="88"/>
      <c r="H675" s="88"/>
    </row>
    <row r="676" spans="4:8" ht="15.75">
      <c r="D676" s="88"/>
      <c r="E676" s="88"/>
      <c r="F676" s="88"/>
      <c r="G676" s="88"/>
      <c r="H676" s="88"/>
    </row>
    <row r="677" spans="4:8" ht="15.75">
      <c r="D677" s="88"/>
      <c r="E677" s="88"/>
      <c r="F677" s="88"/>
      <c r="G677" s="88"/>
      <c r="H677" s="88"/>
    </row>
    <row r="678" spans="4:8" ht="15.75">
      <c r="D678" s="88"/>
      <c r="E678" s="88"/>
      <c r="F678" s="88"/>
      <c r="G678" s="88"/>
      <c r="H678" s="88"/>
    </row>
    <row r="679" spans="4:8" ht="15.75">
      <c r="D679" s="88"/>
      <c r="E679" s="88"/>
      <c r="F679" s="88"/>
      <c r="G679" s="88"/>
      <c r="H679" s="88"/>
    </row>
    <row r="680" spans="4:8" ht="15.75">
      <c r="D680" s="88"/>
      <c r="E680" s="88"/>
      <c r="F680" s="88"/>
      <c r="G680" s="88"/>
      <c r="H680" s="88"/>
    </row>
    <row r="681" spans="4:8" ht="15.75">
      <c r="D681" s="88"/>
      <c r="E681" s="88"/>
      <c r="F681" s="88"/>
      <c r="G681" s="88"/>
      <c r="H681" s="88"/>
    </row>
    <row r="682" spans="4:8" ht="15.75">
      <c r="D682" s="88"/>
      <c r="E682" s="88"/>
      <c r="F682" s="88"/>
      <c r="G682" s="88"/>
      <c r="H682" s="88"/>
    </row>
    <row r="683" spans="4:8" ht="15.75">
      <c r="D683" s="88"/>
      <c r="E683" s="88"/>
      <c r="F683" s="88"/>
      <c r="G683" s="88"/>
      <c r="H683" s="88"/>
    </row>
    <row r="684" spans="4:8" ht="15.75">
      <c r="D684" s="88"/>
      <c r="E684" s="88"/>
      <c r="F684" s="88"/>
      <c r="G684" s="88"/>
      <c r="H684" s="88"/>
    </row>
    <row r="685" spans="4:8" ht="15.75">
      <c r="D685" s="88"/>
      <c r="E685" s="88"/>
      <c r="F685" s="88"/>
      <c r="G685" s="88"/>
      <c r="H685" s="88"/>
    </row>
    <row r="686" spans="4:8" ht="15.75">
      <c r="D686" s="88"/>
      <c r="E686" s="88"/>
      <c r="F686" s="88"/>
      <c r="G686" s="88"/>
      <c r="H686" s="88"/>
    </row>
    <row r="687" spans="4:8" ht="15.75">
      <c r="D687" s="88"/>
      <c r="E687" s="88"/>
      <c r="F687" s="88"/>
      <c r="G687" s="88"/>
      <c r="H687" s="88"/>
    </row>
    <row r="688" spans="4:8" ht="15.75">
      <c r="D688" s="88"/>
      <c r="E688" s="88"/>
      <c r="F688" s="88"/>
      <c r="G688" s="88"/>
      <c r="H688" s="88"/>
    </row>
    <row r="689" spans="4:8" ht="15.75">
      <c r="D689" s="88"/>
      <c r="E689" s="88"/>
      <c r="F689" s="88"/>
      <c r="G689" s="88"/>
      <c r="H689" s="88"/>
    </row>
    <row r="690" spans="4:8" ht="15.75">
      <c r="D690" s="88"/>
      <c r="E690" s="88"/>
      <c r="F690" s="88"/>
      <c r="G690" s="88"/>
      <c r="H690" s="88"/>
    </row>
    <row r="691" spans="4:8" ht="15.75">
      <c r="D691" s="88"/>
      <c r="E691" s="88"/>
      <c r="F691" s="88"/>
      <c r="G691" s="88"/>
      <c r="H691" s="88"/>
    </row>
    <row r="692" spans="4:8" ht="15.75">
      <c r="D692" s="88"/>
      <c r="E692" s="88"/>
      <c r="F692" s="88"/>
      <c r="G692" s="88"/>
      <c r="H692" s="88"/>
    </row>
    <row r="693" spans="4:8" ht="15.75">
      <c r="D693" s="88"/>
      <c r="E693" s="88"/>
      <c r="F693" s="88"/>
      <c r="G693" s="88"/>
      <c r="H693" s="88"/>
    </row>
    <row r="694" spans="4:8" ht="15.75">
      <c r="D694" s="88"/>
      <c r="E694" s="88"/>
      <c r="F694" s="88"/>
      <c r="G694" s="88"/>
      <c r="H694" s="88"/>
    </row>
    <row r="695" spans="4:8" ht="15.75">
      <c r="D695" s="88"/>
      <c r="E695" s="88"/>
      <c r="F695" s="88"/>
      <c r="G695" s="88"/>
      <c r="H695" s="88"/>
    </row>
    <row r="696" spans="4:8" ht="15.75">
      <c r="D696" s="88"/>
      <c r="E696" s="88"/>
      <c r="F696" s="88"/>
      <c r="G696" s="88"/>
      <c r="H696" s="88"/>
    </row>
    <row r="697" spans="4:8" ht="15.75">
      <c r="D697" s="88"/>
      <c r="E697" s="88"/>
      <c r="F697" s="88"/>
      <c r="G697" s="88"/>
      <c r="H697" s="88"/>
    </row>
    <row r="698" spans="4:8" ht="15.75">
      <c r="D698" s="88"/>
      <c r="E698" s="88"/>
      <c r="F698" s="88"/>
      <c r="G698" s="88"/>
      <c r="H698" s="88"/>
    </row>
    <row r="699" spans="4:8" ht="15.75">
      <c r="D699" s="88"/>
      <c r="E699" s="88"/>
      <c r="F699" s="88"/>
      <c r="G699" s="88"/>
      <c r="H699" s="88"/>
    </row>
    <row r="700" spans="4:8" ht="15.75">
      <c r="D700" s="88"/>
      <c r="E700" s="88"/>
      <c r="F700" s="88"/>
      <c r="G700" s="88"/>
      <c r="H700" s="88"/>
    </row>
    <row r="701" spans="4:8" ht="15.75">
      <c r="D701" s="88"/>
      <c r="E701" s="88"/>
      <c r="F701" s="88"/>
      <c r="G701" s="88"/>
      <c r="H701" s="88"/>
    </row>
    <row r="702" spans="4:8" ht="15.75">
      <c r="D702" s="88"/>
      <c r="E702" s="88"/>
      <c r="F702" s="88"/>
      <c r="G702" s="88"/>
      <c r="H702" s="88"/>
    </row>
    <row r="703" spans="4:8" ht="15.75">
      <c r="D703" s="88"/>
      <c r="E703" s="88"/>
      <c r="F703" s="88"/>
      <c r="G703" s="88"/>
      <c r="H703" s="88"/>
    </row>
    <row r="704" spans="4:8" ht="15.75">
      <c r="D704" s="88"/>
      <c r="E704" s="88"/>
      <c r="F704" s="88"/>
      <c r="G704" s="88"/>
      <c r="H704" s="88"/>
    </row>
    <row r="705" spans="4:8" ht="15.75">
      <c r="D705" s="88"/>
      <c r="E705" s="88"/>
      <c r="F705" s="88"/>
      <c r="G705" s="88"/>
      <c r="H705" s="88"/>
    </row>
    <row r="706" spans="4:8" ht="15.75">
      <c r="D706" s="88"/>
      <c r="E706" s="88"/>
      <c r="F706" s="88"/>
      <c r="G706" s="88"/>
      <c r="H706" s="88"/>
    </row>
    <row r="707" spans="4:8" ht="15.75">
      <c r="D707" s="88"/>
      <c r="E707" s="88"/>
      <c r="F707" s="88"/>
      <c r="G707" s="88"/>
      <c r="H707" s="88"/>
    </row>
    <row r="708" spans="4:8" ht="15.75">
      <c r="D708" s="88"/>
      <c r="E708" s="88"/>
      <c r="F708" s="88"/>
      <c r="G708" s="88"/>
      <c r="H708" s="88"/>
    </row>
    <row r="709" spans="4:8" ht="15.75">
      <c r="D709" s="88"/>
      <c r="E709" s="88"/>
      <c r="F709" s="88"/>
      <c r="G709" s="88"/>
      <c r="H709" s="88"/>
    </row>
    <row r="710" spans="4:8" ht="15.75">
      <c r="D710" s="88"/>
      <c r="E710" s="88"/>
      <c r="F710" s="88"/>
      <c r="G710" s="88"/>
      <c r="H710" s="88"/>
    </row>
    <row r="711" spans="4:8" ht="15.75">
      <c r="D711" s="88"/>
      <c r="E711" s="88"/>
      <c r="F711" s="88"/>
      <c r="G711" s="88"/>
      <c r="H711" s="88"/>
    </row>
    <row r="712" spans="4:8" ht="15.75">
      <c r="D712" s="88"/>
      <c r="E712" s="88"/>
      <c r="F712" s="88"/>
      <c r="G712" s="88"/>
      <c r="H712" s="88"/>
    </row>
    <row r="713" spans="4:8" ht="15.75">
      <c r="D713" s="88"/>
      <c r="E713" s="88"/>
      <c r="F713" s="88"/>
      <c r="G713" s="88"/>
      <c r="H713" s="88"/>
    </row>
    <row r="714" spans="4:8" ht="15.75">
      <c r="D714" s="88"/>
      <c r="E714" s="88"/>
      <c r="F714" s="88"/>
      <c r="G714" s="88"/>
      <c r="H714" s="88"/>
    </row>
    <row r="715" spans="4:8" ht="15.75">
      <c r="D715" s="88"/>
      <c r="E715" s="88"/>
      <c r="F715" s="88"/>
      <c r="G715" s="88"/>
      <c r="H715" s="88"/>
    </row>
    <row r="716" spans="4:8" ht="15.75">
      <c r="D716" s="88"/>
      <c r="E716" s="88"/>
      <c r="F716" s="88"/>
      <c r="G716" s="88"/>
      <c r="H716" s="88"/>
    </row>
    <row r="717" spans="4:8" ht="15.75">
      <c r="D717" s="88"/>
      <c r="E717" s="88"/>
      <c r="F717" s="88"/>
      <c r="G717" s="88"/>
      <c r="H717" s="88"/>
    </row>
    <row r="718" spans="4:8" ht="15.75">
      <c r="D718" s="88"/>
      <c r="E718" s="88"/>
      <c r="F718" s="88"/>
      <c r="G718" s="88"/>
      <c r="H718" s="88"/>
    </row>
    <row r="719" spans="4:8" ht="15.75">
      <c r="D719" s="88"/>
      <c r="E719" s="88"/>
      <c r="F719" s="88"/>
      <c r="G719" s="88"/>
      <c r="H719" s="88"/>
    </row>
    <row r="720" spans="4:8" ht="15.75">
      <c r="D720" s="88"/>
      <c r="E720" s="88"/>
      <c r="F720" s="88"/>
      <c r="G720" s="88"/>
      <c r="H720" s="88"/>
    </row>
    <row r="721" spans="4:8" ht="15.75">
      <c r="D721" s="88"/>
      <c r="E721" s="88"/>
      <c r="F721" s="88"/>
      <c r="G721" s="88"/>
      <c r="H721" s="88"/>
    </row>
    <row r="722" spans="4:8" ht="15.75">
      <c r="D722" s="88"/>
      <c r="E722" s="88"/>
      <c r="F722" s="88"/>
      <c r="G722" s="88"/>
      <c r="H722" s="88"/>
    </row>
    <row r="723" spans="4:8" ht="15.75">
      <c r="D723" s="88"/>
      <c r="E723" s="88"/>
      <c r="F723" s="88"/>
      <c r="G723" s="88"/>
      <c r="H723" s="88"/>
    </row>
    <row r="724" spans="4:8" ht="15.75">
      <c r="D724" s="88"/>
      <c r="E724" s="88"/>
      <c r="F724" s="88"/>
      <c r="G724" s="88"/>
      <c r="H724" s="88"/>
    </row>
    <row r="725" spans="4:8" ht="15.75">
      <c r="D725" s="88"/>
      <c r="E725" s="88"/>
      <c r="F725" s="88"/>
      <c r="G725" s="88"/>
      <c r="H725" s="88"/>
    </row>
    <row r="726" spans="4:8" ht="15.75">
      <c r="D726" s="88"/>
      <c r="E726" s="88"/>
      <c r="F726" s="88"/>
      <c r="G726" s="88"/>
      <c r="H726" s="88"/>
    </row>
    <row r="727" spans="4:8" ht="15.75">
      <c r="D727" s="88"/>
      <c r="E727" s="88"/>
      <c r="F727" s="88"/>
      <c r="G727" s="88"/>
      <c r="H727" s="88"/>
    </row>
    <row r="728" spans="4:8" ht="15.75">
      <c r="D728" s="88"/>
      <c r="E728" s="88"/>
      <c r="F728" s="88"/>
      <c r="G728" s="88"/>
      <c r="H728" s="88"/>
    </row>
    <row r="729" spans="4:8" ht="15.75">
      <c r="D729" s="88"/>
      <c r="E729" s="88"/>
      <c r="F729" s="88"/>
      <c r="G729" s="88"/>
      <c r="H729" s="88"/>
    </row>
    <row r="730" spans="4:8" ht="15.75">
      <c r="D730" s="88"/>
      <c r="E730" s="88"/>
      <c r="F730" s="88"/>
      <c r="G730" s="88"/>
      <c r="H730" s="88"/>
    </row>
    <row r="731" spans="4:8" ht="15.75">
      <c r="D731" s="88"/>
      <c r="E731" s="88"/>
      <c r="F731" s="88"/>
      <c r="G731" s="88"/>
      <c r="H731" s="88"/>
    </row>
    <row r="732" spans="4:8" ht="15.75">
      <c r="D732" s="88"/>
      <c r="E732" s="88"/>
      <c r="F732" s="88"/>
      <c r="G732" s="88"/>
      <c r="H732" s="88"/>
    </row>
    <row r="733" spans="4:8" ht="15.75">
      <c r="D733" s="88"/>
      <c r="E733" s="88"/>
      <c r="F733" s="88"/>
      <c r="G733" s="88"/>
      <c r="H733" s="88"/>
    </row>
    <row r="734" spans="4:8" ht="15.75">
      <c r="D734" s="88"/>
      <c r="E734" s="88"/>
      <c r="F734" s="88"/>
      <c r="G734" s="88"/>
      <c r="H734" s="88"/>
    </row>
    <row r="735" spans="4:8" ht="15.75">
      <c r="D735" s="88"/>
      <c r="E735" s="88"/>
      <c r="F735" s="88"/>
      <c r="G735" s="88"/>
      <c r="H735" s="88"/>
    </row>
    <row r="736" spans="4:8" ht="15.75">
      <c r="D736" s="88"/>
      <c r="E736" s="88"/>
      <c r="F736" s="88"/>
      <c r="G736" s="88"/>
      <c r="H736" s="88"/>
    </row>
    <row r="737" spans="4:8" ht="15.75">
      <c r="D737" s="88"/>
      <c r="E737" s="88"/>
      <c r="F737" s="88"/>
      <c r="G737" s="88"/>
      <c r="H737" s="88"/>
    </row>
    <row r="738" spans="4:8" ht="15.75">
      <c r="D738" s="88"/>
      <c r="E738" s="88"/>
      <c r="F738" s="88"/>
      <c r="G738" s="88"/>
      <c r="H738" s="88"/>
    </row>
    <row r="739" spans="4:8" ht="15.75">
      <c r="D739" s="88"/>
      <c r="E739" s="88"/>
      <c r="F739" s="88"/>
      <c r="G739" s="88"/>
      <c r="H739" s="88"/>
    </row>
    <row r="740" spans="4:8" ht="15.75">
      <c r="D740" s="88"/>
      <c r="E740" s="88"/>
      <c r="F740" s="88"/>
      <c r="G740" s="88"/>
      <c r="H740" s="88"/>
    </row>
    <row r="741" spans="4:8" ht="15.75">
      <c r="D741" s="88"/>
      <c r="E741" s="88"/>
      <c r="F741" s="88"/>
      <c r="G741" s="88"/>
      <c r="H741" s="88"/>
    </row>
    <row r="742" spans="4:8" ht="15.75">
      <c r="D742" s="88"/>
      <c r="E742" s="88"/>
      <c r="F742" s="88"/>
      <c r="G742" s="88"/>
      <c r="H742" s="88"/>
    </row>
    <row r="743" spans="4:8" ht="15.75">
      <c r="D743" s="88"/>
      <c r="E743" s="88"/>
      <c r="F743" s="88"/>
      <c r="G743" s="88"/>
      <c r="H743" s="88"/>
    </row>
    <row r="744" spans="4:8" ht="15.75">
      <c r="D744" s="88"/>
      <c r="E744" s="88"/>
      <c r="F744" s="88"/>
      <c r="G744" s="88"/>
      <c r="H744" s="88"/>
    </row>
    <row r="745" spans="4:8" ht="15.75">
      <c r="D745" s="88"/>
      <c r="E745" s="88"/>
      <c r="F745" s="88"/>
      <c r="G745" s="88"/>
      <c r="H745" s="88"/>
    </row>
    <row r="746" spans="4:8" ht="15.75">
      <c r="D746" s="88"/>
      <c r="E746" s="88"/>
      <c r="F746" s="88"/>
      <c r="G746" s="88"/>
      <c r="H746" s="88"/>
    </row>
    <row r="747" spans="4:8" ht="15.75">
      <c r="D747" s="88"/>
      <c r="E747" s="88"/>
      <c r="F747" s="88"/>
      <c r="G747" s="88"/>
      <c r="H747" s="88"/>
    </row>
    <row r="748" spans="4:8" ht="15.75">
      <c r="D748" s="88"/>
      <c r="E748" s="88"/>
      <c r="F748" s="88"/>
      <c r="G748" s="88"/>
      <c r="H748" s="88"/>
    </row>
    <row r="749" spans="4:8" ht="15.75">
      <c r="D749" s="88"/>
      <c r="E749" s="88"/>
      <c r="F749" s="88"/>
      <c r="G749" s="88"/>
      <c r="H749" s="88"/>
    </row>
    <row r="750" spans="4:8" ht="15.75">
      <c r="D750" s="88"/>
      <c r="E750" s="88"/>
      <c r="F750" s="88"/>
      <c r="G750" s="88"/>
      <c r="H750" s="88"/>
    </row>
    <row r="751" spans="4:8" ht="15.75">
      <c r="D751" s="88"/>
      <c r="E751" s="88"/>
      <c r="F751" s="88"/>
      <c r="G751" s="88"/>
      <c r="H751" s="88"/>
    </row>
    <row r="752" spans="4:8" ht="15.75">
      <c r="D752" s="88"/>
      <c r="E752" s="88"/>
      <c r="F752" s="88"/>
      <c r="G752" s="88"/>
      <c r="H752" s="88"/>
    </row>
    <row r="753" spans="4:8" ht="15.75">
      <c r="D753" s="88"/>
      <c r="E753" s="88"/>
      <c r="F753" s="88"/>
      <c r="G753" s="88"/>
      <c r="H753" s="88"/>
    </row>
    <row r="754" spans="4:8" ht="15.75">
      <c r="D754" s="88"/>
      <c r="E754" s="88"/>
      <c r="F754" s="88"/>
      <c r="G754" s="88"/>
      <c r="H754" s="88"/>
    </row>
    <row r="755" spans="4:8" ht="15.75">
      <c r="D755" s="88"/>
      <c r="E755" s="88"/>
      <c r="F755" s="88"/>
      <c r="G755" s="88"/>
      <c r="H755" s="88"/>
    </row>
    <row r="756" spans="4:8" ht="15.75">
      <c r="D756" s="88"/>
      <c r="E756" s="88"/>
      <c r="F756" s="88"/>
      <c r="G756" s="88"/>
      <c r="H756" s="88"/>
    </row>
    <row r="757" spans="4:8" ht="15.75">
      <c r="D757" s="88"/>
      <c r="E757" s="88"/>
      <c r="F757" s="88"/>
      <c r="G757" s="88"/>
      <c r="H757" s="88"/>
    </row>
    <row r="758" spans="4:8" ht="15.75">
      <c r="D758" s="88"/>
      <c r="E758" s="88"/>
      <c r="F758" s="88"/>
      <c r="G758" s="88"/>
      <c r="H758" s="88"/>
    </row>
    <row r="759" spans="4:8" ht="15.75">
      <c r="D759" s="88"/>
      <c r="E759" s="88"/>
      <c r="F759" s="88"/>
      <c r="G759" s="88"/>
      <c r="H759" s="88"/>
    </row>
    <row r="760" spans="4:8" ht="15.75">
      <c r="D760" s="88"/>
      <c r="E760" s="88"/>
      <c r="F760" s="88"/>
      <c r="G760" s="88"/>
      <c r="H760" s="88"/>
    </row>
    <row r="761" spans="4:8" ht="15.75">
      <c r="D761" s="88"/>
      <c r="E761" s="88"/>
      <c r="F761" s="88"/>
      <c r="G761" s="88"/>
      <c r="H761" s="88"/>
    </row>
    <row r="762" spans="4:8" ht="15.75">
      <c r="D762" s="88"/>
      <c r="E762" s="88"/>
      <c r="F762" s="88"/>
      <c r="G762" s="88"/>
      <c r="H762" s="88"/>
    </row>
    <row r="763" spans="4:8" ht="15.75">
      <c r="D763" s="88"/>
      <c r="E763" s="88"/>
      <c r="F763" s="88"/>
      <c r="G763" s="88"/>
      <c r="H763" s="88"/>
    </row>
    <row r="764" spans="4:8" ht="15.75">
      <c r="D764" s="88"/>
      <c r="E764" s="88"/>
      <c r="F764" s="88"/>
      <c r="G764" s="88"/>
      <c r="H764" s="88"/>
    </row>
    <row r="765" spans="4:8" ht="15.75">
      <c r="D765" s="88"/>
      <c r="E765" s="88"/>
      <c r="F765" s="88"/>
      <c r="G765" s="88"/>
      <c r="H765" s="88"/>
    </row>
    <row r="766" spans="4:8" ht="15.75">
      <c r="D766" s="88"/>
      <c r="E766" s="88"/>
      <c r="F766" s="88"/>
      <c r="G766" s="88"/>
      <c r="H766" s="88"/>
    </row>
    <row r="767" spans="4:8" ht="15.75">
      <c r="D767" s="88"/>
      <c r="E767" s="88"/>
      <c r="F767" s="88"/>
      <c r="G767" s="88"/>
      <c r="H767" s="88"/>
    </row>
    <row r="768" spans="4:8" ht="15.75">
      <c r="D768" s="88"/>
      <c r="E768" s="88"/>
      <c r="F768" s="88"/>
      <c r="G768" s="88"/>
      <c r="H768" s="88"/>
    </row>
    <row r="769" spans="4:8" ht="15.75">
      <c r="D769" s="88"/>
      <c r="E769" s="88"/>
      <c r="F769" s="88"/>
      <c r="G769" s="88"/>
      <c r="H769" s="88"/>
    </row>
    <row r="770" spans="4:8" ht="15.75">
      <c r="D770" s="88"/>
      <c r="E770" s="88"/>
      <c r="F770" s="88"/>
      <c r="G770" s="88"/>
      <c r="H770" s="88"/>
    </row>
    <row r="771" spans="4:8" ht="15.75">
      <c r="D771" s="88"/>
      <c r="E771" s="88"/>
      <c r="F771" s="88"/>
      <c r="G771" s="88"/>
      <c r="H771" s="88"/>
    </row>
    <row r="772" spans="4:8" ht="15.75">
      <c r="D772" s="88"/>
      <c r="E772" s="88"/>
      <c r="F772" s="88"/>
      <c r="G772" s="88"/>
      <c r="H772" s="88"/>
    </row>
    <row r="773" spans="4:8" ht="15.75">
      <c r="D773" s="88"/>
      <c r="E773" s="88"/>
      <c r="F773" s="88"/>
      <c r="G773" s="88"/>
      <c r="H773" s="88"/>
    </row>
    <row r="774" spans="4:8" ht="15.75">
      <c r="D774" s="88"/>
      <c r="E774" s="88"/>
      <c r="F774" s="88"/>
      <c r="G774" s="88"/>
      <c r="H774" s="88"/>
    </row>
    <row r="775" spans="4:8" ht="15.75">
      <c r="D775" s="88"/>
      <c r="E775" s="88"/>
      <c r="F775" s="88"/>
      <c r="G775" s="88"/>
      <c r="H775" s="88"/>
    </row>
    <row r="776" spans="4:8" ht="15.75">
      <c r="D776" s="88"/>
      <c r="E776" s="88"/>
      <c r="F776" s="88"/>
      <c r="G776" s="88"/>
      <c r="H776" s="88"/>
    </row>
    <row r="777" spans="4:8" ht="15.75">
      <c r="D777" s="88"/>
      <c r="E777" s="88"/>
      <c r="F777" s="88"/>
      <c r="G777" s="88"/>
      <c r="H777" s="88"/>
    </row>
    <row r="778" spans="4:8" ht="15.75">
      <c r="D778" s="88"/>
      <c r="E778" s="88"/>
      <c r="F778" s="88"/>
      <c r="G778" s="88"/>
      <c r="H778" s="88"/>
    </row>
    <row r="779" spans="4:8" ht="15.75">
      <c r="D779" s="88"/>
      <c r="E779" s="88"/>
      <c r="F779" s="88"/>
      <c r="G779" s="88"/>
      <c r="H779" s="88"/>
    </row>
    <row r="780" spans="4:8" ht="15.75">
      <c r="D780" s="88"/>
      <c r="E780" s="88"/>
      <c r="F780" s="88"/>
      <c r="G780" s="88"/>
      <c r="H780" s="88"/>
    </row>
    <row r="781" spans="4:8" ht="15.75">
      <c r="D781" s="88"/>
      <c r="E781" s="88"/>
      <c r="F781" s="88"/>
      <c r="G781" s="88"/>
      <c r="H781" s="88"/>
    </row>
    <row r="782" spans="4:8" ht="15.75">
      <c r="D782" s="88"/>
      <c r="E782" s="88"/>
      <c r="F782" s="88"/>
      <c r="G782" s="88"/>
      <c r="H782" s="88"/>
    </row>
    <row r="783" spans="4:8" ht="15.75">
      <c r="D783" s="88"/>
      <c r="E783" s="88"/>
      <c r="F783" s="88"/>
      <c r="G783" s="88"/>
      <c r="H783" s="88"/>
    </row>
    <row r="784" spans="4:8" ht="15.75">
      <c r="D784" s="88"/>
      <c r="E784" s="88"/>
      <c r="F784" s="88"/>
      <c r="G784" s="88"/>
      <c r="H784" s="88"/>
    </row>
    <row r="785" spans="4:8" ht="15.75">
      <c r="D785" s="88"/>
      <c r="E785" s="88"/>
      <c r="F785" s="88"/>
      <c r="G785" s="88"/>
      <c r="H785" s="88"/>
    </row>
    <row r="786" spans="4:8" ht="15.75">
      <c r="D786" s="88"/>
      <c r="E786" s="88"/>
      <c r="F786" s="88"/>
      <c r="G786" s="88"/>
      <c r="H786" s="88"/>
    </row>
    <row r="787" spans="4:8" ht="15.75">
      <c r="D787" s="88"/>
      <c r="E787" s="88"/>
      <c r="F787" s="88"/>
      <c r="G787" s="88"/>
      <c r="H787" s="88"/>
    </row>
    <row r="788" spans="4:8" ht="15.75">
      <c r="D788" s="88"/>
      <c r="E788" s="88"/>
      <c r="F788" s="88"/>
      <c r="G788" s="88"/>
      <c r="H788" s="88"/>
    </row>
    <row r="789" spans="4:8" ht="15.75">
      <c r="D789" s="88"/>
      <c r="E789" s="88"/>
      <c r="F789" s="88"/>
      <c r="G789" s="88"/>
      <c r="H789" s="88"/>
    </row>
    <row r="790" spans="4:8" ht="15.75">
      <c r="D790" s="88"/>
      <c r="E790" s="88"/>
      <c r="F790" s="88"/>
      <c r="G790" s="88"/>
      <c r="H790" s="88"/>
    </row>
    <row r="791" spans="4:8" ht="15.75">
      <c r="D791" s="88"/>
      <c r="E791" s="88"/>
      <c r="F791" s="88"/>
      <c r="G791" s="88"/>
      <c r="H791" s="88"/>
    </row>
    <row r="792" spans="4:8" ht="15.75">
      <c r="D792" s="88"/>
      <c r="E792" s="88"/>
      <c r="F792" s="88"/>
      <c r="G792" s="88"/>
      <c r="H792" s="88"/>
    </row>
    <row r="793" spans="4:8" ht="15.75">
      <c r="D793" s="88"/>
      <c r="E793" s="88"/>
      <c r="F793" s="88"/>
      <c r="G793" s="88"/>
      <c r="H793" s="88"/>
    </row>
    <row r="794" spans="4:8" ht="15.75">
      <c r="D794" s="88"/>
      <c r="E794" s="88"/>
      <c r="F794" s="88"/>
      <c r="G794" s="88"/>
      <c r="H794" s="88"/>
    </row>
    <row r="795" spans="4:8" ht="15.75">
      <c r="D795" s="88"/>
      <c r="E795" s="88"/>
      <c r="F795" s="88"/>
      <c r="G795" s="88"/>
      <c r="H795" s="88"/>
    </row>
    <row r="796" spans="4:8" ht="15.75">
      <c r="D796" s="88"/>
      <c r="E796" s="88"/>
      <c r="F796" s="88"/>
      <c r="G796" s="88"/>
      <c r="H796" s="88"/>
    </row>
    <row r="797" spans="4:8" ht="15.75">
      <c r="D797" s="88"/>
      <c r="E797" s="88"/>
      <c r="F797" s="88"/>
      <c r="G797" s="88"/>
      <c r="H797" s="88"/>
    </row>
    <row r="798" spans="4:8" ht="15.75">
      <c r="D798" s="88"/>
      <c r="E798" s="88"/>
      <c r="F798" s="88"/>
      <c r="G798" s="88"/>
      <c r="H798" s="88"/>
    </row>
    <row r="799" spans="4:8" ht="15.75">
      <c r="D799" s="88"/>
      <c r="E799" s="88"/>
      <c r="F799" s="88"/>
      <c r="G799" s="88"/>
      <c r="H799" s="88"/>
    </row>
    <row r="800" spans="4:8" ht="15.75">
      <c r="D800" s="88"/>
      <c r="E800" s="88"/>
      <c r="F800" s="88"/>
      <c r="G800" s="88"/>
      <c r="H800" s="88"/>
    </row>
    <row r="801" spans="4:8" ht="15.75">
      <c r="D801" s="88"/>
      <c r="E801" s="88"/>
      <c r="F801" s="88"/>
      <c r="G801" s="88"/>
      <c r="H801" s="88"/>
    </row>
    <row r="802" spans="4:8" ht="15.75">
      <c r="D802" s="88"/>
      <c r="E802" s="88"/>
      <c r="F802" s="88"/>
      <c r="G802" s="88"/>
      <c r="H802" s="88"/>
    </row>
    <row r="803" spans="4:8" ht="15.75">
      <c r="D803" s="88"/>
      <c r="E803" s="88"/>
      <c r="F803" s="88"/>
      <c r="G803" s="88"/>
      <c r="H803" s="88"/>
    </row>
    <row r="804" spans="4:8" ht="15.75">
      <c r="D804" s="88"/>
      <c r="E804" s="88"/>
      <c r="F804" s="88"/>
      <c r="G804" s="88"/>
      <c r="H804" s="88"/>
    </row>
    <row r="805" spans="4:8" ht="15.75">
      <c r="D805" s="88"/>
      <c r="E805" s="88"/>
      <c r="F805" s="88"/>
      <c r="G805" s="88"/>
      <c r="H805" s="88"/>
    </row>
    <row r="806" spans="4:8" ht="15.75">
      <c r="D806" s="88"/>
      <c r="E806" s="88"/>
      <c r="F806" s="88"/>
      <c r="G806" s="88"/>
      <c r="H806" s="88"/>
    </row>
    <row r="807" spans="4:8" ht="15.75">
      <c r="D807" s="88"/>
      <c r="E807" s="88"/>
      <c r="F807" s="88"/>
      <c r="G807" s="88"/>
      <c r="H807" s="88"/>
    </row>
    <row r="808" spans="4:8" ht="15.75">
      <c r="D808" s="88"/>
      <c r="E808" s="88"/>
      <c r="F808" s="88"/>
      <c r="G808" s="88"/>
      <c r="H808" s="88"/>
    </row>
    <row r="809" spans="4:8" ht="15.75">
      <c r="D809" s="88"/>
      <c r="E809" s="88"/>
      <c r="F809" s="88"/>
      <c r="G809" s="88"/>
      <c r="H809" s="88"/>
    </row>
    <row r="810" spans="4:8" ht="15.75">
      <c r="D810" s="88"/>
      <c r="E810" s="88"/>
      <c r="F810" s="88"/>
      <c r="G810" s="88"/>
      <c r="H810" s="88"/>
    </row>
    <row r="811" spans="4:8" ht="15.75">
      <c r="D811" s="88"/>
      <c r="E811" s="88"/>
      <c r="F811" s="88"/>
      <c r="G811" s="88"/>
      <c r="H811" s="88"/>
    </row>
    <row r="812" spans="4:8" ht="15.75">
      <c r="D812" s="88"/>
      <c r="E812" s="88"/>
      <c r="F812" s="88"/>
      <c r="G812" s="88"/>
      <c r="H812" s="88"/>
    </row>
    <row r="813" spans="4:8" ht="15.75">
      <c r="D813" s="88"/>
      <c r="E813" s="88"/>
      <c r="F813" s="88"/>
      <c r="G813" s="88"/>
      <c r="H813" s="88"/>
    </row>
    <row r="814" spans="4:8" ht="15.75">
      <c r="D814" s="88"/>
      <c r="E814" s="88"/>
      <c r="F814" s="88"/>
      <c r="G814" s="88"/>
      <c r="H814" s="88"/>
    </row>
    <row r="815" spans="4:8" ht="15.75">
      <c r="D815" s="88"/>
      <c r="E815" s="88"/>
      <c r="F815" s="88"/>
      <c r="G815" s="88"/>
      <c r="H815" s="88"/>
    </row>
    <row r="816" spans="4:8" ht="15.75">
      <c r="D816" s="88"/>
      <c r="E816" s="88"/>
      <c r="F816" s="88"/>
      <c r="G816" s="88"/>
      <c r="H816" s="88"/>
    </row>
    <row r="817" spans="4:8" ht="15.75">
      <c r="D817" s="88"/>
      <c r="E817" s="88"/>
      <c r="F817" s="88"/>
      <c r="G817" s="88"/>
      <c r="H817" s="88"/>
    </row>
    <row r="818" spans="4:8" ht="15.75">
      <c r="D818" s="88"/>
      <c r="E818" s="88"/>
      <c r="F818" s="88"/>
      <c r="G818" s="88"/>
      <c r="H818" s="88"/>
    </row>
    <row r="819" spans="4:8" ht="15.75">
      <c r="D819" s="88"/>
      <c r="E819" s="88"/>
      <c r="F819" s="88"/>
      <c r="G819" s="88"/>
      <c r="H819" s="88"/>
    </row>
    <row r="820" spans="4:8" ht="15.75">
      <c r="D820" s="88"/>
      <c r="E820" s="88"/>
      <c r="F820" s="88"/>
      <c r="G820" s="88"/>
      <c r="H820" s="88"/>
    </row>
    <row r="821" spans="4:8" ht="15.75">
      <c r="D821" s="88"/>
      <c r="E821" s="88"/>
      <c r="F821" s="88"/>
      <c r="G821" s="88"/>
      <c r="H821" s="88"/>
    </row>
    <row r="822" spans="4:8" ht="15.75">
      <c r="D822" s="88"/>
      <c r="E822" s="88"/>
      <c r="F822" s="88"/>
      <c r="G822" s="88"/>
      <c r="H822" s="88"/>
    </row>
    <row r="823" spans="4:8" ht="15.75">
      <c r="D823" s="88"/>
      <c r="E823" s="88"/>
      <c r="F823" s="88"/>
      <c r="G823" s="88"/>
      <c r="H823" s="88"/>
    </row>
    <row r="824" spans="4:8" ht="15.75">
      <c r="D824" s="88"/>
      <c r="E824" s="88"/>
      <c r="F824" s="88"/>
      <c r="G824" s="88"/>
      <c r="H824" s="88"/>
    </row>
    <row r="825" spans="4:8" ht="15.75">
      <c r="D825" s="88"/>
      <c r="E825" s="88"/>
      <c r="F825" s="88"/>
      <c r="G825" s="88"/>
      <c r="H825" s="88"/>
    </row>
    <row r="826" spans="4:8" ht="15.75">
      <c r="D826" s="88"/>
      <c r="E826" s="88"/>
      <c r="F826" s="88"/>
      <c r="G826" s="88"/>
      <c r="H826" s="88"/>
    </row>
    <row r="827" spans="4:8" ht="15.75">
      <c r="D827" s="88"/>
      <c r="E827" s="88"/>
      <c r="F827" s="88"/>
      <c r="G827" s="88"/>
      <c r="H827" s="88"/>
    </row>
    <row r="828" spans="4:8" ht="15.75">
      <c r="D828" s="88"/>
      <c r="E828" s="88"/>
      <c r="F828" s="88"/>
      <c r="G828" s="88"/>
      <c r="H828" s="88"/>
    </row>
    <row r="829" spans="4:8" ht="15.75">
      <c r="D829" s="88"/>
      <c r="E829" s="88"/>
      <c r="F829" s="88"/>
      <c r="G829" s="88"/>
      <c r="H829" s="88"/>
    </row>
    <row r="830" spans="4:8" ht="15.75">
      <c r="D830" s="88"/>
      <c r="E830" s="88"/>
      <c r="F830" s="88"/>
      <c r="G830" s="88"/>
      <c r="H830" s="88"/>
    </row>
    <row r="831" spans="4:8" ht="15.75">
      <c r="D831" s="88"/>
      <c r="E831" s="88"/>
      <c r="F831" s="88"/>
      <c r="G831" s="88"/>
      <c r="H831" s="88"/>
    </row>
    <row r="832" spans="4:8" ht="15.75">
      <c r="D832" s="88"/>
      <c r="E832" s="88"/>
      <c r="F832" s="88"/>
      <c r="G832" s="88"/>
      <c r="H832" s="88"/>
    </row>
    <row r="833" spans="4:8" ht="15.75">
      <c r="D833" s="88"/>
      <c r="E833" s="88"/>
      <c r="F833" s="88"/>
      <c r="G833" s="88"/>
      <c r="H833" s="88"/>
    </row>
    <row r="834" spans="4:8" ht="15.75">
      <c r="D834" s="88"/>
      <c r="E834" s="88"/>
      <c r="F834" s="88"/>
      <c r="G834" s="88"/>
      <c r="H834" s="88"/>
    </row>
    <row r="835" spans="4:8" ht="15.75">
      <c r="D835" s="88"/>
      <c r="E835" s="88"/>
      <c r="F835" s="88"/>
      <c r="G835" s="88"/>
      <c r="H835" s="88"/>
    </row>
    <row r="836" spans="4:8" ht="15.75">
      <c r="D836" s="88"/>
      <c r="E836" s="88"/>
      <c r="F836" s="88"/>
      <c r="G836" s="88"/>
      <c r="H836" s="88"/>
    </row>
    <row r="837" spans="4:8" ht="15.75">
      <c r="D837" s="88"/>
      <c r="E837" s="88"/>
      <c r="F837" s="88"/>
      <c r="G837" s="88"/>
      <c r="H837" s="88"/>
    </row>
    <row r="838" spans="4:8" ht="15.75">
      <c r="D838" s="88"/>
      <c r="E838" s="88"/>
      <c r="F838" s="88"/>
      <c r="G838" s="88"/>
      <c r="H838" s="88"/>
    </row>
    <row r="839" spans="4:8" ht="15.75">
      <c r="D839" s="88"/>
      <c r="E839" s="88"/>
      <c r="F839" s="88"/>
      <c r="G839" s="88"/>
      <c r="H839" s="88"/>
    </row>
    <row r="840" spans="4:8" ht="15.75">
      <c r="D840" s="88"/>
      <c r="E840" s="88"/>
      <c r="F840" s="88"/>
      <c r="G840" s="88"/>
      <c r="H840" s="88"/>
    </row>
    <row r="841" spans="4:8" ht="15.75">
      <c r="D841" s="88"/>
      <c r="E841" s="88"/>
      <c r="F841" s="88"/>
      <c r="G841" s="88"/>
      <c r="H841" s="88"/>
    </row>
    <row r="842" spans="4:8" ht="15.75">
      <c r="D842" s="88"/>
      <c r="E842" s="88"/>
      <c r="F842" s="88"/>
      <c r="G842" s="88"/>
      <c r="H842" s="88"/>
    </row>
    <row r="843" spans="4:8" ht="15.75">
      <c r="D843" s="88"/>
      <c r="E843" s="88"/>
      <c r="F843" s="88"/>
      <c r="G843" s="88"/>
      <c r="H843" s="88"/>
    </row>
    <row r="844" spans="4:8" ht="15.75">
      <c r="D844" s="88"/>
      <c r="E844" s="88"/>
      <c r="F844" s="88"/>
      <c r="G844" s="88"/>
      <c r="H844" s="88"/>
    </row>
    <row r="845" spans="4:8" ht="15.75">
      <c r="D845" s="88"/>
      <c r="E845" s="88"/>
      <c r="F845" s="88"/>
      <c r="G845" s="88"/>
      <c r="H845" s="88"/>
    </row>
    <row r="846" spans="4:8" ht="15.75">
      <c r="D846" s="88"/>
      <c r="E846" s="88"/>
      <c r="F846" s="88"/>
      <c r="G846" s="88"/>
      <c r="H846" s="88"/>
    </row>
    <row r="847" spans="4:8" ht="15.75">
      <c r="D847" s="88"/>
      <c r="E847" s="88"/>
      <c r="F847" s="88"/>
      <c r="G847" s="88"/>
      <c r="H847" s="88"/>
    </row>
    <row r="848" spans="4:8" ht="15.75">
      <c r="D848" s="88"/>
      <c r="E848" s="88"/>
      <c r="F848" s="88"/>
      <c r="G848" s="88"/>
      <c r="H848" s="88"/>
    </row>
    <row r="849" spans="4:8" ht="15.75">
      <c r="D849" s="88"/>
      <c r="E849" s="88"/>
      <c r="F849" s="88"/>
      <c r="G849" s="88"/>
      <c r="H849" s="88"/>
    </row>
    <row r="850" spans="4:8" ht="15.75">
      <c r="D850" s="88"/>
      <c r="E850" s="88"/>
      <c r="F850" s="88"/>
      <c r="G850" s="88"/>
      <c r="H850" s="88"/>
    </row>
    <row r="851" spans="4:8" ht="15.75">
      <c r="D851" s="88"/>
      <c r="E851" s="88"/>
      <c r="F851" s="88"/>
      <c r="G851" s="88"/>
      <c r="H851" s="88"/>
    </row>
    <row r="852" spans="4:8" ht="15.75">
      <c r="D852" s="88"/>
      <c r="E852" s="88"/>
      <c r="F852" s="88"/>
      <c r="G852" s="88"/>
      <c r="H852" s="88"/>
    </row>
    <row r="853" spans="4:8" ht="15.75">
      <c r="D853" s="88"/>
      <c r="E853" s="88"/>
      <c r="F853" s="88"/>
      <c r="G853" s="88"/>
      <c r="H853" s="88"/>
    </row>
    <row r="854" spans="4:8" ht="15.75">
      <c r="D854" s="88"/>
      <c r="E854" s="88"/>
      <c r="F854" s="88"/>
      <c r="G854" s="88"/>
      <c r="H854" s="88"/>
    </row>
    <row r="855" spans="4:8" ht="15.75">
      <c r="D855" s="88"/>
      <c r="E855" s="88"/>
      <c r="F855" s="88"/>
      <c r="G855" s="88"/>
      <c r="H855" s="88"/>
    </row>
    <row r="856" spans="4:8" ht="15.75">
      <c r="D856" s="88"/>
      <c r="E856" s="88"/>
      <c r="F856" s="88"/>
      <c r="G856" s="88"/>
      <c r="H856" s="88"/>
    </row>
    <row r="857" spans="4:8" ht="15.75">
      <c r="D857" s="88"/>
      <c r="E857" s="88"/>
      <c r="F857" s="88"/>
      <c r="G857" s="88"/>
      <c r="H857" s="88"/>
    </row>
    <row r="858" spans="4:8" ht="15.75">
      <c r="D858" s="88"/>
      <c r="E858" s="88"/>
      <c r="F858" s="88"/>
      <c r="G858" s="88"/>
      <c r="H858" s="88"/>
    </row>
    <row r="859" spans="4:8" ht="15.75">
      <c r="D859" s="88"/>
      <c r="E859" s="88"/>
      <c r="F859" s="88"/>
      <c r="G859" s="88"/>
      <c r="H859" s="88"/>
    </row>
    <row r="860" spans="4:8" ht="15.75">
      <c r="D860" s="88"/>
      <c r="E860" s="88"/>
      <c r="F860" s="88"/>
      <c r="G860" s="88"/>
      <c r="H860" s="88"/>
    </row>
    <row r="861" spans="4:8" ht="15.75">
      <c r="D861" s="88"/>
      <c r="E861" s="88"/>
      <c r="F861" s="88"/>
      <c r="G861" s="88"/>
      <c r="H861" s="88"/>
    </row>
    <row r="862" spans="4:8" ht="15.75">
      <c r="D862" s="88"/>
      <c r="E862" s="88"/>
      <c r="F862" s="88"/>
      <c r="G862" s="88"/>
      <c r="H862" s="88"/>
    </row>
    <row r="863" spans="4:8" ht="15.75">
      <c r="D863" s="88"/>
      <c r="E863" s="88"/>
      <c r="F863" s="88"/>
      <c r="G863" s="88"/>
      <c r="H863" s="88"/>
    </row>
    <row r="864" spans="4:8" ht="15.75">
      <c r="D864" s="88"/>
      <c r="E864" s="88"/>
      <c r="F864" s="88"/>
      <c r="G864" s="88"/>
      <c r="H864" s="88"/>
    </row>
    <row r="865" spans="4:8" ht="15.75">
      <c r="D865" s="88"/>
      <c r="E865" s="88"/>
      <c r="F865" s="88"/>
      <c r="G865" s="88"/>
      <c r="H865" s="88"/>
    </row>
    <row r="866" spans="4:8" ht="15.75">
      <c r="D866" s="88"/>
      <c r="E866" s="88"/>
      <c r="F866" s="88"/>
      <c r="G866" s="88"/>
      <c r="H866" s="88"/>
    </row>
    <row r="867" spans="4:8" ht="15.75">
      <c r="D867" s="88"/>
      <c r="E867" s="88"/>
      <c r="F867" s="88"/>
      <c r="G867" s="88"/>
      <c r="H867" s="88"/>
    </row>
    <row r="868" spans="4:8" ht="15.75">
      <c r="D868" s="88"/>
      <c r="E868" s="88"/>
      <c r="F868" s="88"/>
      <c r="G868" s="88"/>
      <c r="H868" s="88"/>
    </row>
    <row r="869" spans="4:8" ht="15.75">
      <c r="D869" s="88"/>
      <c r="E869" s="88"/>
      <c r="F869" s="88"/>
      <c r="G869" s="88"/>
      <c r="H869" s="88"/>
    </row>
    <row r="870" spans="4:8" ht="15.75">
      <c r="D870" s="88"/>
      <c r="E870" s="88"/>
      <c r="F870" s="88"/>
      <c r="G870" s="88"/>
      <c r="H870" s="88"/>
    </row>
    <row r="871" spans="4:8" ht="15.75">
      <c r="D871" s="88"/>
      <c r="E871" s="88"/>
      <c r="F871" s="88"/>
      <c r="G871" s="88"/>
      <c r="H871" s="88"/>
    </row>
    <row r="872" spans="4:8" ht="15.75">
      <c r="D872" s="88"/>
      <c r="E872" s="88"/>
      <c r="F872" s="88"/>
      <c r="G872" s="88"/>
      <c r="H872" s="88"/>
    </row>
    <row r="873" spans="4:8" ht="15.75">
      <c r="D873" s="88"/>
      <c r="E873" s="88"/>
      <c r="F873" s="88"/>
      <c r="G873" s="88"/>
      <c r="H873" s="88"/>
    </row>
    <row r="874" spans="4:8" ht="15.75">
      <c r="D874" s="88"/>
      <c r="E874" s="88"/>
      <c r="F874" s="88"/>
      <c r="G874" s="88"/>
      <c r="H874" s="88"/>
    </row>
    <row r="875" spans="4:8" ht="15.75">
      <c r="D875" s="88"/>
      <c r="E875" s="88"/>
      <c r="F875" s="88"/>
      <c r="G875" s="88"/>
      <c r="H875" s="88"/>
    </row>
    <row r="876" spans="4:8" ht="15.75">
      <c r="D876" s="88"/>
      <c r="E876" s="88"/>
      <c r="F876" s="88"/>
      <c r="G876" s="88"/>
      <c r="H876" s="88"/>
    </row>
    <row r="877" spans="4:8" ht="15.75">
      <c r="D877" s="88"/>
      <c r="E877" s="88"/>
      <c r="F877" s="88"/>
      <c r="G877" s="88"/>
      <c r="H877" s="88"/>
    </row>
    <row r="878" spans="4:8" ht="15.75">
      <c r="D878" s="88"/>
      <c r="E878" s="88"/>
      <c r="F878" s="88"/>
      <c r="G878" s="88"/>
      <c r="H878" s="88"/>
    </row>
    <row r="879" spans="4:8" ht="15.75">
      <c r="D879" s="88"/>
      <c r="E879" s="88"/>
      <c r="F879" s="88"/>
      <c r="G879" s="88"/>
      <c r="H879" s="88"/>
    </row>
    <row r="880" spans="4:8" ht="15.75">
      <c r="D880" s="88"/>
      <c r="E880" s="88"/>
      <c r="F880" s="88"/>
      <c r="G880" s="88"/>
      <c r="H880" s="88"/>
    </row>
    <row r="881" spans="4:8" ht="15.75">
      <c r="D881" s="88"/>
      <c r="E881" s="88"/>
      <c r="F881" s="88"/>
      <c r="G881" s="88"/>
      <c r="H881" s="88"/>
    </row>
    <row r="882" spans="4:8" ht="15.75">
      <c r="D882" s="88"/>
      <c r="E882" s="88"/>
      <c r="F882" s="88"/>
      <c r="G882" s="88"/>
      <c r="H882" s="88"/>
    </row>
    <row r="883" spans="4:8" ht="15.75">
      <c r="D883" s="88"/>
      <c r="E883" s="88"/>
      <c r="F883" s="88"/>
      <c r="G883" s="88"/>
      <c r="H883" s="88"/>
    </row>
    <row r="884" spans="4:8" ht="15.75">
      <c r="D884" s="88"/>
      <c r="E884" s="88"/>
      <c r="F884" s="88"/>
      <c r="G884" s="88"/>
      <c r="H884" s="88"/>
    </row>
    <row r="885" spans="4:8" ht="15.75">
      <c r="D885" s="88"/>
      <c r="E885" s="88"/>
      <c r="F885" s="88"/>
      <c r="G885" s="88"/>
      <c r="H885" s="88"/>
    </row>
    <row r="886" spans="4:8" ht="15.75">
      <c r="D886" s="88"/>
      <c r="E886" s="88"/>
      <c r="F886" s="88"/>
      <c r="G886" s="88"/>
      <c r="H886" s="88"/>
    </row>
    <row r="887" spans="4:8" ht="15.75">
      <c r="D887" s="88"/>
      <c r="E887" s="88"/>
      <c r="F887" s="88"/>
      <c r="G887" s="88"/>
      <c r="H887" s="88"/>
    </row>
    <row r="888" spans="4:8" ht="15.75">
      <c r="D888" s="88"/>
      <c r="E888" s="88"/>
      <c r="F888" s="88"/>
      <c r="G888" s="88"/>
      <c r="H888" s="88"/>
    </row>
    <row r="889" spans="4:8" ht="15.75">
      <c r="D889" s="88"/>
      <c r="E889" s="88"/>
      <c r="F889" s="88"/>
      <c r="G889" s="88"/>
      <c r="H889" s="88"/>
    </row>
    <row r="890" spans="4:8" ht="15.75">
      <c r="D890" s="88"/>
      <c r="E890" s="88"/>
      <c r="F890" s="88"/>
      <c r="G890" s="88"/>
      <c r="H890" s="88"/>
    </row>
    <row r="891" spans="4:8" ht="15.75">
      <c r="D891" s="88"/>
      <c r="E891" s="88"/>
      <c r="F891" s="88"/>
      <c r="G891" s="88"/>
      <c r="H891" s="88"/>
    </row>
    <row r="892" spans="4:8" ht="15.75">
      <c r="D892" s="88"/>
      <c r="E892" s="88"/>
      <c r="F892" s="88"/>
      <c r="G892" s="88"/>
      <c r="H892" s="88"/>
    </row>
    <row r="893" spans="4:8" ht="15.75">
      <c r="D893" s="88"/>
      <c r="E893" s="88"/>
      <c r="F893" s="88"/>
      <c r="G893" s="88"/>
      <c r="H893" s="88"/>
    </row>
    <row r="894" spans="4:8" ht="15.75">
      <c r="D894" s="88"/>
      <c r="E894" s="88"/>
      <c r="F894" s="88"/>
      <c r="G894" s="88"/>
      <c r="H894" s="88"/>
    </row>
    <row r="895" spans="4:8" ht="15.75">
      <c r="D895" s="88"/>
      <c r="E895" s="88"/>
      <c r="F895" s="88"/>
      <c r="G895" s="88"/>
      <c r="H895" s="88"/>
    </row>
    <row r="896" spans="4:8" ht="15.75">
      <c r="D896" s="88"/>
      <c r="E896" s="88"/>
      <c r="F896" s="88"/>
      <c r="G896" s="88"/>
      <c r="H896" s="88"/>
    </row>
    <row r="897" spans="4:8" ht="15.75">
      <c r="D897" s="88"/>
      <c r="E897" s="88"/>
      <c r="F897" s="88"/>
      <c r="G897" s="88"/>
      <c r="H897" s="88"/>
    </row>
    <row r="898" spans="4:8" ht="15.75">
      <c r="D898" s="88"/>
      <c r="E898" s="88"/>
      <c r="F898" s="88"/>
      <c r="G898" s="88"/>
      <c r="H898" s="88"/>
    </row>
    <row r="899" spans="4:8" ht="15.75">
      <c r="D899" s="88"/>
      <c r="E899" s="88"/>
      <c r="F899" s="88"/>
      <c r="G899" s="88"/>
      <c r="H899" s="88"/>
    </row>
    <row r="900" spans="4:8" ht="15.75">
      <c r="D900" s="88"/>
      <c r="E900" s="88"/>
      <c r="F900" s="88"/>
      <c r="G900" s="88"/>
      <c r="H900" s="88"/>
    </row>
    <row r="901" spans="4:8" ht="15.75">
      <c r="D901" s="88"/>
      <c r="E901" s="88"/>
      <c r="F901" s="88"/>
      <c r="G901" s="88"/>
      <c r="H901" s="88"/>
    </row>
    <row r="902" spans="4:8" ht="15.75">
      <c r="D902" s="88"/>
      <c r="E902" s="88"/>
      <c r="F902" s="88"/>
      <c r="G902" s="88"/>
      <c r="H902" s="88"/>
    </row>
    <row r="903" spans="4:8" ht="15.75">
      <c r="D903" s="88"/>
      <c r="E903" s="88"/>
      <c r="F903" s="88"/>
      <c r="G903" s="88"/>
      <c r="H903" s="88"/>
    </row>
    <row r="904" spans="4:8" ht="15.75">
      <c r="D904" s="88"/>
      <c r="E904" s="88"/>
      <c r="F904" s="88"/>
      <c r="G904" s="88"/>
      <c r="H904" s="88"/>
    </row>
    <row r="905" spans="4:8" ht="15.75">
      <c r="D905" s="88"/>
      <c r="E905" s="88"/>
      <c r="F905" s="88"/>
      <c r="G905" s="88"/>
      <c r="H905" s="88"/>
    </row>
    <row r="906" spans="4:8" ht="15.75">
      <c r="D906" s="88"/>
      <c r="E906" s="88"/>
      <c r="F906" s="88"/>
      <c r="G906" s="88"/>
      <c r="H906" s="88"/>
    </row>
    <row r="907" spans="4:8" ht="15.75">
      <c r="D907" s="88"/>
      <c r="E907" s="88"/>
      <c r="F907" s="88"/>
      <c r="G907" s="88"/>
      <c r="H907" s="88"/>
    </row>
    <row r="908" spans="4:8" ht="15.75">
      <c r="D908" s="88"/>
      <c r="E908" s="88"/>
      <c r="F908" s="88"/>
      <c r="G908" s="88"/>
      <c r="H908" s="88"/>
    </row>
    <row r="909" spans="4:8" ht="15.75">
      <c r="D909" s="88"/>
      <c r="E909" s="88"/>
      <c r="F909" s="88"/>
      <c r="G909" s="88"/>
      <c r="H909" s="88"/>
    </row>
    <row r="910" spans="4:8" ht="15.75">
      <c r="D910" s="88"/>
      <c r="E910" s="88"/>
      <c r="F910" s="88"/>
      <c r="G910" s="88"/>
      <c r="H910" s="88"/>
    </row>
    <row r="911" spans="4:8" ht="15.75">
      <c r="D911" s="88"/>
      <c r="E911" s="88"/>
      <c r="F911" s="88"/>
      <c r="G911" s="88"/>
      <c r="H911" s="88"/>
    </row>
    <row r="912" spans="4:8" ht="15.75">
      <c r="D912" s="88"/>
      <c r="E912" s="88"/>
      <c r="F912" s="88"/>
      <c r="G912" s="88"/>
      <c r="H912" s="88"/>
    </row>
    <row r="913" spans="4:8" ht="15.75">
      <c r="D913" s="88"/>
      <c r="E913" s="88"/>
      <c r="F913" s="88"/>
      <c r="G913" s="88"/>
      <c r="H913" s="88"/>
    </row>
    <row r="914" spans="4:8" ht="15.75">
      <c r="D914" s="88"/>
      <c r="E914" s="88"/>
      <c r="F914" s="88"/>
      <c r="G914" s="88"/>
      <c r="H914" s="88"/>
    </row>
    <row r="915" spans="4:8" ht="15.75">
      <c r="D915" s="88"/>
      <c r="E915" s="88"/>
      <c r="F915" s="88"/>
      <c r="G915" s="88"/>
      <c r="H915" s="88"/>
    </row>
    <row r="916" spans="4:8" ht="15.75">
      <c r="D916" s="88"/>
      <c r="E916" s="88"/>
      <c r="F916" s="88"/>
      <c r="G916" s="88"/>
      <c r="H916" s="88"/>
    </row>
    <row r="917" spans="4:8" ht="15.75">
      <c r="D917" s="88"/>
      <c r="E917" s="88"/>
      <c r="F917" s="88"/>
      <c r="G917" s="88"/>
      <c r="H917" s="88"/>
    </row>
    <row r="918" spans="4:8" ht="15.75">
      <c r="D918" s="88"/>
      <c r="E918" s="88"/>
      <c r="F918" s="88"/>
      <c r="G918" s="88"/>
      <c r="H918" s="88"/>
    </row>
    <row r="919" spans="4:8" ht="15.75">
      <c r="D919" s="88"/>
      <c r="E919" s="88"/>
      <c r="F919" s="88"/>
      <c r="G919" s="88"/>
      <c r="H919" s="88"/>
    </row>
    <row r="920" spans="4:8" ht="15.75">
      <c r="D920" s="88"/>
      <c r="E920" s="88"/>
      <c r="F920" s="88"/>
      <c r="G920" s="88"/>
      <c r="H920" s="88"/>
    </row>
    <row r="921" spans="4:8" ht="15.75">
      <c r="D921" s="88"/>
      <c r="E921" s="88"/>
      <c r="F921" s="88"/>
      <c r="G921" s="88"/>
      <c r="H921" s="88"/>
    </row>
    <row r="922" spans="4:8" ht="15.75">
      <c r="D922" s="88"/>
      <c r="E922" s="88"/>
      <c r="F922" s="88"/>
      <c r="G922" s="88"/>
      <c r="H922" s="88"/>
    </row>
    <row r="923" spans="4:8" ht="15.75">
      <c r="D923" s="88"/>
      <c r="E923" s="88"/>
      <c r="F923" s="88"/>
      <c r="G923" s="88"/>
      <c r="H923" s="88"/>
    </row>
    <row r="924" spans="4:8" ht="15.75">
      <c r="D924" s="88"/>
      <c r="E924" s="88"/>
      <c r="F924" s="88"/>
      <c r="G924" s="88"/>
      <c r="H924" s="88"/>
    </row>
    <row r="925" spans="4:8" ht="15.75">
      <c r="D925" s="88"/>
      <c r="E925" s="88"/>
      <c r="F925" s="88"/>
      <c r="G925" s="88"/>
      <c r="H925" s="88"/>
    </row>
    <row r="926" spans="4:8" ht="15.75">
      <c r="D926" s="88"/>
      <c r="E926" s="88"/>
      <c r="F926" s="88"/>
      <c r="G926" s="88"/>
      <c r="H926" s="88"/>
    </row>
    <row r="927" spans="4:8" ht="15.75">
      <c r="D927" s="88"/>
      <c r="E927" s="88"/>
      <c r="F927" s="88"/>
      <c r="G927" s="88"/>
      <c r="H927" s="88"/>
    </row>
    <row r="928" spans="4:8" ht="15.75">
      <c r="D928" s="88"/>
      <c r="E928" s="88"/>
      <c r="F928" s="88"/>
      <c r="G928" s="88"/>
      <c r="H928" s="88"/>
    </row>
    <row r="929" spans="4:8" ht="15.75">
      <c r="D929" s="88"/>
      <c r="E929" s="88"/>
      <c r="F929" s="88"/>
      <c r="G929" s="88"/>
      <c r="H929" s="88"/>
    </row>
    <row r="930" spans="4:8" ht="15.75">
      <c r="D930" s="88"/>
      <c r="E930" s="88"/>
      <c r="F930" s="88"/>
      <c r="G930" s="88"/>
      <c r="H930" s="88"/>
    </row>
    <row r="931" spans="4:8" ht="15.75">
      <c r="D931" s="88"/>
      <c r="E931" s="88"/>
      <c r="F931" s="88"/>
      <c r="G931" s="88"/>
      <c r="H931" s="88"/>
    </row>
    <row r="932" spans="4:8" ht="15.75">
      <c r="D932" s="88"/>
      <c r="E932" s="88"/>
      <c r="F932" s="88"/>
      <c r="G932" s="88"/>
      <c r="H932" s="88"/>
    </row>
    <row r="933" spans="4:8" ht="15.75">
      <c r="D933" s="88"/>
      <c r="E933" s="88"/>
      <c r="F933" s="88"/>
      <c r="G933" s="88"/>
      <c r="H933" s="88"/>
    </row>
    <row r="934" spans="4:8" ht="15.75">
      <c r="D934" s="88"/>
      <c r="E934" s="88"/>
      <c r="F934" s="88"/>
      <c r="G934" s="88"/>
      <c r="H934" s="88"/>
    </row>
    <row r="935" spans="4:8" ht="15.75">
      <c r="D935" s="88"/>
      <c r="E935" s="88"/>
      <c r="F935" s="88"/>
      <c r="G935" s="88"/>
      <c r="H935" s="88"/>
    </row>
    <row r="936" spans="4:8" ht="15.75">
      <c r="D936" s="88"/>
      <c r="E936" s="88"/>
      <c r="F936" s="88"/>
      <c r="G936" s="88"/>
      <c r="H936" s="88"/>
    </row>
    <row r="937" spans="4:8" ht="15.75">
      <c r="D937" s="88"/>
      <c r="E937" s="88"/>
      <c r="F937" s="88"/>
      <c r="G937" s="88"/>
      <c r="H937" s="88"/>
    </row>
    <row r="938" spans="4:8" ht="15.75">
      <c r="D938" s="88"/>
      <c r="E938" s="88"/>
      <c r="F938" s="88"/>
      <c r="G938" s="88"/>
      <c r="H938" s="88"/>
    </row>
    <row r="939" spans="4:8" ht="15.75">
      <c r="D939" s="88"/>
      <c r="E939" s="88"/>
      <c r="F939" s="88"/>
      <c r="G939" s="88"/>
      <c r="H939" s="88"/>
    </row>
    <row r="940" spans="4:8" ht="15.75">
      <c r="D940" s="88"/>
      <c r="E940" s="88"/>
      <c r="F940" s="88"/>
      <c r="G940" s="88"/>
      <c r="H940" s="88"/>
    </row>
    <row r="941" spans="4:8" ht="15.75">
      <c r="D941" s="88"/>
      <c r="E941" s="88"/>
      <c r="F941" s="88"/>
      <c r="G941" s="88"/>
      <c r="H941" s="88"/>
    </row>
    <row r="942" spans="4:8" ht="15.75">
      <c r="D942" s="88"/>
      <c r="E942" s="88"/>
      <c r="F942" s="88"/>
      <c r="G942" s="88"/>
      <c r="H942" s="88"/>
    </row>
    <row r="943" spans="4:8" ht="15.75">
      <c r="D943" s="88"/>
      <c r="E943" s="88"/>
      <c r="F943" s="88"/>
      <c r="G943" s="88"/>
      <c r="H943" s="88"/>
    </row>
    <row r="944" spans="4:8" ht="15.75">
      <c r="D944" s="88"/>
      <c r="E944" s="88"/>
      <c r="F944" s="88"/>
      <c r="G944" s="88"/>
      <c r="H944" s="88"/>
    </row>
    <row r="945" spans="4:8" ht="15.75">
      <c r="D945" s="88"/>
      <c r="E945" s="88"/>
      <c r="F945" s="88"/>
      <c r="G945" s="88"/>
      <c r="H945" s="88"/>
    </row>
    <row r="946" spans="4:8" ht="15.75">
      <c r="D946" s="88"/>
      <c r="E946" s="88"/>
      <c r="F946" s="88"/>
      <c r="G946" s="88"/>
      <c r="H946" s="88"/>
    </row>
    <row r="947" spans="4:8" ht="15.75">
      <c r="D947" s="88"/>
      <c r="E947" s="88"/>
      <c r="F947" s="88"/>
      <c r="G947" s="88"/>
      <c r="H947" s="88"/>
    </row>
    <row r="948" spans="4:8" ht="15.75">
      <c r="D948" s="88"/>
      <c r="E948" s="88"/>
      <c r="F948" s="88"/>
      <c r="G948" s="88"/>
      <c r="H948" s="88"/>
    </row>
    <row r="949" spans="4:8" ht="15.75">
      <c r="D949" s="88"/>
      <c r="E949" s="88"/>
      <c r="F949" s="88"/>
      <c r="G949" s="88"/>
      <c r="H949" s="88"/>
    </row>
    <row r="950" spans="4:8" ht="15.75">
      <c r="D950" s="88"/>
      <c r="E950" s="88"/>
      <c r="F950" s="88"/>
      <c r="G950" s="88"/>
      <c r="H950" s="88"/>
    </row>
    <row r="951" spans="4:8" ht="15.75">
      <c r="D951" s="88"/>
      <c r="E951" s="88"/>
      <c r="F951" s="88"/>
      <c r="G951" s="88"/>
      <c r="H951" s="88"/>
    </row>
    <row r="952" spans="4:8" ht="15.75">
      <c r="D952" s="88"/>
      <c r="E952" s="88"/>
      <c r="F952" s="88"/>
      <c r="G952" s="88"/>
      <c r="H952" s="88"/>
    </row>
    <row r="953" spans="4:8" ht="15.75">
      <c r="D953" s="88"/>
      <c r="E953" s="88"/>
      <c r="F953" s="88"/>
      <c r="G953" s="88"/>
      <c r="H953" s="88"/>
    </row>
    <row r="954" spans="4:8" ht="15.75">
      <c r="D954" s="88"/>
      <c r="E954" s="88"/>
      <c r="F954" s="88"/>
      <c r="G954" s="88"/>
      <c r="H954" s="88"/>
    </row>
    <row r="955" spans="4:8" ht="15.75">
      <c r="D955" s="88"/>
      <c r="E955" s="88"/>
      <c r="F955" s="88"/>
      <c r="G955" s="88"/>
      <c r="H955" s="88"/>
    </row>
    <row r="956" spans="4:8" ht="15.75">
      <c r="D956" s="88"/>
      <c r="E956" s="88"/>
      <c r="F956" s="88"/>
      <c r="G956" s="88"/>
      <c r="H956" s="88"/>
    </row>
    <row r="957" spans="4:8" ht="15.75">
      <c r="D957" s="88"/>
      <c r="E957" s="88"/>
      <c r="F957" s="88"/>
      <c r="G957" s="88"/>
      <c r="H957" s="88"/>
    </row>
    <row r="958" spans="4:8" ht="15.75">
      <c r="D958" s="88"/>
      <c r="E958" s="88"/>
      <c r="F958" s="88"/>
      <c r="G958" s="88"/>
      <c r="H958" s="88"/>
    </row>
    <row r="959" spans="4:8" ht="15.75">
      <c r="D959" s="88"/>
      <c r="E959" s="88"/>
      <c r="F959" s="88"/>
      <c r="G959" s="88"/>
      <c r="H959" s="88"/>
    </row>
  </sheetData>
  <mergeCells count="33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32:G132"/>
    <mergeCell ref="D133:G133"/>
    <mergeCell ref="D30:H30"/>
    <mergeCell ref="D127:G127"/>
    <mergeCell ref="I127:R127"/>
    <mergeCell ref="D128:G128"/>
    <mergeCell ref="D129:G129"/>
    <mergeCell ref="D130:G130"/>
    <mergeCell ref="D131:G131"/>
  </mergeCells>
  <printOptions gridLines="1"/>
  <pageMargins left="0.31496062992125984" right="0.31496062992125984" top="0" bottom="0.74803149606299213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Hoja3!$O$3:$O$7</xm:f>
          </x14:formula1>
          <xm:sqref>D127</xm:sqref>
        </x14:dataValidation>
        <x14:dataValidation type="list" allowBlank="1" showErrorMessage="1">
          <x14:formula1>
            <xm:f>Hoja3!$P$3:$P$6</xm:f>
          </x14:formula1>
          <xm:sqref>D128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Hoja3!$R$4:$R$99</xm:f>
          </x14:formula1>
          <xm:sqref>B53 B55 B58</xm:sqref>
        </x14:dataValidation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Hoja3!$R$3:$R$99</xm:f>
          </x14:formula1>
          <xm:sqref>B35 D129</xm:sqref>
        </x14:dataValidation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Hoja3!$Q$3:$Q$5</xm:f>
          </x14:formula1>
          <xm:sqref>D131</xm:sqref>
        </x14:dataValidation>
        <x14:dataValidation type="list" allowBlank="1" showErrorMessage="1">
          <x14:formula1>
            <xm:f>Hoja3!$E$3:$E$6</xm:f>
          </x14:formula1>
          <xm:sqref>D17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9"/>
  <sheetViews>
    <sheetView workbookViewId="0"/>
  </sheetViews>
  <sheetFormatPr baseColWidth="10" defaultColWidth="14.42578125" defaultRowHeight="15" customHeight="1"/>
  <cols>
    <col min="1" max="1" width="7" customWidth="1"/>
    <col min="2" max="2" width="17.85546875" customWidth="1"/>
    <col min="3" max="3" width="51.28515625" customWidth="1"/>
    <col min="4" max="4" width="25.140625" customWidth="1"/>
    <col min="5" max="5" width="26.85546875" customWidth="1"/>
    <col min="6" max="6" width="22.5703125" customWidth="1"/>
    <col min="7" max="7" width="21.7109375" customWidth="1"/>
    <col min="8" max="8" width="21.140625" customWidth="1"/>
    <col min="9" max="9" width="29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  <col min="19" max="19" width="14" customWidth="1"/>
    <col min="20" max="32" width="10.7109375" customWidth="1"/>
  </cols>
  <sheetData>
    <row r="1" spans="1:32" ht="15.75">
      <c r="A1" s="51"/>
      <c r="B1" s="52"/>
      <c r="C1" s="52"/>
      <c r="D1" s="53"/>
      <c r="E1" s="53"/>
      <c r="F1" s="53"/>
      <c r="G1" s="53"/>
      <c r="H1" s="53"/>
      <c r="I1" s="52"/>
      <c r="J1" s="54"/>
      <c r="K1" s="54"/>
      <c r="L1" s="52"/>
      <c r="M1" s="52"/>
      <c r="N1" s="54"/>
      <c r="O1" s="54"/>
      <c r="P1" s="54"/>
      <c r="Q1" s="52"/>
      <c r="R1" s="52"/>
      <c r="AF1" s="105"/>
    </row>
    <row r="2" spans="1:32" ht="15.75">
      <c r="A2" s="51"/>
      <c r="B2" s="52"/>
      <c r="C2" s="52"/>
      <c r="D2" s="53"/>
      <c r="E2" s="53"/>
      <c r="F2" s="53"/>
      <c r="G2" s="53"/>
      <c r="H2" s="53"/>
      <c r="I2" s="52"/>
      <c r="J2" s="54"/>
      <c r="K2" s="54"/>
      <c r="L2" s="52"/>
      <c r="M2" s="52"/>
      <c r="N2" s="54"/>
      <c r="O2" s="54"/>
      <c r="P2" s="54"/>
      <c r="Q2" s="52"/>
      <c r="R2" s="52"/>
      <c r="AF2" s="105"/>
    </row>
    <row r="3" spans="1:32" ht="15.75">
      <c r="A3" s="51"/>
      <c r="B3" s="52"/>
      <c r="C3" s="52"/>
      <c r="D3" s="53"/>
      <c r="E3" s="53"/>
      <c r="F3" s="53"/>
      <c r="G3" s="53"/>
      <c r="H3" s="53"/>
      <c r="I3" s="52"/>
      <c r="J3" s="54"/>
      <c r="K3" s="54"/>
      <c r="L3" s="52"/>
      <c r="M3" s="52"/>
      <c r="N3" s="54"/>
      <c r="O3" s="54"/>
      <c r="P3" s="54"/>
      <c r="Q3" s="52"/>
      <c r="R3" s="52"/>
      <c r="AF3" s="105"/>
    </row>
    <row r="4" spans="1:32" ht="15.75">
      <c r="A4" s="51"/>
      <c r="B4" s="52"/>
      <c r="C4" s="52"/>
      <c r="D4" s="219" t="s">
        <v>0</v>
      </c>
      <c r="E4" s="220"/>
      <c r="F4" s="220"/>
      <c r="G4" s="220"/>
      <c r="H4" s="220"/>
      <c r="I4" s="52"/>
      <c r="J4" s="54"/>
      <c r="K4" s="54"/>
      <c r="L4" s="52"/>
      <c r="M4" s="52"/>
      <c r="N4" s="54"/>
      <c r="O4" s="54"/>
      <c r="P4" s="54"/>
      <c r="Q4" s="52"/>
      <c r="R4" s="52"/>
      <c r="AF4" s="105"/>
    </row>
    <row r="5" spans="1:32" ht="15.75">
      <c r="A5" s="51"/>
      <c r="B5" s="52"/>
      <c r="C5" s="52"/>
      <c r="D5" s="219" t="s">
        <v>1</v>
      </c>
      <c r="E5" s="220"/>
      <c r="F5" s="220"/>
      <c r="G5" s="220"/>
      <c r="H5" s="220"/>
      <c r="I5" s="52"/>
      <c r="J5" s="54"/>
      <c r="K5" s="54"/>
      <c r="L5" s="52"/>
      <c r="M5" s="52"/>
      <c r="N5" s="54"/>
      <c r="O5" s="54"/>
      <c r="P5" s="54"/>
      <c r="Q5" s="52"/>
      <c r="R5" s="52"/>
      <c r="AF5" s="105"/>
    </row>
    <row r="6" spans="1:32" ht="15.75">
      <c r="A6" s="51"/>
      <c r="B6" s="52"/>
      <c r="C6" s="52"/>
      <c r="D6" s="219" t="s">
        <v>2</v>
      </c>
      <c r="E6" s="220"/>
      <c r="F6" s="220"/>
      <c r="G6" s="220"/>
      <c r="H6" s="220"/>
      <c r="I6" s="52"/>
      <c r="J6" s="54"/>
      <c r="K6" s="54"/>
      <c r="L6" s="52"/>
      <c r="M6" s="52"/>
      <c r="N6" s="54"/>
      <c r="O6" s="54"/>
      <c r="P6" s="54"/>
      <c r="Q6" s="52"/>
      <c r="R6" s="52"/>
      <c r="AF6" s="105"/>
    </row>
    <row r="7" spans="1:32" ht="15.75">
      <c r="A7" s="51"/>
      <c r="B7" s="52"/>
      <c r="C7" s="52"/>
      <c r="D7" s="219"/>
      <c r="E7" s="220"/>
      <c r="F7" s="220"/>
      <c r="G7" s="220"/>
      <c r="H7" s="220"/>
      <c r="I7" s="52"/>
      <c r="J7" s="54"/>
      <c r="K7" s="54"/>
      <c r="L7" s="52"/>
      <c r="M7" s="52"/>
      <c r="N7" s="54"/>
      <c r="O7" s="54"/>
      <c r="P7" s="54"/>
      <c r="Q7" s="52"/>
      <c r="R7" s="52"/>
      <c r="AF7" s="105"/>
    </row>
    <row r="8" spans="1:32" ht="15.75">
      <c r="A8" s="51"/>
      <c r="B8" s="52"/>
      <c r="C8" s="52"/>
      <c r="D8" s="55"/>
      <c r="E8" s="55"/>
      <c r="F8" s="55"/>
      <c r="G8" s="55"/>
      <c r="H8" s="55"/>
      <c r="I8" s="52"/>
      <c r="J8" s="54"/>
      <c r="K8" s="54"/>
      <c r="L8" s="52"/>
      <c r="M8" s="52"/>
      <c r="N8" s="54"/>
      <c r="O8" s="54"/>
      <c r="P8" s="54"/>
      <c r="Q8" s="52"/>
      <c r="R8" s="52"/>
      <c r="AF8" s="105"/>
    </row>
    <row r="9" spans="1:32" ht="15.75">
      <c r="A9" s="51"/>
      <c r="B9" s="52"/>
      <c r="C9" s="52"/>
      <c r="D9" s="53"/>
      <c r="E9" s="53"/>
      <c r="F9" s="53"/>
      <c r="G9" s="53"/>
      <c r="H9" s="53"/>
      <c r="I9" s="52"/>
      <c r="J9" s="54"/>
      <c r="K9" s="54"/>
      <c r="L9" s="52"/>
      <c r="M9" s="52"/>
      <c r="N9" s="54"/>
      <c r="O9" s="54"/>
      <c r="P9" s="54"/>
      <c r="Q9" s="52"/>
      <c r="R9" s="52"/>
      <c r="AF9" s="105"/>
    </row>
    <row r="10" spans="1:32" ht="15.75">
      <c r="A10" s="51"/>
      <c r="B10" s="52"/>
      <c r="C10" s="52"/>
      <c r="D10" s="53"/>
      <c r="E10" s="53"/>
      <c r="F10" s="53"/>
      <c r="G10" s="53"/>
      <c r="H10" s="53"/>
      <c r="I10" s="52"/>
      <c r="J10" s="54"/>
      <c r="K10" s="54"/>
      <c r="L10" s="52"/>
      <c r="M10" s="52"/>
      <c r="N10" s="54"/>
      <c r="O10" s="54"/>
      <c r="P10" s="54"/>
      <c r="Q10" s="52"/>
      <c r="R10" s="52"/>
      <c r="AF10" s="105"/>
    </row>
    <row r="11" spans="1:32" ht="15.75">
      <c r="A11" s="51"/>
      <c r="B11" s="52"/>
      <c r="C11" s="52"/>
      <c r="D11" s="53"/>
      <c r="E11" s="53"/>
      <c r="F11" s="53"/>
      <c r="G11" s="53"/>
      <c r="H11" s="53"/>
      <c r="I11" s="52"/>
      <c r="J11" s="54"/>
      <c r="K11" s="54"/>
      <c r="L11" s="52"/>
      <c r="M11" s="52"/>
      <c r="N11" s="54"/>
      <c r="O11" s="54"/>
      <c r="P11" s="54"/>
      <c r="Q11" s="52"/>
      <c r="R11" s="52"/>
      <c r="AF11" s="105"/>
    </row>
    <row r="12" spans="1:32" ht="15.75">
      <c r="A12" s="56"/>
      <c r="B12" s="57"/>
      <c r="C12" s="57"/>
      <c r="D12" s="57"/>
      <c r="E12" s="57"/>
      <c r="F12" s="57"/>
      <c r="G12" s="57"/>
      <c r="H12" s="57"/>
      <c r="I12" s="57"/>
      <c r="J12" s="58"/>
      <c r="K12" s="58"/>
      <c r="L12" s="57"/>
      <c r="M12" s="57"/>
      <c r="N12" s="58"/>
      <c r="O12" s="58"/>
      <c r="P12" s="58"/>
      <c r="Q12" s="57"/>
      <c r="R12" s="57"/>
      <c r="S12" s="92"/>
      <c r="AF12" s="105"/>
    </row>
    <row r="13" spans="1:32" ht="15.75">
      <c r="A13" s="56"/>
      <c r="B13" s="57"/>
      <c r="C13" s="3" t="s">
        <v>3</v>
      </c>
      <c r="D13" s="221" t="s">
        <v>4</v>
      </c>
      <c r="E13" s="203"/>
      <c r="F13" s="203"/>
      <c r="G13" s="203"/>
      <c r="H13" s="204"/>
      <c r="I13" s="2"/>
      <c r="J13" s="58"/>
      <c r="K13" s="58"/>
      <c r="L13" s="57"/>
      <c r="M13" s="57"/>
      <c r="N13" s="58"/>
      <c r="O13" s="58"/>
      <c r="P13" s="58"/>
      <c r="Q13" s="57"/>
      <c r="R13" s="57"/>
      <c r="S13" s="92"/>
      <c r="AF13" s="105"/>
    </row>
    <row r="14" spans="1:32" ht="15.75">
      <c r="A14" s="56"/>
      <c r="B14" s="57"/>
      <c r="C14" s="3" t="s">
        <v>5</v>
      </c>
      <c r="D14" s="208" t="s">
        <v>6</v>
      </c>
      <c r="E14" s="203"/>
      <c r="F14" s="203"/>
      <c r="G14" s="203"/>
      <c r="H14" s="204"/>
      <c r="I14" s="59" t="s">
        <v>7</v>
      </c>
      <c r="J14" s="58"/>
      <c r="K14" s="58"/>
      <c r="L14" s="57"/>
      <c r="M14" s="57"/>
      <c r="N14" s="58"/>
      <c r="O14" s="58"/>
      <c r="P14" s="58"/>
      <c r="Q14" s="57"/>
      <c r="R14" s="57"/>
      <c r="S14" s="92"/>
      <c r="AF14" s="105"/>
    </row>
    <row r="15" spans="1:32" ht="15.75">
      <c r="A15" s="56"/>
      <c r="B15" s="57"/>
      <c r="C15" s="3" t="s">
        <v>8</v>
      </c>
      <c r="D15" s="208" t="s">
        <v>9</v>
      </c>
      <c r="E15" s="203"/>
      <c r="F15" s="203"/>
      <c r="G15" s="203"/>
      <c r="H15" s="204"/>
      <c r="I15" s="59" t="s">
        <v>7</v>
      </c>
      <c r="J15" s="58"/>
      <c r="K15" s="58"/>
      <c r="L15" s="57"/>
      <c r="M15" s="57"/>
      <c r="N15" s="58"/>
      <c r="O15" s="58"/>
      <c r="P15" s="58"/>
      <c r="Q15" s="57"/>
      <c r="R15" s="57"/>
      <c r="S15" s="92"/>
      <c r="AF15" s="105"/>
    </row>
    <row r="16" spans="1:32" ht="60">
      <c r="A16" s="56"/>
      <c r="B16" s="57"/>
      <c r="C16" s="3" t="s">
        <v>10</v>
      </c>
      <c r="D16" s="208" t="s">
        <v>11</v>
      </c>
      <c r="E16" s="203"/>
      <c r="F16" s="203"/>
      <c r="G16" s="203"/>
      <c r="H16" s="204"/>
      <c r="I16" s="4" t="s">
        <v>12</v>
      </c>
      <c r="J16" s="58"/>
      <c r="K16" s="58"/>
      <c r="L16" s="57"/>
      <c r="M16" s="57"/>
      <c r="N16" s="58"/>
      <c r="O16" s="58"/>
      <c r="P16" s="58"/>
      <c r="Q16" s="57"/>
      <c r="R16" s="57"/>
      <c r="S16" s="92"/>
      <c r="AF16" s="105"/>
    </row>
    <row r="17" spans="1:32" ht="15.75">
      <c r="A17" s="56"/>
      <c r="B17" s="57"/>
      <c r="C17" s="3" t="s">
        <v>13</v>
      </c>
      <c r="D17" s="208" t="s">
        <v>14</v>
      </c>
      <c r="E17" s="203"/>
      <c r="F17" s="203"/>
      <c r="G17" s="203"/>
      <c r="H17" s="204"/>
      <c r="I17" s="59" t="s">
        <v>7</v>
      </c>
      <c r="J17" s="58"/>
      <c r="K17" s="58"/>
      <c r="L17" s="57"/>
      <c r="M17" s="57"/>
      <c r="N17" s="58"/>
      <c r="O17" s="58"/>
      <c r="P17" s="58"/>
      <c r="Q17" s="57"/>
      <c r="R17" s="57"/>
      <c r="S17" s="92"/>
      <c r="AF17" s="105"/>
    </row>
    <row r="18" spans="1:32" ht="15.75">
      <c r="A18" s="60"/>
      <c r="B18" s="60"/>
      <c r="C18" s="3" t="s">
        <v>15</v>
      </c>
      <c r="D18" s="208" t="s">
        <v>16</v>
      </c>
      <c r="E18" s="203"/>
      <c r="F18" s="203"/>
      <c r="G18" s="203"/>
      <c r="H18" s="204"/>
      <c r="I18" s="59" t="s">
        <v>7</v>
      </c>
      <c r="J18" s="58"/>
      <c r="K18" s="58"/>
      <c r="L18" s="57"/>
      <c r="M18" s="57"/>
      <c r="N18" s="58"/>
      <c r="O18" s="58"/>
      <c r="P18" s="58"/>
      <c r="Q18" s="57"/>
      <c r="R18" s="57"/>
      <c r="S18" s="92"/>
      <c r="AF18" s="105"/>
    </row>
    <row r="19" spans="1:32" ht="15.75" hidden="1">
      <c r="A19" s="61"/>
      <c r="B19" s="62"/>
      <c r="C19" s="3" t="s">
        <v>17</v>
      </c>
      <c r="D19" s="208"/>
      <c r="E19" s="203"/>
      <c r="F19" s="203"/>
      <c r="G19" s="203"/>
      <c r="H19" s="204"/>
      <c r="I19" s="2"/>
      <c r="J19" s="58"/>
      <c r="K19" s="58"/>
      <c r="L19" s="57"/>
      <c r="M19" s="57"/>
      <c r="N19" s="58"/>
      <c r="O19" s="58"/>
      <c r="P19" s="58"/>
      <c r="Q19" s="57"/>
      <c r="R19" s="57"/>
      <c r="S19" s="92"/>
      <c r="AF19" s="105"/>
    </row>
    <row r="20" spans="1:32" ht="15.75">
      <c r="C20" s="3" t="s">
        <v>17</v>
      </c>
      <c r="D20" s="208" t="s">
        <v>18</v>
      </c>
      <c r="E20" s="203"/>
      <c r="F20" s="203"/>
      <c r="G20" s="203"/>
      <c r="H20" s="204"/>
      <c r="I20" s="59" t="s">
        <v>7</v>
      </c>
      <c r="J20" s="58"/>
      <c r="K20" s="58"/>
      <c r="L20" s="57"/>
      <c r="M20" s="57"/>
      <c r="N20" s="58"/>
      <c r="O20" s="58"/>
      <c r="P20" s="58"/>
      <c r="Q20" s="57"/>
      <c r="R20" s="57"/>
      <c r="S20" s="92"/>
      <c r="AF20" s="105"/>
    </row>
    <row r="21" spans="1:32" ht="15.75">
      <c r="A21" s="5"/>
      <c r="B21" s="215" t="s">
        <v>19</v>
      </c>
      <c r="C21" s="3" t="s">
        <v>20</v>
      </c>
      <c r="D21" s="208" t="s">
        <v>21</v>
      </c>
      <c r="E21" s="203"/>
      <c r="F21" s="203"/>
      <c r="G21" s="203"/>
      <c r="H21" s="204"/>
      <c r="I21" s="59" t="s">
        <v>7</v>
      </c>
      <c r="K21" s="58"/>
      <c r="L21" s="57"/>
      <c r="M21" s="57"/>
      <c r="N21" s="58"/>
      <c r="O21" s="58"/>
      <c r="P21" s="58"/>
      <c r="Q21" s="57"/>
      <c r="R21" s="57"/>
      <c r="S21" s="92"/>
      <c r="AF21" s="105"/>
    </row>
    <row r="22" spans="1:32" ht="15.75">
      <c r="A22" s="5"/>
      <c r="B22" s="216"/>
      <c r="C22" s="3" t="s">
        <v>22</v>
      </c>
      <c r="D22" s="208" t="s">
        <v>23</v>
      </c>
      <c r="E22" s="203"/>
      <c r="F22" s="203"/>
      <c r="G22" s="203"/>
      <c r="H22" s="204"/>
      <c r="I22" s="59" t="s">
        <v>7</v>
      </c>
      <c r="J22" s="58"/>
      <c r="K22" s="58"/>
      <c r="L22" s="57"/>
      <c r="M22" s="57"/>
      <c r="N22" s="58"/>
      <c r="O22" s="58"/>
      <c r="P22" s="58"/>
      <c r="Q22" s="57"/>
      <c r="R22" s="57"/>
      <c r="S22" s="92"/>
      <c r="AF22" s="105"/>
    </row>
    <row r="23" spans="1:32" ht="15.75">
      <c r="A23" s="6"/>
      <c r="B23" s="217" t="s">
        <v>24</v>
      </c>
      <c r="C23" s="3" t="s">
        <v>25</v>
      </c>
      <c r="D23" s="208" t="s">
        <v>383</v>
      </c>
      <c r="E23" s="203"/>
      <c r="F23" s="203"/>
      <c r="G23" s="203"/>
      <c r="H23" s="204"/>
      <c r="I23" s="59" t="s">
        <v>7</v>
      </c>
      <c r="J23" s="58"/>
      <c r="K23" s="58"/>
      <c r="L23" s="57"/>
      <c r="M23" s="57"/>
      <c r="N23" s="58"/>
      <c r="O23" s="58"/>
      <c r="P23" s="58"/>
      <c r="Q23" s="57"/>
      <c r="R23" s="57"/>
      <c r="S23" s="92"/>
      <c r="AF23" s="105"/>
    </row>
    <row r="24" spans="1:32" ht="31.5">
      <c r="A24" s="6"/>
      <c r="B24" s="218"/>
      <c r="C24" s="3" t="s">
        <v>27</v>
      </c>
      <c r="D24" s="208" t="s">
        <v>384</v>
      </c>
      <c r="E24" s="203"/>
      <c r="F24" s="203"/>
      <c r="G24" s="203"/>
      <c r="H24" s="204"/>
      <c r="I24" s="59" t="s">
        <v>7</v>
      </c>
      <c r="J24" s="58"/>
      <c r="K24" s="58"/>
      <c r="L24" s="57"/>
      <c r="M24" s="57"/>
      <c r="N24" s="58"/>
      <c r="O24" s="58"/>
      <c r="P24" s="58"/>
      <c r="Q24" s="57"/>
      <c r="R24" s="57"/>
      <c r="S24" s="92"/>
      <c r="AF24" s="105"/>
    </row>
    <row r="25" spans="1:32" ht="15.75">
      <c r="A25" s="6"/>
      <c r="B25" s="217" t="s">
        <v>29</v>
      </c>
      <c r="C25" s="3" t="s">
        <v>30</v>
      </c>
      <c r="D25" s="208" t="s">
        <v>385</v>
      </c>
      <c r="E25" s="203"/>
      <c r="F25" s="203"/>
      <c r="G25" s="203"/>
      <c r="H25" s="204"/>
      <c r="I25" s="59" t="s">
        <v>7</v>
      </c>
      <c r="J25" s="58"/>
      <c r="K25" s="58"/>
      <c r="L25" s="57"/>
      <c r="M25" s="57"/>
      <c r="N25" s="58"/>
      <c r="O25" s="58"/>
      <c r="P25" s="58"/>
      <c r="Q25" s="57"/>
      <c r="R25" s="57"/>
      <c r="S25" s="92"/>
      <c r="AF25" s="105"/>
    </row>
    <row r="26" spans="1:32" ht="15.75">
      <c r="A26" s="6"/>
      <c r="B26" s="216"/>
      <c r="C26" s="3" t="s">
        <v>32</v>
      </c>
      <c r="D26" s="208" t="s">
        <v>386</v>
      </c>
      <c r="E26" s="203"/>
      <c r="F26" s="203"/>
      <c r="G26" s="203"/>
      <c r="H26" s="204"/>
      <c r="I26" s="59" t="s">
        <v>7</v>
      </c>
      <c r="J26" s="58"/>
      <c r="K26" s="58"/>
      <c r="L26" s="57"/>
      <c r="M26" s="57"/>
      <c r="N26" s="58"/>
      <c r="O26" s="58"/>
      <c r="P26" s="58"/>
      <c r="Q26" s="57"/>
      <c r="R26" s="57"/>
      <c r="S26" s="92"/>
      <c r="AF26" s="105"/>
    </row>
    <row r="27" spans="1:32" ht="15.75">
      <c r="A27" s="6"/>
      <c r="B27" s="216"/>
      <c r="C27" s="3" t="s">
        <v>34</v>
      </c>
      <c r="D27" s="208" t="s">
        <v>387</v>
      </c>
      <c r="E27" s="203"/>
      <c r="F27" s="203"/>
      <c r="G27" s="203"/>
      <c r="H27" s="204"/>
      <c r="I27" s="59" t="s">
        <v>7</v>
      </c>
      <c r="J27" s="58"/>
      <c r="K27" s="58"/>
      <c r="L27" s="57"/>
      <c r="M27" s="57"/>
      <c r="N27" s="58"/>
      <c r="O27" s="58"/>
      <c r="P27" s="58"/>
      <c r="Q27" s="57"/>
      <c r="R27" s="57"/>
      <c r="S27" s="92"/>
      <c r="AF27" s="105"/>
    </row>
    <row r="28" spans="1:32" ht="16.5">
      <c r="A28" s="6"/>
      <c r="B28" s="216"/>
      <c r="C28" s="3" t="s">
        <v>36</v>
      </c>
      <c r="D28" s="222" t="s">
        <v>388</v>
      </c>
      <c r="E28" s="203"/>
      <c r="F28" s="203"/>
      <c r="G28" s="203"/>
      <c r="H28" s="204"/>
      <c r="I28" s="57"/>
      <c r="J28" s="58"/>
      <c r="K28" s="58"/>
      <c r="L28" s="57"/>
      <c r="M28" s="57"/>
      <c r="N28" s="58"/>
      <c r="O28" s="63"/>
      <c r="P28" s="63"/>
      <c r="Q28" s="57"/>
      <c r="R28" s="57"/>
      <c r="S28" s="92"/>
      <c r="AF28" s="105"/>
    </row>
    <row r="29" spans="1:32" ht="31.5">
      <c r="A29" s="60"/>
      <c r="B29" s="60"/>
      <c r="C29" s="3" t="s">
        <v>38</v>
      </c>
      <c r="D29" s="209" t="s">
        <v>39</v>
      </c>
      <c r="E29" s="203"/>
      <c r="F29" s="203"/>
      <c r="G29" s="203"/>
      <c r="H29" s="203"/>
      <c r="I29" s="57"/>
      <c r="J29" s="58"/>
      <c r="K29" s="58"/>
      <c r="L29" s="57"/>
      <c r="M29" s="57"/>
      <c r="N29" s="58"/>
      <c r="O29" s="63"/>
      <c r="P29" s="63"/>
      <c r="Q29" s="57"/>
      <c r="R29" s="57"/>
      <c r="S29" s="92"/>
      <c r="AF29" s="105"/>
    </row>
    <row r="30" spans="1:32" ht="15.75">
      <c r="A30" s="60"/>
      <c r="B30" s="60"/>
      <c r="C30" s="7" t="s">
        <v>40</v>
      </c>
      <c r="D30" s="211"/>
      <c r="E30" s="203"/>
      <c r="F30" s="203"/>
      <c r="G30" s="203"/>
      <c r="H30" s="204"/>
      <c r="I30" s="2"/>
      <c r="J30" s="58"/>
      <c r="K30" s="58"/>
      <c r="L30" s="57"/>
      <c r="M30" s="57"/>
      <c r="N30" s="58"/>
      <c r="O30" s="58"/>
      <c r="P30" s="58"/>
      <c r="Q30" s="57"/>
      <c r="R30" s="57"/>
      <c r="S30" s="92"/>
      <c r="AF30" s="105"/>
    </row>
    <row r="31" spans="1:32" ht="15.75">
      <c r="A31" s="56"/>
      <c r="B31" s="57"/>
      <c r="C31" s="57"/>
      <c r="D31" s="8"/>
      <c r="E31" s="8"/>
      <c r="F31" s="8"/>
      <c r="G31" s="8"/>
      <c r="H31" s="8"/>
      <c r="I31" s="9"/>
      <c r="J31" s="9"/>
      <c r="K31" s="9"/>
      <c r="L31" s="9"/>
      <c r="M31" s="9"/>
      <c r="N31" s="9"/>
      <c r="O31" s="9"/>
      <c r="P31" s="9"/>
      <c r="Q31" s="9"/>
      <c r="R31" s="9"/>
      <c r="S31" s="92"/>
      <c r="AF31" s="105"/>
    </row>
    <row r="32" spans="1:32" ht="63">
      <c r="A32" s="64"/>
      <c r="B32" s="65" t="s">
        <v>42</v>
      </c>
      <c r="C32" s="10" t="s">
        <v>43</v>
      </c>
      <c r="D32" s="7" t="s">
        <v>44</v>
      </c>
      <c r="E32" s="7" t="s">
        <v>45</v>
      </c>
      <c r="F32" s="7" t="s">
        <v>46</v>
      </c>
      <c r="G32" s="7" t="s">
        <v>47</v>
      </c>
      <c r="H32" s="7" t="s">
        <v>48</v>
      </c>
      <c r="I32" s="7" t="s">
        <v>49</v>
      </c>
      <c r="J32" s="11" t="s">
        <v>50</v>
      </c>
      <c r="K32" s="11" t="s">
        <v>51</v>
      </c>
      <c r="L32" s="7" t="s">
        <v>52</v>
      </c>
      <c r="M32" s="7" t="s">
        <v>53</v>
      </c>
      <c r="N32" s="11" t="s">
        <v>54</v>
      </c>
      <c r="O32" s="11" t="s">
        <v>55</v>
      </c>
      <c r="P32" s="11" t="s">
        <v>56</v>
      </c>
      <c r="Q32" s="7" t="s">
        <v>57</v>
      </c>
      <c r="R32" s="7" t="s">
        <v>58</v>
      </c>
      <c r="S32" s="106" t="s">
        <v>59</v>
      </c>
      <c r="T32" s="107" t="s">
        <v>60</v>
      </c>
      <c r="U32" s="107" t="s">
        <v>61</v>
      </c>
      <c r="V32" s="107" t="s">
        <v>62</v>
      </c>
      <c r="W32" s="107" t="s">
        <v>63</v>
      </c>
      <c r="X32" s="107" t="s">
        <v>64</v>
      </c>
      <c r="Y32" s="107" t="s">
        <v>65</v>
      </c>
      <c r="Z32" s="107" t="s">
        <v>66</v>
      </c>
      <c r="AA32" s="107" t="s">
        <v>67</v>
      </c>
      <c r="AB32" s="107" t="s">
        <v>68</v>
      </c>
      <c r="AC32" s="107" t="s">
        <v>69</v>
      </c>
      <c r="AD32" s="107" t="s">
        <v>70</v>
      </c>
      <c r="AE32" s="108" t="s">
        <v>71</v>
      </c>
      <c r="AF32" s="118" t="s">
        <v>72</v>
      </c>
    </row>
    <row r="33" spans="1:32" ht="356.25">
      <c r="B33" s="57"/>
      <c r="C33" s="3" t="s">
        <v>74</v>
      </c>
      <c r="D33" s="12" t="s">
        <v>75</v>
      </c>
      <c r="E33" s="12" t="s">
        <v>76</v>
      </c>
      <c r="F33" s="12" t="s">
        <v>77</v>
      </c>
      <c r="G33" s="13" t="s">
        <v>78</v>
      </c>
      <c r="H33" s="13" t="s">
        <v>79</v>
      </c>
      <c r="I33" s="12" t="s">
        <v>80</v>
      </c>
      <c r="J33" s="14" t="s">
        <v>81</v>
      </c>
      <c r="K33" s="14" t="s">
        <v>82</v>
      </c>
      <c r="L33" s="13" t="s">
        <v>83</v>
      </c>
      <c r="M33" s="13" t="s">
        <v>338</v>
      </c>
      <c r="N33" s="15" t="s">
        <v>85</v>
      </c>
      <c r="O33" s="109">
        <f>(SUMIFS(O35:O60,A35:A60,"FIN"))+SUMIFS(O35:O60,A35:A60,"FIN/PROPÓSITO")</f>
        <v>37731</v>
      </c>
      <c r="P33" s="17"/>
      <c r="Q33" s="12" t="s">
        <v>86</v>
      </c>
      <c r="R33" s="12" t="s">
        <v>87</v>
      </c>
      <c r="S33" s="223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110">
        <v>16689</v>
      </c>
      <c r="AF33" s="119"/>
    </row>
    <row r="34" spans="1:32" ht="199.5">
      <c r="B34" s="67" t="s">
        <v>7</v>
      </c>
      <c r="C34" s="3" t="s">
        <v>88</v>
      </c>
      <c r="D34" s="12" t="s">
        <v>89</v>
      </c>
      <c r="E34" s="12" t="s">
        <v>90</v>
      </c>
      <c r="F34" s="12" t="s">
        <v>91</v>
      </c>
      <c r="G34" s="13" t="s">
        <v>92</v>
      </c>
      <c r="H34" s="13" t="s">
        <v>79</v>
      </c>
      <c r="I34" s="12" t="s">
        <v>93</v>
      </c>
      <c r="J34" s="18" t="s">
        <v>94</v>
      </c>
      <c r="K34" s="19" t="s">
        <v>95</v>
      </c>
      <c r="L34" s="13" t="s">
        <v>83</v>
      </c>
      <c r="M34" s="13" t="s">
        <v>338</v>
      </c>
      <c r="N34" s="15" t="s">
        <v>85</v>
      </c>
      <c r="O34" s="109">
        <f>(SUMIFS(O35:O60,A35:A60,"PROPÓSITO"))+SUMIFS(O35:O60,A35:A60,"FIN/PROPÓSITO")</f>
        <v>1503807</v>
      </c>
      <c r="P34" s="17"/>
      <c r="Q34" s="12" t="s">
        <v>96</v>
      </c>
      <c r="R34" s="12" t="s">
        <v>97</v>
      </c>
      <c r="S34" s="223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68">
        <v>115202</v>
      </c>
      <c r="AF34" s="119"/>
    </row>
    <row r="35" spans="1:32" ht="199.5">
      <c r="B35" s="70" t="s">
        <v>98</v>
      </c>
      <c r="C35" s="20" t="s">
        <v>99</v>
      </c>
      <c r="D35" s="12" t="s">
        <v>100</v>
      </c>
      <c r="E35" s="12" t="s">
        <v>389</v>
      </c>
      <c r="F35" s="12" t="s">
        <v>390</v>
      </c>
      <c r="G35" s="12" t="s">
        <v>103</v>
      </c>
      <c r="H35" s="12" t="s">
        <v>79</v>
      </c>
      <c r="I35" s="12" t="s">
        <v>391</v>
      </c>
      <c r="J35" s="14" t="s">
        <v>392</v>
      </c>
      <c r="K35" s="14">
        <v>9</v>
      </c>
      <c r="L35" s="12" t="s">
        <v>107</v>
      </c>
      <c r="M35" s="12" t="s">
        <v>84</v>
      </c>
      <c r="N35" s="12" t="s">
        <v>85</v>
      </c>
      <c r="O35" s="111">
        <v>0.9</v>
      </c>
      <c r="P35" s="17"/>
      <c r="Q35" s="12" t="s">
        <v>86</v>
      </c>
      <c r="R35" s="12" t="s">
        <v>108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21"/>
      <c r="AF35" s="120"/>
    </row>
    <row r="36" spans="1:32" ht="156.75">
      <c r="A36" s="121" t="s">
        <v>74</v>
      </c>
      <c r="B36" s="122"/>
      <c r="C36" s="123" t="s">
        <v>109</v>
      </c>
      <c r="D36" s="124" t="s">
        <v>110</v>
      </c>
      <c r="E36" s="125" t="s">
        <v>111</v>
      </c>
      <c r="F36" s="124" t="s">
        <v>112</v>
      </c>
      <c r="G36" s="126" t="s">
        <v>103</v>
      </c>
      <c r="H36" s="126" t="s">
        <v>113</v>
      </c>
      <c r="I36" s="125" t="s">
        <v>114</v>
      </c>
      <c r="J36" s="127" t="s">
        <v>115</v>
      </c>
      <c r="K36" s="128" t="s">
        <v>116</v>
      </c>
      <c r="L36" s="124" t="s">
        <v>107</v>
      </c>
      <c r="M36" s="129" t="s">
        <v>84</v>
      </c>
      <c r="N36" s="124">
        <v>517</v>
      </c>
      <c r="O36" s="124">
        <v>7450</v>
      </c>
      <c r="P36" s="130"/>
      <c r="Q36" s="131" t="s">
        <v>117</v>
      </c>
      <c r="R36" s="124" t="s">
        <v>118</v>
      </c>
      <c r="S36" s="124">
        <f ca="1">IFERROR(__xludf.DUMMYFUNCTION("ARRAYFORMULA( VALUE( QUERY((importrange(""1HfDWOOQtW2DmR4T-abQKe-72fB53-8dilSd0l7oSiPQ"",""TOTALES!E2:P3"")),""Select*"",1)))"),0)</f>
        <v>0</v>
      </c>
      <c r="T36" s="124">
        <f ca="1">IFERROR(__xludf.DUMMYFUNCTION("""COMPUTED_VALUE"""),6)</f>
        <v>6</v>
      </c>
      <c r="U36" s="124">
        <f ca="1">IFERROR(__xludf.DUMMYFUNCTION("""COMPUTED_VALUE"""),457)</f>
        <v>457</v>
      </c>
      <c r="V36" s="124">
        <f ca="1">IFERROR(__xludf.DUMMYFUNCTION("""COMPUTED_VALUE"""),1019)</f>
        <v>1019</v>
      </c>
      <c r="W36" s="124">
        <f ca="1">IFERROR(__xludf.DUMMYFUNCTION("""COMPUTED_VALUE"""),729)</f>
        <v>729</v>
      </c>
      <c r="X36" s="124">
        <f ca="1">IFERROR(__xludf.DUMMYFUNCTION("""COMPUTED_VALUE"""),352)</f>
        <v>352</v>
      </c>
      <c r="Y36" s="124">
        <f ca="1">IFERROR(__xludf.DUMMYFUNCTION("""COMPUTED_VALUE"""),1087)</f>
        <v>1087</v>
      </c>
      <c r="Z36" s="124">
        <f ca="1">IFERROR(__xludf.DUMMYFUNCTION("""COMPUTED_VALUE"""),796)</f>
        <v>796</v>
      </c>
      <c r="AA36" s="124">
        <f ca="1">IFERROR(__xludf.DUMMYFUNCTION("""COMPUTED_VALUE"""),739)</f>
        <v>739</v>
      </c>
      <c r="AB36" s="124">
        <f ca="1">IFERROR(__xludf.DUMMYFUNCTION("""COMPUTED_VALUE"""),785)</f>
        <v>785</v>
      </c>
      <c r="AC36" s="124">
        <f ca="1">IFERROR(__xludf.DUMMYFUNCTION("""COMPUTED_VALUE"""),528)</f>
        <v>528</v>
      </c>
      <c r="AD36" s="124">
        <f ca="1">IFERROR(__xludf.DUMMYFUNCTION("""COMPUTED_VALUE"""),1240)</f>
        <v>1240</v>
      </c>
      <c r="AE36" s="132">
        <f t="shared" ref="AE36:AE60" ca="1" si="0">SUM(S36:U36)</f>
        <v>463</v>
      </c>
      <c r="AF36" s="120">
        <f ca="1">AE36/O36</f>
        <v>6.2147651006711407E-2</v>
      </c>
    </row>
    <row r="37" spans="1:32" ht="142.5">
      <c r="A37" s="74" t="s">
        <v>88</v>
      </c>
      <c r="B37" s="73"/>
      <c r="C37" s="22" t="s">
        <v>119</v>
      </c>
      <c r="D37" s="12" t="s">
        <v>120</v>
      </c>
      <c r="E37" s="12" t="s">
        <v>121</v>
      </c>
      <c r="F37" s="12" t="s">
        <v>122</v>
      </c>
      <c r="G37" s="24" t="s">
        <v>103</v>
      </c>
      <c r="H37" s="24" t="s">
        <v>113</v>
      </c>
      <c r="I37" s="12" t="s">
        <v>123</v>
      </c>
      <c r="J37" s="25" t="s">
        <v>124</v>
      </c>
      <c r="K37" s="14" t="s">
        <v>125</v>
      </c>
      <c r="L37" s="12" t="s">
        <v>107</v>
      </c>
      <c r="M37" s="28" t="s">
        <v>84</v>
      </c>
      <c r="N37" s="12">
        <v>925</v>
      </c>
      <c r="O37" s="35">
        <v>640</v>
      </c>
      <c r="P37" s="27"/>
      <c r="Q37" s="12" t="s">
        <v>126</v>
      </c>
      <c r="R37" s="12" t="s">
        <v>127</v>
      </c>
      <c r="S37" s="12">
        <f ca="1">IFERROR(__xludf.DUMMYFUNCTION("""COMPUTED_VALUE"""),50)</f>
        <v>50</v>
      </c>
      <c r="T37" s="12">
        <f ca="1">IFERROR(__xludf.DUMMYFUNCTION("""COMPUTED_VALUE"""),48)</f>
        <v>48</v>
      </c>
      <c r="U37" s="12">
        <f ca="1">IFERROR(__xludf.DUMMYFUNCTION("""COMPUTED_VALUE"""),55)</f>
        <v>55</v>
      </c>
      <c r="V37" s="12">
        <f ca="1">IFERROR(__xludf.DUMMYFUNCTION("""COMPUTED_VALUE"""),13)</f>
        <v>13</v>
      </c>
      <c r="W37" s="12">
        <f ca="1">IFERROR(__xludf.DUMMYFUNCTION("""COMPUTED_VALUE"""),46)</f>
        <v>46</v>
      </c>
      <c r="X37" s="12">
        <f ca="1">IFERROR(__xludf.DUMMYFUNCTION("""COMPUTED_VALUE"""),44)</f>
        <v>44</v>
      </c>
      <c r="Y37" s="12">
        <f ca="1">IFERROR(__xludf.DUMMYFUNCTION("""COMPUTED_VALUE"""),715)</f>
        <v>715</v>
      </c>
      <c r="Z37" s="12">
        <f ca="1">IFERROR(__xludf.DUMMYFUNCTION("""COMPUTED_VALUE"""),77)</f>
        <v>77</v>
      </c>
      <c r="AA37" s="12">
        <f ca="1">IFERROR(__xludf.DUMMYFUNCTION("""COMPUTED_VALUE"""),432)</f>
        <v>432</v>
      </c>
      <c r="AB37" s="12">
        <f ca="1">IFERROR(__xludf.DUMMYFUNCTION("""COMPUTED_VALUE"""),125)</f>
        <v>125</v>
      </c>
      <c r="AC37" s="12">
        <f ca="1">IFERROR(__xludf.DUMMYFUNCTION("""COMPUTED_VALUE"""),118)</f>
        <v>118</v>
      </c>
      <c r="AD37" s="12">
        <f ca="1">IFERROR(__xludf.DUMMYFUNCTION("""COMPUTED_VALUE"""),86)</f>
        <v>86</v>
      </c>
      <c r="AE37" s="21">
        <f t="shared" ca="1" si="0"/>
        <v>153</v>
      </c>
      <c r="AF37" s="120"/>
    </row>
    <row r="38" spans="1:32" ht="114">
      <c r="A38" s="133" t="s">
        <v>128</v>
      </c>
      <c r="B38" s="122"/>
      <c r="C38" s="123" t="s">
        <v>129</v>
      </c>
      <c r="D38" s="124" t="s">
        <v>130</v>
      </c>
      <c r="E38" s="124" t="s">
        <v>131</v>
      </c>
      <c r="F38" s="124" t="s">
        <v>132</v>
      </c>
      <c r="G38" s="126" t="s">
        <v>103</v>
      </c>
      <c r="H38" s="126" t="s">
        <v>113</v>
      </c>
      <c r="I38" s="125" t="s">
        <v>133</v>
      </c>
      <c r="J38" s="134" t="s">
        <v>134</v>
      </c>
      <c r="K38" s="134" t="s">
        <v>135</v>
      </c>
      <c r="L38" s="124" t="s">
        <v>107</v>
      </c>
      <c r="M38" s="135" t="s">
        <v>84</v>
      </c>
      <c r="N38" s="124">
        <v>10405</v>
      </c>
      <c r="O38" s="136">
        <v>5000</v>
      </c>
      <c r="P38" s="130"/>
      <c r="Q38" s="124" t="s">
        <v>136</v>
      </c>
      <c r="R38" s="124" t="s">
        <v>137</v>
      </c>
      <c r="S38" s="124">
        <f ca="1">IFERROR(__xludf.DUMMYFUNCTION("ARRAYFORMULA(VALUE( QUERY((importrange(""183F2AksfiZ8wFAC_Zhgx5YEVRtSTOaCQywT9_8D0DU8"",""TOTALES!E2:P2"")),""Select*"",1)))"),1086)</f>
        <v>1086</v>
      </c>
      <c r="T38" s="124">
        <f ca="1">IFERROR(__xludf.DUMMYFUNCTION("""COMPUTED_VALUE"""),1126)</f>
        <v>1126</v>
      </c>
      <c r="U38" s="124">
        <f ca="1">IFERROR(__xludf.DUMMYFUNCTION("""COMPUTED_VALUE"""),1236)</f>
        <v>1236</v>
      </c>
      <c r="V38" s="124">
        <f ca="1">IFERROR(__xludf.DUMMYFUNCTION("""COMPUTED_VALUE"""),667)</f>
        <v>667</v>
      </c>
      <c r="W38" s="124">
        <f ca="1">IFERROR(__xludf.DUMMYFUNCTION("""COMPUTED_VALUE"""),916)</f>
        <v>916</v>
      </c>
      <c r="X38" s="124">
        <f ca="1">IFERROR(__xludf.DUMMYFUNCTION("""COMPUTED_VALUE"""),981)</f>
        <v>981</v>
      </c>
      <c r="Y38" s="124">
        <f ca="1">IFERROR(__xludf.DUMMYFUNCTION("""COMPUTED_VALUE"""),966)</f>
        <v>966</v>
      </c>
      <c r="Z38" s="124">
        <f ca="1">IFERROR(__xludf.DUMMYFUNCTION("""COMPUTED_VALUE"""),933)</f>
        <v>933</v>
      </c>
      <c r="AA38" s="124">
        <f ca="1">IFERROR(__xludf.DUMMYFUNCTION("""COMPUTED_VALUE"""),1132)</f>
        <v>1132</v>
      </c>
      <c r="AB38" s="124">
        <f ca="1">IFERROR(__xludf.DUMMYFUNCTION("""COMPUTED_VALUE"""),1108)</f>
        <v>1108</v>
      </c>
      <c r="AC38" s="124">
        <f ca="1">IFERROR(__xludf.DUMMYFUNCTION("""COMPUTED_VALUE"""),1054)</f>
        <v>1054</v>
      </c>
      <c r="AD38" s="124">
        <f ca="1">IFERROR(__xludf.DUMMYFUNCTION("""COMPUTED_VALUE"""),450)</f>
        <v>450</v>
      </c>
      <c r="AE38" s="132">
        <f t="shared" ca="1" si="0"/>
        <v>3448</v>
      </c>
      <c r="AF38" s="120">
        <f t="shared" ref="AF38:AF39" ca="1" si="1">AE38/O38</f>
        <v>0.68959999999999999</v>
      </c>
    </row>
    <row r="39" spans="1:32" ht="199.5">
      <c r="A39" s="137" t="s">
        <v>74</v>
      </c>
      <c r="B39" s="138"/>
      <c r="C39" s="139" t="s">
        <v>138</v>
      </c>
      <c r="D39" s="12" t="s">
        <v>139</v>
      </c>
      <c r="E39" s="12" t="s">
        <v>140</v>
      </c>
      <c r="F39" s="12" t="s">
        <v>141</v>
      </c>
      <c r="G39" s="24" t="s">
        <v>103</v>
      </c>
      <c r="H39" s="24" t="s">
        <v>113</v>
      </c>
      <c r="I39" s="23" t="s">
        <v>142</v>
      </c>
      <c r="J39" s="19" t="s">
        <v>143</v>
      </c>
      <c r="K39" s="19" t="s">
        <v>144</v>
      </c>
      <c r="L39" s="12" t="s">
        <v>107</v>
      </c>
      <c r="M39" s="28" t="s">
        <v>84</v>
      </c>
      <c r="N39" s="33">
        <v>9826</v>
      </c>
      <c r="O39" s="33">
        <v>8791</v>
      </c>
      <c r="P39" s="17"/>
      <c r="Q39" s="23" t="s">
        <v>117</v>
      </c>
      <c r="R39" s="12" t="s">
        <v>145</v>
      </c>
      <c r="S39" s="12">
        <f ca="1">IFERROR(__xludf.DUMMYFUNCTION("ARRAYFORMULA(VALUE(QUERY((importrange(""19FdkI7aaBMumczpCHOxlMxTmd_2Wbxy3XvDOYImbjW8"",""TOTALES!E2:P5"")),""Select*"",1)))"),0)</f>
        <v>0</v>
      </c>
      <c r="T39" s="12">
        <f ca="1">IFERROR(__xludf.DUMMYFUNCTION("""COMPUTED_VALUE"""),0)</f>
        <v>0</v>
      </c>
      <c r="U39" s="12">
        <f ca="1">IFERROR(__xludf.DUMMYFUNCTION("""COMPUTED_VALUE"""),2526)</f>
        <v>2526</v>
      </c>
      <c r="V39" s="12">
        <f ca="1">IFERROR(__xludf.DUMMYFUNCTION("""COMPUTED_VALUE"""),6265)</f>
        <v>6265</v>
      </c>
      <c r="W39" s="12">
        <f ca="1">IFERROR(__xludf.DUMMYFUNCTION("""COMPUTED_VALUE"""),0)</f>
        <v>0</v>
      </c>
      <c r="X39" s="12">
        <f ca="1">IFERROR(__xludf.DUMMYFUNCTION("""COMPUTED_VALUE"""),0)</f>
        <v>0</v>
      </c>
      <c r="Y39" s="12">
        <f ca="1">IFERROR(__xludf.DUMMYFUNCTION("""COMPUTED_VALUE"""),0)</f>
        <v>0</v>
      </c>
      <c r="Z39" s="12">
        <f ca="1">IFERROR(__xludf.DUMMYFUNCTION("""COMPUTED_VALUE"""),0)</f>
        <v>0</v>
      </c>
      <c r="AA39" s="12">
        <f ca="1">IFERROR(__xludf.DUMMYFUNCTION("""COMPUTED_VALUE"""),0)</f>
        <v>0</v>
      </c>
      <c r="AB39" s="12">
        <f ca="1">IFERROR(__xludf.DUMMYFUNCTION("""COMPUTED_VALUE"""),131)</f>
        <v>131</v>
      </c>
      <c r="AC39" s="12">
        <f ca="1">IFERROR(__xludf.DUMMYFUNCTION("""COMPUTED_VALUE"""),0)</f>
        <v>0</v>
      </c>
      <c r="AD39" s="12">
        <f ca="1">IFERROR(__xludf.DUMMYFUNCTION("""COMPUTED_VALUE"""),0)</f>
        <v>0</v>
      </c>
      <c r="AE39" s="21">
        <f t="shared" ca="1" si="0"/>
        <v>2526</v>
      </c>
      <c r="AF39" s="120">
        <f t="shared" ca="1" si="1"/>
        <v>0.28733932430895232</v>
      </c>
    </row>
    <row r="40" spans="1:32" ht="114">
      <c r="A40" s="133" t="s">
        <v>88</v>
      </c>
      <c r="B40" s="122"/>
      <c r="C40" s="123" t="s">
        <v>146</v>
      </c>
      <c r="D40" s="124" t="s">
        <v>147</v>
      </c>
      <c r="E40" s="124" t="s">
        <v>148</v>
      </c>
      <c r="F40" s="124" t="s">
        <v>149</v>
      </c>
      <c r="G40" s="126" t="s">
        <v>103</v>
      </c>
      <c r="H40" s="124" t="s">
        <v>113</v>
      </c>
      <c r="I40" s="125" t="s">
        <v>150</v>
      </c>
      <c r="J40" s="134" t="s">
        <v>151</v>
      </c>
      <c r="K40" s="134" t="s">
        <v>152</v>
      </c>
      <c r="L40" s="124" t="s">
        <v>107</v>
      </c>
      <c r="M40" s="140" t="s">
        <v>84</v>
      </c>
      <c r="N40" s="141">
        <v>1378450</v>
      </c>
      <c r="O40" s="136">
        <v>1190350</v>
      </c>
      <c r="P40" s="142"/>
      <c r="Q40" s="131" t="s">
        <v>153</v>
      </c>
      <c r="R40" s="124" t="s">
        <v>154</v>
      </c>
      <c r="S40" s="124">
        <f ca="1">IFERROR(__xludf.DUMMYFUNCTION("""COMPUTED_VALUE"""),0)</f>
        <v>0</v>
      </c>
      <c r="T40" s="124">
        <f ca="1">IFERROR(__xludf.DUMMYFUNCTION("""COMPUTED_VALUE"""),0)</f>
        <v>0</v>
      </c>
      <c r="U40" s="124">
        <f ca="1">IFERROR(__xludf.DUMMYFUNCTION("""COMPUTED_VALUE"""),0)</f>
        <v>0</v>
      </c>
      <c r="V40" s="124">
        <f ca="1">IFERROR(__xludf.DUMMYFUNCTION("""COMPUTED_VALUE"""),338310)</f>
        <v>338310</v>
      </c>
      <c r="W40" s="124">
        <f ca="1">IFERROR(__xludf.DUMMYFUNCTION("""COMPUTED_VALUE"""),175420)</f>
        <v>175420</v>
      </c>
      <c r="X40" s="124">
        <f ca="1">IFERROR(__xludf.DUMMYFUNCTION("""COMPUTED_VALUE"""),162890)</f>
        <v>162890</v>
      </c>
      <c r="Y40" s="124">
        <f ca="1">IFERROR(__xludf.DUMMYFUNCTION("""COMPUTED_VALUE"""),0)</f>
        <v>0</v>
      </c>
      <c r="Z40" s="124">
        <f ca="1">IFERROR(__xludf.DUMMYFUNCTION("""COMPUTED_VALUE"""),56385)</f>
        <v>56385</v>
      </c>
      <c r="AA40" s="124">
        <f ca="1">IFERROR(__xludf.DUMMYFUNCTION("""COMPUTED_VALUE"""),131565)</f>
        <v>131565</v>
      </c>
      <c r="AB40" s="124">
        <f ca="1">IFERROR(__xludf.DUMMYFUNCTION("""COMPUTED_VALUE"""),131565)</f>
        <v>131565</v>
      </c>
      <c r="AC40" s="124">
        <f ca="1">IFERROR(__xludf.DUMMYFUNCTION("""COMPUTED_VALUE"""),194215)</f>
        <v>194215</v>
      </c>
      <c r="AD40" s="124">
        <f ca="1">IFERROR(__xludf.DUMMYFUNCTION("""COMPUTED_VALUE"""),0)</f>
        <v>0</v>
      </c>
      <c r="AE40" s="132">
        <f t="shared" ca="1" si="0"/>
        <v>0</v>
      </c>
      <c r="AF40" s="143"/>
    </row>
    <row r="41" spans="1:32" ht="128.25">
      <c r="A41" s="74" t="s">
        <v>88</v>
      </c>
      <c r="B41" s="73"/>
      <c r="C41" s="22" t="s">
        <v>155</v>
      </c>
      <c r="D41" s="12" t="s">
        <v>156</v>
      </c>
      <c r="E41" s="12" t="s">
        <v>157</v>
      </c>
      <c r="F41" s="12" t="s">
        <v>158</v>
      </c>
      <c r="G41" s="24" t="s">
        <v>103</v>
      </c>
      <c r="H41" s="12" t="s">
        <v>113</v>
      </c>
      <c r="I41" s="23" t="s">
        <v>159</v>
      </c>
      <c r="J41" s="30" t="s">
        <v>151</v>
      </c>
      <c r="K41" s="30" t="s">
        <v>160</v>
      </c>
      <c r="L41" s="12" t="s">
        <v>107</v>
      </c>
      <c r="M41" s="34" t="s">
        <v>84</v>
      </c>
      <c r="N41" s="33">
        <v>26296</v>
      </c>
      <c r="O41" s="33">
        <v>26292</v>
      </c>
      <c r="P41" s="17"/>
      <c r="Q41" s="13" t="s">
        <v>153</v>
      </c>
      <c r="R41" s="12" t="s">
        <v>161</v>
      </c>
      <c r="S41" s="12">
        <f ca="1">IFERROR(__xludf.DUMMYFUNCTION("""COMPUTED_VALUE"""),0)</f>
        <v>0</v>
      </c>
      <c r="T41" s="12">
        <f ca="1">IFERROR(__xludf.DUMMYFUNCTION("""COMPUTED_VALUE"""),0)</f>
        <v>0</v>
      </c>
      <c r="U41" s="12">
        <f ca="1">IFERROR(__xludf.DUMMYFUNCTION("""COMPUTED_VALUE"""),6573)</f>
        <v>6573</v>
      </c>
      <c r="V41" s="12">
        <f ca="1">IFERROR(__xludf.DUMMYFUNCTION("""COMPUTED_VALUE"""),0)</f>
        <v>0</v>
      </c>
      <c r="W41" s="12">
        <f ca="1">IFERROR(__xludf.DUMMYFUNCTION("""COMPUTED_VALUE"""),4382)</f>
        <v>4382</v>
      </c>
      <c r="X41" s="12">
        <f ca="1">IFERROR(__xludf.DUMMYFUNCTION("""COMPUTED_VALUE"""),2191)</f>
        <v>2191</v>
      </c>
      <c r="Y41" s="12">
        <f ca="1">IFERROR(__xludf.DUMMYFUNCTION("""COMPUTED_VALUE"""),2322)</f>
        <v>2322</v>
      </c>
      <c r="Z41" s="12">
        <f ca="1">IFERROR(__xludf.DUMMYFUNCTION("""COMPUTED_VALUE"""),2322)</f>
        <v>2322</v>
      </c>
      <c r="AA41" s="12">
        <f ca="1">IFERROR(__xludf.DUMMYFUNCTION("""COMPUTED_VALUE"""),4644)</f>
        <v>4644</v>
      </c>
      <c r="AB41" s="12">
        <f ca="1">IFERROR(__xludf.DUMMYFUNCTION("""COMPUTED_VALUE"""),0)</f>
        <v>0</v>
      </c>
      <c r="AC41" s="12">
        <f ca="1">IFERROR(__xludf.DUMMYFUNCTION("""COMPUTED_VALUE"""),4644)</f>
        <v>4644</v>
      </c>
      <c r="AD41" s="12">
        <f ca="1">IFERROR(__xludf.DUMMYFUNCTION("""COMPUTED_VALUE"""),0)</f>
        <v>0</v>
      </c>
      <c r="AE41" s="21">
        <f t="shared" ca="1" si="0"/>
        <v>6573</v>
      </c>
      <c r="AF41" s="120"/>
    </row>
    <row r="42" spans="1:32" ht="156.75">
      <c r="A42" s="74" t="s">
        <v>88</v>
      </c>
      <c r="B42" s="73"/>
      <c r="C42" s="22" t="s">
        <v>162</v>
      </c>
      <c r="D42" s="12" t="s">
        <v>163</v>
      </c>
      <c r="E42" s="12" t="s">
        <v>164</v>
      </c>
      <c r="F42" s="12" t="s">
        <v>165</v>
      </c>
      <c r="G42" s="24" t="s">
        <v>103</v>
      </c>
      <c r="H42" s="12" t="s">
        <v>113</v>
      </c>
      <c r="I42" s="23" t="s">
        <v>150</v>
      </c>
      <c r="J42" s="30" t="s">
        <v>151</v>
      </c>
      <c r="K42" s="30" t="s">
        <v>152</v>
      </c>
      <c r="L42" s="12" t="s">
        <v>107</v>
      </c>
      <c r="M42" s="34" t="s">
        <v>84</v>
      </c>
      <c r="N42" s="35">
        <v>4560</v>
      </c>
      <c r="O42" s="33">
        <v>4020</v>
      </c>
      <c r="P42" s="17"/>
      <c r="Q42" s="13" t="s">
        <v>153</v>
      </c>
      <c r="R42" s="12" t="s">
        <v>166</v>
      </c>
      <c r="S42" s="12">
        <f ca="1">IFERROR(__xludf.DUMMYFUNCTION("""COMPUTED_VALUE"""),0)</f>
        <v>0</v>
      </c>
      <c r="T42" s="12">
        <f ca="1">IFERROR(__xludf.DUMMYFUNCTION("""COMPUTED_VALUE"""),0)</f>
        <v>0</v>
      </c>
      <c r="U42" s="12">
        <f ca="1">IFERROR(__xludf.DUMMYFUNCTION("""COMPUTED_VALUE"""),1005)</f>
        <v>1005</v>
      </c>
      <c r="V42" s="12">
        <f ca="1">IFERROR(__xludf.DUMMYFUNCTION("""COMPUTED_VALUE"""),0)</f>
        <v>0</v>
      </c>
      <c r="W42" s="12">
        <f ca="1">IFERROR(__xludf.DUMMYFUNCTION("""COMPUTED_VALUE"""),670)</f>
        <v>670</v>
      </c>
      <c r="X42" s="12">
        <f ca="1">IFERROR(__xludf.DUMMYFUNCTION("""COMPUTED_VALUE"""),335)</f>
        <v>335</v>
      </c>
      <c r="Y42" s="12">
        <f ca="1">IFERROR(__xludf.DUMMYFUNCTION("""COMPUTED_VALUE"""),335)</f>
        <v>335</v>
      </c>
      <c r="Z42" s="12">
        <f ca="1">IFERROR(__xludf.DUMMYFUNCTION("""COMPUTED_VALUE"""),335)</f>
        <v>335</v>
      </c>
      <c r="AA42" s="12">
        <f ca="1">IFERROR(__xludf.DUMMYFUNCTION("""COMPUTED_VALUE"""),670)</f>
        <v>670</v>
      </c>
      <c r="AB42" s="12">
        <f ca="1">IFERROR(__xludf.DUMMYFUNCTION("""COMPUTED_VALUE"""),0)</f>
        <v>0</v>
      </c>
      <c r="AC42" s="12">
        <f ca="1">IFERROR(__xludf.DUMMYFUNCTION("""COMPUTED_VALUE"""),670)</f>
        <v>670</v>
      </c>
      <c r="AD42" s="12">
        <f ca="1">IFERROR(__xludf.DUMMYFUNCTION("""COMPUTED_VALUE"""),0)</f>
        <v>0</v>
      </c>
      <c r="AE42" s="21">
        <f t="shared" ca="1" si="0"/>
        <v>1005</v>
      </c>
      <c r="AF42" s="120"/>
    </row>
    <row r="43" spans="1:32" ht="114">
      <c r="A43" s="133" t="s">
        <v>128</v>
      </c>
      <c r="B43" s="122"/>
      <c r="C43" s="123" t="s">
        <v>167</v>
      </c>
      <c r="D43" s="124" t="s">
        <v>168</v>
      </c>
      <c r="E43" s="124" t="s">
        <v>169</v>
      </c>
      <c r="F43" s="124" t="s">
        <v>170</v>
      </c>
      <c r="G43" s="126" t="s">
        <v>103</v>
      </c>
      <c r="H43" s="124" t="s">
        <v>113</v>
      </c>
      <c r="I43" s="124" t="s">
        <v>171</v>
      </c>
      <c r="J43" s="134" t="s">
        <v>172</v>
      </c>
      <c r="K43" s="134" t="s">
        <v>173</v>
      </c>
      <c r="L43" s="124" t="s">
        <v>107</v>
      </c>
      <c r="M43" s="140" t="s">
        <v>84</v>
      </c>
      <c r="N43" s="141">
        <v>7997</v>
      </c>
      <c r="O43" s="136">
        <v>6000</v>
      </c>
      <c r="P43" s="142"/>
      <c r="Q43" s="124" t="s">
        <v>174</v>
      </c>
      <c r="R43" s="124" t="s">
        <v>175</v>
      </c>
      <c r="S43" s="124">
        <f ca="1">IFERROR(__xludf.DUMMYFUNCTION("ARRAYFORMULA(VALUE(QUERY((importrange(""1aBliDWQx3PghbTc2D0usoHQ1DjKFbMqNouzsCcQtNeg"",""TOTALES!E2:P2"")),""Select*"",1)))"),669)</f>
        <v>669</v>
      </c>
      <c r="T43" s="124">
        <f ca="1">IFERROR(__xludf.DUMMYFUNCTION("""COMPUTED_VALUE"""),562)</f>
        <v>562</v>
      </c>
      <c r="U43" s="124">
        <f ca="1">IFERROR(__xludf.DUMMYFUNCTION("""COMPUTED_VALUE"""),709)</f>
        <v>709</v>
      </c>
      <c r="V43" s="124">
        <f ca="1">IFERROR(__xludf.DUMMYFUNCTION("""COMPUTED_VALUE"""),297)</f>
        <v>297</v>
      </c>
      <c r="W43" s="124">
        <f ca="1">IFERROR(__xludf.DUMMYFUNCTION("""COMPUTED_VALUE"""),556)</f>
        <v>556</v>
      </c>
      <c r="X43" s="124">
        <f ca="1">IFERROR(__xludf.DUMMYFUNCTION("""COMPUTED_VALUE"""),666)</f>
        <v>666</v>
      </c>
      <c r="Y43" s="124">
        <f ca="1">IFERROR(__xludf.DUMMYFUNCTION("""COMPUTED_VALUE"""),643)</f>
        <v>643</v>
      </c>
      <c r="Z43" s="124">
        <f ca="1">IFERROR(__xludf.DUMMYFUNCTION("""COMPUTED_VALUE"""),785)</f>
        <v>785</v>
      </c>
      <c r="AA43" s="124">
        <f ca="1">IFERROR(__xludf.DUMMYFUNCTION("""COMPUTED_VALUE"""),707)</f>
        <v>707</v>
      </c>
      <c r="AB43" s="124">
        <f ca="1">IFERROR(__xludf.DUMMYFUNCTION("""COMPUTED_VALUE"""),661)</f>
        <v>661</v>
      </c>
      <c r="AC43" s="124">
        <f ca="1">IFERROR(__xludf.DUMMYFUNCTION("""COMPUTED_VALUE"""),419)</f>
        <v>419</v>
      </c>
      <c r="AD43" s="124">
        <f ca="1">IFERROR(__xludf.DUMMYFUNCTION("""COMPUTED_VALUE"""),229)</f>
        <v>229</v>
      </c>
      <c r="AE43" s="132">
        <f t="shared" ca="1" si="0"/>
        <v>1940</v>
      </c>
      <c r="AF43" s="120">
        <f t="shared" ref="AF43:AF44" ca="1" si="2">AE43/O43</f>
        <v>0.32333333333333331</v>
      </c>
    </row>
    <row r="44" spans="1:32" ht="128.25">
      <c r="A44" s="133" t="s">
        <v>74</v>
      </c>
      <c r="B44" s="122"/>
      <c r="C44" s="123" t="s">
        <v>176</v>
      </c>
      <c r="D44" s="124" t="s">
        <v>177</v>
      </c>
      <c r="E44" s="124" t="s">
        <v>178</v>
      </c>
      <c r="F44" s="124" t="s">
        <v>179</v>
      </c>
      <c r="G44" s="124" t="s">
        <v>103</v>
      </c>
      <c r="H44" s="124" t="s">
        <v>113</v>
      </c>
      <c r="I44" s="124" t="s">
        <v>393</v>
      </c>
      <c r="J44" s="124" t="s">
        <v>181</v>
      </c>
      <c r="K44" s="124" t="s">
        <v>394</v>
      </c>
      <c r="L44" s="124" t="s">
        <v>107</v>
      </c>
      <c r="M44" s="124" t="s">
        <v>183</v>
      </c>
      <c r="N44" s="124">
        <v>892</v>
      </c>
      <c r="O44" s="124">
        <v>850</v>
      </c>
      <c r="P44" s="124"/>
      <c r="Q44" s="124" t="s">
        <v>184</v>
      </c>
      <c r="R44" s="124" t="s">
        <v>185</v>
      </c>
      <c r="S44" s="124">
        <f ca="1">IFERROR(__xludf.DUMMYFUNCTION("ARRAYFORMULA(VALUE(QUERY((importrange(""1PzLDbnbOgsxlP7TgXOuZl3-wTut_GS_XXcsA4lagmIs"",""TOTALES!E2:P3"")),""Select*"",1)))"),654)</f>
        <v>654</v>
      </c>
      <c r="T44" s="124">
        <f ca="1">IFERROR(__xludf.DUMMYFUNCTION("""COMPUTED_VALUE"""),914)</f>
        <v>914</v>
      </c>
      <c r="U44" s="124">
        <f ca="1">IFERROR(__xludf.DUMMYFUNCTION("""COMPUTED_VALUE"""),724)</f>
        <v>724</v>
      </c>
      <c r="V44" s="124">
        <f ca="1">IFERROR(__xludf.DUMMYFUNCTION("""COMPUTED_VALUE"""),678)</f>
        <v>678</v>
      </c>
      <c r="W44" s="124">
        <f ca="1">IFERROR(__xludf.DUMMYFUNCTION("""COMPUTED_VALUE"""),878)</f>
        <v>878</v>
      </c>
      <c r="X44" s="124">
        <f ca="1">IFERROR(__xludf.DUMMYFUNCTION("""COMPUTED_VALUE"""),858)</f>
        <v>858</v>
      </c>
      <c r="Y44" s="124">
        <f ca="1">IFERROR(__xludf.DUMMYFUNCTION("""COMPUTED_VALUE"""),812)</f>
        <v>812</v>
      </c>
      <c r="Z44" s="124">
        <f ca="1">IFERROR(__xludf.DUMMYFUNCTION("""COMPUTED_VALUE"""),883)</f>
        <v>883</v>
      </c>
      <c r="AA44" s="124">
        <f ca="1">IFERROR(__xludf.DUMMYFUNCTION("""COMPUTED_VALUE"""),724)</f>
        <v>724</v>
      </c>
      <c r="AB44" s="124">
        <f ca="1">IFERROR(__xludf.DUMMYFUNCTION("""COMPUTED_VALUE"""),891)</f>
        <v>891</v>
      </c>
      <c r="AC44" s="124">
        <f ca="1">IFERROR(__xludf.DUMMYFUNCTION("""COMPUTED_VALUE"""),806)</f>
        <v>806</v>
      </c>
      <c r="AD44" s="124">
        <f ca="1">IFERROR(__xludf.DUMMYFUNCTION("""COMPUTED_VALUE"""),625)</f>
        <v>625</v>
      </c>
      <c r="AE44" s="132">
        <f t="shared" ca="1" si="0"/>
        <v>2292</v>
      </c>
      <c r="AF44" s="120">
        <f t="shared" ca="1" si="2"/>
        <v>2.696470588235294</v>
      </c>
    </row>
    <row r="45" spans="1:32" ht="128.25">
      <c r="A45" s="74" t="s">
        <v>88</v>
      </c>
      <c r="B45" s="73"/>
      <c r="C45" s="22" t="s">
        <v>186</v>
      </c>
      <c r="D45" s="12" t="s">
        <v>187</v>
      </c>
      <c r="E45" s="12" t="s">
        <v>188</v>
      </c>
      <c r="F45" s="12" t="s">
        <v>189</v>
      </c>
      <c r="G45" s="12" t="s">
        <v>103</v>
      </c>
      <c r="H45" s="12" t="s">
        <v>113</v>
      </c>
      <c r="I45" s="12" t="s">
        <v>190</v>
      </c>
      <c r="J45" s="12" t="s">
        <v>191</v>
      </c>
      <c r="K45" s="12" t="s">
        <v>192</v>
      </c>
      <c r="L45" s="12" t="s">
        <v>107</v>
      </c>
      <c r="M45" s="12" t="s">
        <v>84</v>
      </c>
      <c r="N45" s="12" t="s">
        <v>85</v>
      </c>
      <c r="O45" s="12">
        <v>15000</v>
      </c>
      <c r="P45" s="12"/>
      <c r="Q45" s="12" t="s">
        <v>184</v>
      </c>
      <c r="R45" s="12" t="s">
        <v>185</v>
      </c>
      <c r="S45" s="12">
        <f ca="1">IFERROR(__xludf.DUMMYFUNCTION("""COMPUTED_VALUE"""),1336)</f>
        <v>1336</v>
      </c>
      <c r="T45" s="12">
        <f ca="1">IFERROR(__xludf.DUMMYFUNCTION("""COMPUTED_VALUE"""),1635)</f>
        <v>1635</v>
      </c>
      <c r="U45" s="12">
        <f ca="1">IFERROR(__xludf.DUMMYFUNCTION("""COMPUTED_VALUE"""),1178)</f>
        <v>1178</v>
      </c>
      <c r="V45" s="12">
        <f ca="1">IFERROR(__xludf.DUMMYFUNCTION("""COMPUTED_VALUE"""),819)</f>
        <v>819</v>
      </c>
      <c r="W45" s="12">
        <f ca="1">IFERROR(__xludf.DUMMYFUNCTION("""COMPUTED_VALUE"""),1270)</f>
        <v>1270</v>
      </c>
      <c r="X45" s="12">
        <f ca="1">IFERROR(__xludf.DUMMYFUNCTION("""COMPUTED_VALUE"""),1426)</f>
        <v>1426</v>
      </c>
      <c r="Y45" s="12">
        <f ca="1">IFERROR(__xludf.DUMMYFUNCTION("""COMPUTED_VALUE"""),1258)</f>
        <v>1258</v>
      </c>
      <c r="Z45" s="12">
        <f ca="1">IFERROR(__xludf.DUMMYFUNCTION("""COMPUTED_VALUE"""),1512)</f>
        <v>1512</v>
      </c>
      <c r="AA45" s="12">
        <f ca="1">IFERROR(__xludf.DUMMYFUNCTION("""COMPUTED_VALUE"""),1160)</f>
        <v>1160</v>
      </c>
      <c r="AB45" s="12">
        <f ca="1">IFERROR(__xludf.DUMMYFUNCTION("""COMPUTED_VALUE"""),1110)</f>
        <v>1110</v>
      </c>
      <c r="AC45" s="12">
        <f ca="1">IFERROR(__xludf.DUMMYFUNCTION("""COMPUTED_VALUE"""),1179)</f>
        <v>1179</v>
      </c>
      <c r="AD45" s="12">
        <f ca="1">IFERROR(__xludf.DUMMYFUNCTION("""COMPUTED_VALUE"""),679)</f>
        <v>679</v>
      </c>
      <c r="AE45" s="21">
        <f t="shared" ca="1" si="0"/>
        <v>4149</v>
      </c>
      <c r="AF45" s="120"/>
    </row>
    <row r="46" spans="1:32" ht="128.25">
      <c r="A46" s="133" t="s">
        <v>88</v>
      </c>
      <c r="B46" s="122"/>
      <c r="C46" s="123" t="s">
        <v>193</v>
      </c>
      <c r="D46" s="124" t="s">
        <v>194</v>
      </c>
      <c r="E46" s="124" t="s">
        <v>195</v>
      </c>
      <c r="F46" s="124" t="s">
        <v>196</v>
      </c>
      <c r="G46" s="126" t="s">
        <v>103</v>
      </c>
      <c r="H46" s="124" t="s">
        <v>113</v>
      </c>
      <c r="I46" s="125" t="s">
        <v>197</v>
      </c>
      <c r="J46" s="134" t="s">
        <v>198</v>
      </c>
      <c r="K46" s="134" t="s">
        <v>199</v>
      </c>
      <c r="L46" s="124" t="s">
        <v>107</v>
      </c>
      <c r="M46" s="140" t="s">
        <v>84</v>
      </c>
      <c r="N46" s="141">
        <v>28995</v>
      </c>
      <c r="O46" s="136">
        <v>29000</v>
      </c>
      <c r="P46" s="142"/>
      <c r="Q46" s="131" t="s">
        <v>200</v>
      </c>
      <c r="R46" s="124" t="s">
        <v>201</v>
      </c>
      <c r="S46" s="124">
        <f ca="1">IFERROR(__xludf.DUMMYFUNCTION("ARRAYFORMULA(VALUE(QUERY((importrange(""1NOerfbJeLk-S8tb0Ya-COpXnQm--OVonOlYwD7P0zF0"",""TOTALES!E2:P2"")),""Select*"",1)))"),1527)</f>
        <v>1527</v>
      </c>
      <c r="T46" s="124">
        <f ca="1">IFERROR(__xludf.DUMMYFUNCTION("""COMPUTED_VALUE"""),4190)</f>
        <v>4190</v>
      </c>
      <c r="U46" s="124">
        <f ca="1">IFERROR(__xludf.DUMMYFUNCTION("""COMPUTED_VALUE"""),1152)</f>
        <v>1152</v>
      </c>
      <c r="V46" s="124">
        <f ca="1">IFERROR(__xludf.DUMMYFUNCTION("""COMPUTED_VALUE"""),1286)</f>
        <v>1286</v>
      </c>
      <c r="W46" s="124">
        <f ca="1">IFERROR(__xludf.DUMMYFUNCTION("""COMPUTED_VALUE"""),3830)</f>
        <v>3830</v>
      </c>
      <c r="X46" s="124">
        <f ca="1">IFERROR(__xludf.DUMMYFUNCTION("""COMPUTED_VALUE"""),2868)</f>
        <v>2868</v>
      </c>
      <c r="Y46" s="124">
        <f ca="1">IFERROR(__xludf.DUMMYFUNCTION("""COMPUTED_VALUE"""),2571)</f>
        <v>2571</v>
      </c>
      <c r="Z46" s="124">
        <f ca="1">IFERROR(__xludf.DUMMYFUNCTION("""COMPUTED_VALUE"""),3079)</f>
        <v>3079</v>
      </c>
      <c r="AA46" s="124">
        <f ca="1">IFERROR(__xludf.DUMMYFUNCTION("""COMPUTED_VALUE"""),2526)</f>
        <v>2526</v>
      </c>
      <c r="AB46" s="124">
        <f ca="1">IFERROR(__xludf.DUMMYFUNCTION("""COMPUTED_VALUE"""),3187)</f>
        <v>3187</v>
      </c>
      <c r="AC46" s="124">
        <f ca="1">IFERROR(__xludf.DUMMYFUNCTION("""COMPUTED_VALUE"""),2483)</f>
        <v>2483</v>
      </c>
      <c r="AD46" s="124">
        <f ca="1">IFERROR(__xludf.DUMMYFUNCTION("""COMPUTED_VALUE"""),365)</f>
        <v>365</v>
      </c>
      <c r="AE46" s="132">
        <f t="shared" ca="1" si="0"/>
        <v>6869</v>
      </c>
      <c r="AF46" s="120">
        <f t="shared" ref="AF46:AF47" ca="1" si="3">AE46/O46</f>
        <v>0.23686206896551723</v>
      </c>
    </row>
    <row r="47" spans="1:32" ht="171">
      <c r="A47" s="133" t="s">
        <v>74</v>
      </c>
      <c r="B47" s="122"/>
      <c r="C47" s="123" t="s">
        <v>202</v>
      </c>
      <c r="D47" s="124" t="s">
        <v>203</v>
      </c>
      <c r="E47" s="124" t="s">
        <v>204</v>
      </c>
      <c r="F47" s="124" t="s">
        <v>205</v>
      </c>
      <c r="G47" s="126" t="s">
        <v>103</v>
      </c>
      <c r="H47" s="124" t="s">
        <v>113</v>
      </c>
      <c r="I47" s="125" t="s">
        <v>395</v>
      </c>
      <c r="J47" s="134" t="s">
        <v>207</v>
      </c>
      <c r="K47" s="134" t="s">
        <v>396</v>
      </c>
      <c r="L47" s="124" t="s">
        <v>107</v>
      </c>
      <c r="M47" s="140" t="s">
        <v>183</v>
      </c>
      <c r="N47" s="124" t="s">
        <v>85</v>
      </c>
      <c r="O47" s="141">
        <v>500</v>
      </c>
      <c r="P47" s="142"/>
      <c r="Q47" s="131" t="s">
        <v>117</v>
      </c>
      <c r="R47" s="124" t="s">
        <v>208</v>
      </c>
      <c r="S47" s="124">
        <f ca="1">IFERROR(__xludf.DUMMYFUNCTION("ARRAYFORMULA(VALUE(QUERY((importrange(""1QqO90t5YaypRBmLyuAF3V4pupHFwwwLeoeQ3Rj52OIE"",""TOTALES!E2:P3"")),""Select*"",1)))"),510)</f>
        <v>510</v>
      </c>
      <c r="T47" s="124">
        <f ca="1">IFERROR(__xludf.DUMMYFUNCTION("""COMPUTED_VALUE"""),510)</f>
        <v>510</v>
      </c>
      <c r="U47" s="124">
        <f ca="1">IFERROR(__xludf.DUMMYFUNCTION("""COMPUTED_VALUE"""),510)</f>
        <v>510</v>
      </c>
      <c r="V47" s="124">
        <f ca="1">IFERROR(__xludf.DUMMYFUNCTION("""COMPUTED_VALUE"""),510)</f>
        <v>510</v>
      </c>
      <c r="W47" s="124">
        <f ca="1">IFERROR(__xludf.DUMMYFUNCTION("""COMPUTED_VALUE"""),510)</f>
        <v>510</v>
      </c>
      <c r="X47" s="124">
        <f ca="1">IFERROR(__xludf.DUMMYFUNCTION("""COMPUTED_VALUE"""),510)</f>
        <v>510</v>
      </c>
      <c r="Y47" s="124">
        <f ca="1">IFERROR(__xludf.DUMMYFUNCTION("""COMPUTED_VALUE"""),495)</f>
        <v>495</v>
      </c>
      <c r="Z47" s="124">
        <f ca="1">IFERROR(__xludf.DUMMYFUNCTION("""COMPUTED_VALUE"""),613)</f>
        <v>613</v>
      </c>
      <c r="AA47" s="124">
        <f ca="1">IFERROR(__xludf.DUMMYFUNCTION("""COMPUTED_VALUE"""),611)</f>
        <v>611</v>
      </c>
      <c r="AB47" s="124">
        <f ca="1">IFERROR(__xludf.DUMMYFUNCTION("""COMPUTED_VALUE"""),606)</f>
        <v>606</v>
      </c>
      <c r="AC47" s="124">
        <f ca="1">IFERROR(__xludf.DUMMYFUNCTION("""COMPUTED_VALUE"""),610)</f>
        <v>610</v>
      </c>
      <c r="AD47" s="124">
        <f ca="1">IFERROR(__xludf.DUMMYFUNCTION("""COMPUTED_VALUE"""),613)</f>
        <v>613</v>
      </c>
      <c r="AE47" s="132">
        <f t="shared" ca="1" si="0"/>
        <v>1530</v>
      </c>
      <c r="AF47" s="120">
        <f t="shared" ca="1" si="3"/>
        <v>3.06</v>
      </c>
    </row>
    <row r="48" spans="1:32" ht="171">
      <c r="A48" s="74" t="s">
        <v>88</v>
      </c>
      <c r="B48" s="73"/>
      <c r="C48" s="22" t="s">
        <v>209</v>
      </c>
      <c r="D48" s="12" t="s">
        <v>210</v>
      </c>
      <c r="E48" s="12" t="s">
        <v>211</v>
      </c>
      <c r="F48" s="12" t="s">
        <v>212</v>
      </c>
      <c r="G48" s="24" t="s">
        <v>103</v>
      </c>
      <c r="H48" s="12" t="s">
        <v>113</v>
      </c>
      <c r="I48" s="23" t="s">
        <v>213</v>
      </c>
      <c r="J48" s="30" t="s">
        <v>214</v>
      </c>
      <c r="K48" s="30" t="s">
        <v>215</v>
      </c>
      <c r="L48" s="12" t="s">
        <v>107</v>
      </c>
      <c r="M48" s="34" t="s">
        <v>84</v>
      </c>
      <c r="N48" s="35">
        <v>203457</v>
      </c>
      <c r="O48" s="35">
        <v>224400</v>
      </c>
      <c r="P48" s="17"/>
      <c r="Q48" s="13" t="s">
        <v>117</v>
      </c>
      <c r="R48" s="12" t="s">
        <v>208</v>
      </c>
      <c r="S48" s="12">
        <f ca="1">IFERROR(__xludf.DUMMYFUNCTION("""COMPUTED_VALUE"""),22440)</f>
        <v>22440</v>
      </c>
      <c r="T48" s="12">
        <f ca="1">IFERROR(__xludf.DUMMYFUNCTION("""COMPUTED_VALUE"""),19380)</f>
        <v>19380</v>
      </c>
      <c r="U48" s="12">
        <f ca="1">IFERROR(__xludf.DUMMYFUNCTION("""COMPUTED_VALUE"""),23460)</f>
        <v>23460</v>
      </c>
      <c r="V48" s="12">
        <f ca="1">IFERROR(__xludf.DUMMYFUNCTION("""COMPUTED_VALUE"""),10200)</f>
        <v>10200</v>
      </c>
      <c r="W48" s="12">
        <f ca="1">IFERROR(__xludf.DUMMYFUNCTION("""COMPUTED_VALUE"""),22440)</f>
        <v>22440</v>
      </c>
      <c r="X48" s="12">
        <f ca="1">IFERROR(__xludf.DUMMYFUNCTION("""COMPUTED_VALUE"""),22440)</f>
        <v>22440</v>
      </c>
      <c r="Y48" s="12">
        <f ca="1">IFERROR(__xludf.DUMMYFUNCTION("""COMPUTED_VALUE"""),20790)</f>
        <v>20790</v>
      </c>
      <c r="Z48" s="12">
        <f ca="1">IFERROR(__xludf.DUMMYFUNCTION("""COMPUTED_VALUE"""),23230)</f>
        <v>23230</v>
      </c>
      <c r="AA48" s="12">
        <f ca="1">IFERROR(__xludf.DUMMYFUNCTION("""COMPUTED_VALUE"""),24400)</f>
        <v>24400</v>
      </c>
      <c r="AB48" s="12">
        <f ca="1">IFERROR(__xludf.DUMMYFUNCTION("""COMPUTED_VALUE"""),25452)</f>
        <v>25452</v>
      </c>
      <c r="AC48" s="12">
        <f ca="1">IFERROR(__xludf.DUMMYFUNCTION("""COMPUTED_VALUE"""),24400)</f>
        <v>24400</v>
      </c>
      <c r="AD48" s="12">
        <f ca="1">IFERROR(__xludf.DUMMYFUNCTION("""COMPUTED_VALUE"""),13486)</f>
        <v>13486</v>
      </c>
      <c r="AE48" s="21">
        <f t="shared" ca="1" si="0"/>
        <v>65280</v>
      </c>
      <c r="AF48" s="120"/>
    </row>
    <row r="49" spans="1:32" ht="114">
      <c r="A49" s="74" t="s">
        <v>74</v>
      </c>
      <c r="B49" s="73"/>
      <c r="C49" s="22" t="s">
        <v>216</v>
      </c>
      <c r="D49" s="37" t="s">
        <v>217</v>
      </c>
      <c r="E49" s="37" t="s">
        <v>218</v>
      </c>
      <c r="F49" s="37" t="s">
        <v>219</v>
      </c>
      <c r="G49" s="38" t="s">
        <v>103</v>
      </c>
      <c r="H49" s="37" t="s">
        <v>113</v>
      </c>
      <c r="I49" s="37" t="s">
        <v>397</v>
      </c>
      <c r="J49" s="39" t="s">
        <v>221</v>
      </c>
      <c r="K49" s="39" t="s">
        <v>398</v>
      </c>
      <c r="L49" s="12" t="s">
        <v>107</v>
      </c>
      <c r="M49" s="40" t="s">
        <v>183</v>
      </c>
      <c r="N49" s="41" t="s">
        <v>85</v>
      </c>
      <c r="O49" s="41">
        <v>1300</v>
      </c>
      <c r="P49" s="43"/>
      <c r="Q49" s="12" t="s">
        <v>222</v>
      </c>
      <c r="R49" s="12" t="s">
        <v>223</v>
      </c>
      <c r="S49" s="12">
        <f ca="1">IFERROR(__xludf.DUMMYFUNCTION("ARRAYFORMULA(VALUE(QUERY((importrange(""1gzh_IplvT8FVpSpLrnqCIOVsZa98RVoxxYmSvikPos0"",""TOTALES!E2:P3"")),""Select*"",1)))"),1558)</f>
        <v>1558</v>
      </c>
      <c r="T49" s="12">
        <f ca="1">IFERROR(__xludf.DUMMYFUNCTION("""COMPUTED_VALUE"""),1711)</f>
        <v>1711</v>
      </c>
      <c r="U49" s="12">
        <f ca="1">IFERROR(__xludf.DUMMYFUNCTION("""COMPUTED_VALUE"""),1813)</f>
        <v>1813</v>
      </c>
      <c r="V49" s="12">
        <f ca="1">IFERROR(__xludf.DUMMYFUNCTION("""COMPUTED_VALUE"""),1440)</f>
        <v>1440</v>
      </c>
      <c r="W49" s="12">
        <f ca="1">IFERROR(__xludf.DUMMYFUNCTION("""COMPUTED_VALUE"""),1549)</f>
        <v>1549</v>
      </c>
      <c r="X49" s="12">
        <f ca="1">IFERROR(__xludf.DUMMYFUNCTION("""COMPUTED_VALUE"""),1492)</f>
        <v>1492</v>
      </c>
      <c r="Y49" s="12">
        <f ca="1">IFERROR(__xludf.DUMMYFUNCTION("""COMPUTED_VALUE"""),2318)</f>
        <v>2318</v>
      </c>
      <c r="Z49" s="12">
        <f ca="1">IFERROR(__xludf.DUMMYFUNCTION("""COMPUTED_VALUE"""),657)</f>
        <v>657</v>
      </c>
      <c r="AA49" s="12">
        <f ca="1">IFERROR(__xludf.DUMMYFUNCTION("""COMPUTED_VALUE"""),1780)</f>
        <v>1780</v>
      </c>
      <c r="AB49" s="12">
        <f ca="1">IFERROR(__xludf.DUMMYFUNCTION("""COMPUTED_VALUE"""),1821)</f>
        <v>1821</v>
      </c>
      <c r="AC49" s="12">
        <f ca="1">IFERROR(__xludf.DUMMYFUNCTION("""COMPUTED_VALUE"""),1785)</f>
        <v>1785</v>
      </c>
      <c r="AD49" s="12">
        <f ca="1">IFERROR(__xludf.DUMMYFUNCTION("""COMPUTED_VALUE"""),1281)</f>
        <v>1281</v>
      </c>
      <c r="AE49" s="21">
        <f t="shared" ca="1" si="0"/>
        <v>5082</v>
      </c>
      <c r="AF49" s="120"/>
    </row>
    <row r="50" spans="1:32" ht="99.75">
      <c r="A50" s="133" t="s">
        <v>88</v>
      </c>
      <c r="B50" s="122"/>
      <c r="C50" s="123" t="s">
        <v>224</v>
      </c>
      <c r="D50" s="124" t="s">
        <v>225</v>
      </c>
      <c r="E50" s="124" t="s">
        <v>226</v>
      </c>
      <c r="F50" s="124" t="s">
        <v>227</v>
      </c>
      <c r="G50" s="126" t="s">
        <v>103</v>
      </c>
      <c r="H50" s="124" t="s">
        <v>113</v>
      </c>
      <c r="I50" s="125" t="s">
        <v>399</v>
      </c>
      <c r="J50" s="134" t="s">
        <v>229</v>
      </c>
      <c r="K50" s="134" t="s">
        <v>398</v>
      </c>
      <c r="L50" s="124" t="s">
        <v>107</v>
      </c>
      <c r="M50" s="140" t="s">
        <v>183</v>
      </c>
      <c r="N50" s="142"/>
      <c r="O50" s="141">
        <v>260</v>
      </c>
      <c r="P50" s="142"/>
      <c r="Q50" s="124" t="s">
        <v>230</v>
      </c>
      <c r="R50" s="124" t="s">
        <v>231</v>
      </c>
      <c r="S50" s="124">
        <f ca="1">IFERROR(__xludf.DUMMYFUNCTION("""COMPUTED_VALUE"""),276)</f>
        <v>276</v>
      </c>
      <c r="T50" s="124">
        <f ca="1">IFERROR(__xludf.DUMMYFUNCTION("""COMPUTED_VALUE"""),307)</f>
        <v>307</v>
      </c>
      <c r="U50" s="124">
        <f ca="1">IFERROR(__xludf.DUMMYFUNCTION("""COMPUTED_VALUE"""),293)</f>
        <v>293</v>
      </c>
      <c r="V50" s="124">
        <f ca="1">IFERROR(__xludf.DUMMYFUNCTION("""COMPUTED_VALUE"""),261)</f>
        <v>261</v>
      </c>
      <c r="W50" s="124">
        <f ca="1">IFERROR(__xludf.DUMMYFUNCTION("""COMPUTED_VALUE"""),294)</f>
        <v>294</v>
      </c>
      <c r="X50" s="124">
        <f ca="1">IFERROR(__xludf.DUMMYFUNCTION("""COMPUTED_VALUE"""),268)</f>
        <v>268</v>
      </c>
      <c r="Y50" s="124">
        <f ca="1">IFERROR(__xludf.DUMMYFUNCTION("""COMPUTED_VALUE"""),269)</f>
        <v>269</v>
      </c>
      <c r="Z50" s="124">
        <f ca="1">IFERROR(__xludf.DUMMYFUNCTION("""COMPUTED_VALUE"""),91)</f>
        <v>91</v>
      </c>
      <c r="AA50" s="124">
        <f ca="1">IFERROR(__xludf.DUMMYFUNCTION("""COMPUTED_VALUE"""),238)</f>
        <v>238</v>
      </c>
      <c r="AB50" s="124">
        <f ca="1">IFERROR(__xludf.DUMMYFUNCTION("""COMPUTED_VALUE"""),291)</f>
        <v>291</v>
      </c>
      <c r="AC50" s="124">
        <f ca="1">IFERROR(__xludf.DUMMYFUNCTION("""COMPUTED_VALUE"""),289)</f>
        <v>289</v>
      </c>
      <c r="AD50" s="124">
        <f ca="1">IFERROR(__xludf.DUMMYFUNCTION("""COMPUTED_VALUE"""),235)</f>
        <v>235</v>
      </c>
      <c r="AE50" s="132">
        <f t="shared" ca="1" si="0"/>
        <v>876</v>
      </c>
      <c r="AF50" s="120">
        <f t="shared" ref="AF50:AF51" ca="1" si="4">AE50/O50</f>
        <v>3.3692307692307693</v>
      </c>
    </row>
    <row r="51" spans="1:32" ht="99.75">
      <c r="A51" s="133" t="s">
        <v>74</v>
      </c>
      <c r="B51" s="122"/>
      <c r="C51" s="123" t="s">
        <v>232</v>
      </c>
      <c r="D51" s="124" t="s">
        <v>233</v>
      </c>
      <c r="E51" s="124" t="s">
        <v>234</v>
      </c>
      <c r="F51" s="124" t="s">
        <v>235</v>
      </c>
      <c r="G51" s="126" t="s">
        <v>103</v>
      </c>
      <c r="H51" s="124" t="s">
        <v>113</v>
      </c>
      <c r="I51" s="125" t="s">
        <v>236</v>
      </c>
      <c r="J51" s="134" t="s">
        <v>237</v>
      </c>
      <c r="K51" s="134" t="s">
        <v>238</v>
      </c>
      <c r="L51" s="124" t="s">
        <v>107</v>
      </c>
      <c r="M51" s="140" t="s">
        <v>84</v>
      </c>
      <c r="N51" s="141">
        <v>2037</v>
      </c>
      <c r="O51" s="141">
        <v>2030</v>
      </c>
      <c r="P51" s="142"/>
      <c r="Q51" s="131" t="s">
        <v>239</v>
      </c>
      <c r="R51" s="124" t="s">
        <v>240</v>
      </c>
      <c r="S51" s="124">
        <f ca="1">IFERROR(__xludf.DUMMYFUNCTION("ARRAYFORMULA(VALUE(QUERY((importrange(""1uq0-tclcwlKN4n207WGe9aYxfqRISdzRNcLeNfdql2A"",""TOTALES!E2:P3"")),""Select*"",1)))"),0)</f>
        <v>0</v>
      </c>
      <c r="T51" s="124">
        <f ca="1">IFERROR(__xludf.DUMMYFUNCTION("""COMPUTED_VALUE"""),0)</f>
        <v>0</v>
      </c>
      <c r="U51" s="124">
        <f ca="1">IFERROR(__xludf.DUMMYFUNCTION("""COMPUTED_VALUE"""),0)</f>
        <v>0</v>
      </c>
      <c r="V51" s="124">
        <f ca="1">IFERROR(__xludf.DUMMYFUNCTION("""COMPUTED_VALUE"""),0)</f>
        <v>0</v>
      </c>
      <c r="W51" s="124">
        <f ca="1">IFERROR(__xludf.DUMMYFUNCTION("""COMPUTED_VALUE"""),0)</f>
        <v>0</v>
      </c>
      <c r="X51" s="124">
        <f ca="1">IFERROR(__xludf.DUMMYFUNCTION("""COMPUTED_VALUE"""),0)</f>
        <v>0</v>
      </c>
      <c r="Y51" s="124">
        <f ca="1">IFERROR(__xludf.DUMMYFUNCTION("""COMPUTED_VALUE"""),2092)</f>
        <v>2092</v>
      </c>
      <c r="Z51" s="124">
        <f ca="1">IFERROR(__xludf.DUMMYFUNCTION("""COMPUTED_VALUE"""),0)</f>
        <v>0</v>
      </c>
      <c r="AA51" s="124">
        <f ca="1">IFERROR(__xludf.DUMMYFUNCTION("""COMPUTED_VALUE"""),0)</f>
        <v>0</v>
      </c>
      <c r="AB51" s="124">
        <f ca="1">IFERROR(__xludf.DUMMYFUNCTION("""COMPUTED_VALUE"""),0)</f>
        <v>0</v>
      </c>
      <c r="AC51" s="124">
        <f ca="1">IFERROR(__xludf.DUMMYFUNCTION("""COMPUTED_VALUE"""),0)</f>
        <v>0</v>
      </c>
      <c r="AD51" s="124">
        <f ca="1">IFERROR(__xludf.DUMMYFUNCTION("""COMPUTED_VALUE"""),0)</f>
        <v>0</v>
      </c>
      <c r="AE51" s="132">
        <f t="shared" ca="1" si="0"/>
        <v>0</v>
      </c>
      <c r="AF51" s="120">
        <f t="shared" ca="1" si="4"/>
        <v>0</v>
      </c>
    </row>
    <row r="52" spans="1:32" ht="99.75">
      <c r="A52" s="75" t="s">
        <v>88</v>
      </c>
      <c r="B52" s="73"/>
      <c r="C52" s="22" t="s">
        <v>241</v>
      </c>
      <c r="D52" s="12" t="s">
        <v>242</v>
      </c>
      <c r="E52" s="12" t="s">
        <v>243</v>
      </c>
      <c r="F52" s="12" t="s">
        <v>244</v>
      </c>
      <c r="G52" s="24" t="s">
        <v>103</v>
      </c>
      <c r="H52" s="12" t="s">
        <v>113</v>
      </c>
      <c r="I52" s="23" t="s">
        <v>245</v>
      </c>
      <c r="J52" s="30" t="s">
        <v>246</v>
      </c>
      <c r="K52" s="30" t="s">
        <v>247</v>
      </c>
      <c r="L52" s="12" t="s">
        <v>107</v>
      </c>
      <c r="M52" s="34" t="s">
        <v>84</v>
      </c>
      <c r="N52" s="12" t="s">
        <v>85</v>
      </c>
      <c r="O52" s="35">
        <v>1188</v>
      </c>
      <c r="P52" s="17"/>
      <c r="Q52" s="13" t="s">
        <v>248</v>
      </c>
      <c r="R52" s="12" t="s">
        <v>240</v>
      </c>
      <c r="S52" s="12">
        <f ca="1">IFERROR(__xludf.DUMMYFUNCTION("""COMPUTED_VALUE"""),99)</f>
        <v>99</v>
      </c>
      <c r="T52" s="12">
        <f ca="1">IFERROR(__xludf.DUMMYFUNCTION("""COMPUTED_VALUE"""),99)</f>
        <v>99</v>
      </c>
      <c r="U52" s="12">
        <f ca="1">IFERROR(__xludf.DUMMYFUNCTION("""COMPUTED_VALUE"""),99)</f>
        <v>99</v>
      </c>
      <c r="V52" s="12">
        <f ca="1">IFERROR(__xludf.DUMMYFUNCTION("""COMPUTED_VALUE"""),99)</f>
        <v>99</v>
      </c>
      <c r="W52" s="12">
        <f ca="1">IFERROR(__xludf.DUMMYFUNCTION("""COMPUTED_VALUE"""),99)</f>
        <v>99</v>
      </c>
      <c r="X52" s="12">
        <f ca="1">IFERROR(__xludf.DUMMYFUNCTION("""COMPUTED_VALUE"""),99)</f>
        <v>99</v>
      </c>
      <c r="Y52" s="12">
        <f ca="1">IFERROR(__xludf.DUMMYFUNCTION("""COMPUTED_VALUE"""),99)</f>
        <v>99</v>
      </c>
      <c r="Z52" s="12">
        <f ca="1">IFERROR(__xludf.DUMMYFUNCTION("""COMPUTED_VALUE"""),99)</f>
        <v>99</v>
      </c>
      <c r="AA52" s="12">
        <f ca="1">IFERROR(__xludf.DUMMYFUNCTION("""COMPUTED_VALUE"""),99)</f>
        <v>99</v>
      </c>
      <c r="AB52" s="12">
        <f ca="1">IFERROR(__xludf.DUMMYFUNCTION("""COMPUTED_VALUE"""),99)</f>
        <v>99</v>
      </c>
      <c r="AC52" s="12">
        <f ca="1">IFERROR(__xludf.DUMMYFUNCTION("""COMPUTED_VALUE"""),99)</f>
        <v>99</v>
      </c>
      <c r="AD52" s="12">
        <f ca="1">IFERROR(__xludf.DUMMYFUNCTION("""COMPUTED_VALUE"""),99)</f>
        <v>99</v>
      </c>
      <c r="AE52" s="21">
        <f t="shared" ca="1" si="0"/>
        <v>297</v>
      </c>
      <c r="AF52" s="120"/>
    </row>
    <row r="53" spans="1:32" ht="99.75">
      <c r="A53" s="93" t="s">
        <v>74</v>
      </c>
      <c r="B53" s="76" t="s">
        <v>98</v>
      </c>
      <c r="C53" s="44" t="s">
        <v>249</v>
      </c>
      <c r="D53" s="12" t="s">
        <v>250</v>
      </c>
      <c r="E53" s="12" t="s">
        <v>350</v>
      </c>
      <c r="F53" s="12" t="s">
        <v>112</v>
      </c>
      <c r="G53" s="12" t="s">
        <v>103</v>
      </c>
      <c r="H53" s="12" t="s">
        <v>79</v>
      </c>
      <c r="I53" s="12" t="s">
        <v>251</v>
      </c>
      <c r="J53" s="30" t="s">
        <v>252</v>
      </c>
      <c r="K53" s="30" t="s">
        <v>253</v>
      </c>
      <c r="L53" s="12" t="s">
        <v>107</v>
      </c>
      <c r="M53" s="12" t="s">
        <v>84</v>
      </c>
      <c r="N53" s="12">
        <v>4431</v>
      </c>
      <c r="O53" s="12">
        <v>5000</v>
      </c>
      <c r="P53" s="17"/>
      <c r="Q53" s="12" t="s">
        <v>254</v>
      </c>
      <c r="R53" s="12" t="s">
        <v>255</v>
      </c>
      <c r="S53" s="12">
        <f ca="1">IFERROR(__xludf.DUMMYFUNCTION("ARRAYFORMULA(VALUE(QUERY((importrange(""129OBcxqSDyZj96BM0JshWrjZR5LrrReqJk2O0W0jThk"",""TOTALES!E2:P3"")),""Select*"",1)))"),1984)</f>
        <v>1984</v>
      </c>
      <c r="T53" s="12">
        <f ca="1">IFERROR(__xludf.DUMMYFUNCTION("""COMPUTED_VALUE"""),1681)</f>
        <v>1681</v>
      </c>
      <c r="U53" s="12">
        <f ca="1">IFERROR(__xludf.DUMMYFUNCTION("""COMPUTED_VALUE"""),0)</f>
        <v>0</v>
      </c>
      <c r="V53" s="12">
        <f ca="1">IFERROR(__xludf.DUMMYFUNCTION("""COMPUTED_VALUE"""),0)</f>
        <v>0</v>
      </c>
      <c r="W53" s="12">
        <f ca="1">IFERROR(__xludf.DUMMYFUNCTION("""COMPUTED_VALUE"""),0)</f>
        <v>0</v>
      </c>
      <c r="X53" s="12">
        <f ca="1">IFERROR(__xludf.DUMMYFUNCTION("""COMPUTED_VALUE"""),0)</f>
        <v>0</v>
      </c>
      <c r="Y53" s="12">
        <f ca="1">IFERROR(__xludf.DUMMYFUNCTION("""COMPUTED_VALUE"""),145)</f>
        <v>145</v>
      </c>
      <c r="Z53" s="12">
        <f ca="1">IFERROR(__xludf.DUMMYFUNCTION("""COMPUTED_VALUE"""),41)</f>
        <v>41</v>
      </c>
      <c r="AA53" s="12">
        <f ca="1">IFERROR(__xludf.DUMMYFUNCTION("""COMPUTED_VALUE"""),33)</f>
        <v>33</v>
      </c>
      <c r="AB53" s="12">
        <f ca="1">IFERROR(__xludf.DUMMYFUNCTION("""COMPUTED_VALUE"""),0)</f>
        <v>0</v>
      </c>
      <c r="AC53" s="12">
        <f ca="1">IFERROR(__xludf.DUMMYFUNCTION("""COMPUTED_VALUE"""),0)</f>
        <v>0</v>
      </c>
      <c r="AD53" s="12">
        <f ca="1">IFERROR(__xludf.DUMMYFUNCTION("""COMPUTED_VALUE"""),1787)</f>
        <v>1787</v>
      </c>
      <c r="AE53" s="21">
        <f t="shared" ca="1" si="0"/>
        <v>3665</v>
      </c>
      <c r="AF53" s="120"/>
    </row>
    <row r="54" spans="1:32" ht="199.5">
      <c r="A54" s="73" t="s">
        <v>88</v>
      </c>
      <c r="B54" s="73"/>
      <c r="C54" s="45" t="s">
        <v>256</v>
      </c>
      <c r="D54" s="12" t="s">
        <v>257</v>
      </c>
      <c r="E54" s="12" t="s">
        <v>258</v>
      </c>
      <c r="F54" s="12" t="s">
        <v>259</v>
      </c>
      <c r="G54" s="12" t="s">
        <v>103</v>
      </c>
      <c r="H54" s="12" t="s">
        <v>113</v>
      </c>
      <c r="I54" s="12" t="s">
        <v>260</v>
      </c>
      <c r="J54" s="30" t="s">
        <v>261</v>
      </c>
      <c r="K54" s="30" t="s">
        <v>262</v>
      </c>
      <c r="L54" s="12" t="s">
        <v>107</v>
      </c>
      <c r="M54" s="12" t="s">
        <v>84</v>
      </c>
      <c r="N54" s="12">
        <v>17</v>
      </c>
      <c r="O54" s="12">
        <v>7</v>
      </c>
      <c r="P54" s="27"/>
      <c r="Q54" s="12" t="s">
        <v>263</v>
      </c>
      <c r="R54" s="12" t="s">
        <v>264</v>
      </c>
      <c r="S54" s="12">
        <f ca="1">IFERROR(__xludf.DUMMYFUNCTION("""COMPUTED_VALUE"""),1)</f>
        <v>1</v>
      </c>
      <c r="T54" s="12">
        <f ca="1">IFERROR(__xludf.DUMMYFUNCTION("""COMPUTED_VALUE"""),1)</f>
        <v>1</v>
      </c>
      <c r="U54" s="12">
        <f ca="1">IFERROR(__xludf.DUMMYFUNCTION("""COMPUTED_VALUE"""),2)</f>
        <v>2</v>
      </c>
      <c r="V54" s="12">
        <f ca="1">IFERROR(__xludf.DUMMYFUNCTION("""COMPUTED_VALUE"""),7)</f>
        <v>7</v>
      </c>
      <c r="W54" s="12">
        <f ca="1">IFERROR(__xludf.DUMMYFUNCTION("""COMPUTED_VALUE"""),0)</f>
        <v>0</v>
      </c>
      <c r="X54" s="12">
        <f ca="1">IFERROR(__xludf.DUMMYFUNCTION("""COMPUTED_VALUE"""),1)</f>
        <v>1</v>
      </c>
      <c r="Y54" s="12">
        <f ca="1">IFERROR(__xludf.DUMMYFUNCTION("""COMPUTED_VALUE"""),1)</f>
        <v>1</v>
      </c>
      <c r="Z54" s="12">
        <f ca="1">IFERROR(__xludf.DUMMYFUNCTION("""COMPUTED_VALUE"""),2)</f>
        <v>2</v>
      </c>
      <c r="AA54" s="12">
        <f ca="1">IFERROR(__xludf.DUMMYFUNCTION("""COMPUTED_VALUE"""),2)</f>
        <v>2</v>
      </c>
      <c r="AB54" s="12">
        <f ca="1">IFERROR(__xludf.DUMMYFUNCTION("""COMPUTED_VALUE"""),3)</f>
        <v>3</v>
      </c>
      <c r="AC54" s="12">
        <f ca="1">IFERROR(__xludf.DUMMYFUNCTION("""COMPUTED_VALUE"""),0)</f>
        <v>0</v>
      </c>
      <c r="AD54" s="12">
        <f ca="1">IFERROR(__xludf.DUMMYFUNCTION("""COMPUTED_VALUE"""),0)</f>
        <v>0</v>
      </c>
      <c r="AE54" s="21">
        <f t="shared" ca="1" si="0"/>
        <v>4</v>
      </c>
      <c r="AF54" s="120"/>
    </row>
    <row r="55" spans="1:32" ht="128.25">
      <c r="A55" s="93" t="s">
        <v>88</v>
      </c>
      <c r="B55" s="77" t="s">
        <v>98</v>
      </c>
      <c r="C55" s="20" t="s">
        <v>265</v>
      </c>
      <c r="D55" s="12" t="s">
        <v>266</v>
      </c>
      <c r="E55" s="12" t="s">
        <v>267</v>
      </c>
      <c r="F55" s="12" t="s">
        <v>268</v>
      </c>
      <c r="G55" s="12" t="s">
        <v>103</v>
      </c>
      <c r="H55" s="12" t="s">
        <v>79</v>
      </c>
      <c r="I55" s="12" t="s">
        <v>269</v>
      </c>
      <c r="J55" s="46" t="s">
        <v>270</v>
      </c>
      <c r="K55" s="47" t="s">
        <v>271</v>
      </c>
      <c r="L55" s="12" t="s">
        <v>107</v>
      </c>
      <c r="M55" s="12" t="s">
        <v>84</v>
      </c>
      <c r="N55" s="48" t="s">
        <v>85</v>
      </c>
      <c r="O55" s="12">
        <v>1100</v>
      </c>
      <c r="P55" s="17"/>
      <c r="Q55" s="12" t="s">
        <v>272</v>
      </c>
      <c r="R55" s="12" t="s">
        <v>273</v>
      </c>
      <c r="S55" s="12">
        <f ca="1">IFERROR(__xludf.DUMMYFUNCTION("ARRAYFORMULA(VALUE(QUERY((importrange(""1VEztdOMa-Y0eWUiFHDIS4eRbaAmfDSqM1-Yeu47QVEY"",""TOTALES!E2:P4"")),""Select*"",1)))"),89)</f>
        <v>89</v>
      </c>
      <c r="T55" s="12">
        <f ca="1">IFERROR(__xludf.DUMMYFUNCTION("""COMPUTED_VALUE"""),101)</f>
        <v>101</v>
      </c>
      <c r="U55" s="12">
        <f ca="1">IFERROR(__xludf.DUMMYFUNCTION("""COMPUTED_VALUE"""),90)</f>
        <v>90</v>
      </c>
      <c r="V55" s="12">
        <f ca="1">IFERROR(__xludf.DUMMYFUNCTION("""COMPUTED_VALUE"""),49)</f>
        <v>49</v>
      </c>
      <c r="W55" s="12">
        <f ca="1">IFERROR(__xludf.DUMMYFUNCTION("""COMPUTED_VALUE"""),113)</f>
        <v>113</v>
      </c>
      <c r="X55" s="12">
        <f ca="1">IFERROR(__xludf.DUMMYFUNCTION("""COMPUTED_VALUE"""),107)</f>
        <v>107</v>
      </c>
      <c r="Y55" s="12">
        <f ca="1">IFERROR(__xludf.DUMMYFUNCTION("""COMPUTED_VALUE"""),107)</f>
        <v>107</v>
      </c>
      <c r="Z55" s="12">
        <f ca="1">IFERROR(__xludf.DUMMYFUNCTION("""COMPUTED_VALUE"""),99)</f>
        <v>99</v>
      </c>
      <c r="AA55" s="12">
        <f ca="1">IFERROR(__xludf.DUMMYFUNCTION("""COMPUTED_VALUE"""),66)</f>
        <v>66</v>
      </c>
      <c r="AB55" s="12">
        <f ca="1">IFERROR(__xludf.DUMMYFUNCTION("""COMPUTED_VALUE"""),135)</f>
        <v>135</v>
      </c>
      <c r="AC55" s="12">
        <f ca="1">IFERROR(__xludf.DUMMYFUNCTION("""COMPUTED_VALUE"""),80)</f>
        <v>80</v>
      </c>
      <c r="AD55" s="12">
        <f ca="1">IFERROR(__xludf.DUMMYFUNCTION("""COMPUTED_VALUE"""),73)</f>
        <v>73</v>
      </c>
      <c r="AE55" s="21">
        <f t="shared" ca="1" si="0"/>
        <v>280</v>
      </c>
      <c r="AF55" s="120"/>
    </row>
    <row r="56" spans="1:32" ht="156.75">
      <c r="A56" s="72" t="s">
        <v>74</v>
      </c>
      <c r="B56" s="78"/>
      <c r="C56" s="22" t="s">
        <v>274</v>
      </c>
      <c r="D56" s="12" t="s">
        <v>275</v>
      </c>
      <c r="E56" s="12" t="s">
        <v>276</v>
      </c>
      <c r="F56" s="12" t="s">
        <v>277</v>
      </c>
      <c r="G56" s="12" t="s">
        <v>103</v>
      </c>
      <c r="H56" s="12" t="s">
        <v>113</v>
      </c>
      <c r="I56" s="12" t="s">
        <v>278</v>
      </c>
      <c r="J56" s="30" t="s">
        <v>279</v>
      </c>
      <c r="K56" s="30" t="s">
        <v>280</v>
      </c>
      <c r="L56" s="12" t="s">
        <v>107</v>
      </c>
      <c r="M56" s="12" t="s">
        <v>84</v>
      </c>
      <c r="N56" s="48" t="s">
        <v>85</v>
      </c>
      <c r="O56" s="12">
        <v>700</v>
      </c>
      <c r="P56" s="17"/>
      <c r="Q56" s="12" t="s">
        <v>281</v>
      </c>
      <c r="R56" s="12" t="s">
        <v>282</v>
      </c>
      <c r="S56" s="12">
        <f ca="1">IFERROR(__xludf.DUMMYFUNCTION("""COMPUTED_VALUE"""),46)</f>
        <v>46</v>
      </c>
      <c r="T56" s="12">
        <f ca="1">IFERROR(__xludf.DUMMYFUNCTION("""COMPUTED_VALUE"""),61)</f>
        <v>61</v>
      </c>
      <c r="U56" s="12">
        <f ca="1">IFERROR(__xludf.DUMMYFUNCTION("""COMPUTED_VALUE"""),71)</f>
        <v>71</v>
      </c>
      <c r="V56" s="12">
        <f ca="1">IFERROR(__xludf.DUMMYFUNCTION("""COMPUTED_VALUE"""),30)</f>
        <v>30</v>
      </c>
      <c r="W56" s="12">
        <f ca="1">IFERROR(__xludf.DUMMYFUNCTION("""COMPUTED_VALUE"""),85)</f>
        <v>85</v>
      </c>
      <c r="X56" s="12">
        <f ca="1">IFERROR(__xludf.DUMMYFUNCTION("""COMPUTED_VALUE"""),68)</f>
        <v>68</v>
      </c>
      <c r="Y56" s="12">
        <f ca="1">IFERROR(__xludf.DUMMYFUNCTION("""COMPUTED_VALUE"""),62)</f>
        <v>62</v>
      </c>
      <c r="Z56" s="12">
        <f ca="1">IFERROR(__xludf.DUMMYFUNCTION("""COMPUTED_VALUE"""),63)</f>
        <v>63</v>
      </c>
      <c r="AA56" s="12">
        <f ca="1">IFERROR(__xludf.DUMMYFUNCTION("""COMPUTED_VALUE"""),54)</f>
        <v>54</v>
      </c>
      <c r="AB56" s="12">
        <f ca="1">IFERROR(__xludf.DUMMYFUNCTION("""COMPUTED_VALUE"""),98)</f>
        <v>98</v>
      </c>
      <c r="AC56" s="12">
        <f ca="1">IFERROR(__xludf.DUMMYFUNCTION("""COMPUTED_VALUE"""),54)</f>
        <v>54</v>
      </c>
      <c r="AD56" s="12">
        <f ca="1">IFERROR(__xludf.DUMMYFUNCTION("""COMPUTED_VALUE"""),57)</f>
        <v>57</v>
      </c>
      <c r="AE56" s="21">
        <f t="shared" ca="1" si="0"/>
        <v>178</v>
      </c>
      <c r="AF56" s="120">
        <f t="shared" ref="AF56:AF60" ca="1" si="5">AE56/O56</f>
        <v>0.25428571428571428</v>
      </c>
    </row>
    <row r="57" spans="1:32" ht="114">
      <c r="A57" s="75" t="s">
        <v>88</v>
      </c>
      <c r="B57" s="78"/>
      <c r="C57" s="22" t="s">
        <v>283</v>
      </c>
      <c r="D57" s="12" t="s">
        <v>284</v>
      </c>
      <c r="E57" s="12" t="s">
        <v>285</v>
      </c>
      <c r="F57" s="12" t="s">
        <v>286</v>
      </c>
      <c r="G57" s="12" t="s">
        <v>103</v>
      </c>
      <c r="H57" s="12" t="s">
        <v>113</v>
      </c>
      <c r="I57" s="12" t="s">
        <v>287</v>
      </c>
      <c r="J57" s="30" t="s">
        <v>288</v>
      </c>
      <c r="K57" s="30" t="s">
        <v>289</v>
      </c>
      <c r="L57" s="12" t="s">
        <v>107</v>
      </c>
      <c r="M57" s="12" t="s">
        <v>84</v>
      </c>
      <c r="N57" s="48" t="s">
        <v>85</v>
      </c>
      <c r="O57" s="12">
        <v>400</v>
      </c>
      <c r="P57" s="112"/>
      <c r="Q57" s="12" t="s">
        <v>290</v>
      </c>
      <c r="R57" s="12" t="s">
        <v>291</v>
      </c>
      <c r="S57" s="12">
        <f ca="1">IFERROR(__xludf.DUMMYFUNCTION("""COMPUTED_VALUE"""),36)</f>
        <v>36</v>
      </c>
      <c r="T57" s="12">
        <f ca="1">IFERROR(__xludf.DUMMYFUNCTION("""COMPUTED_VALUE"""),29)</f>
        <v>29</v>
      </c>
      <c r="U57" s="12">
        <f ca="1">IFERROR(__xludf.DUMMYFUNCTION("""COMPUTED_VALUE"""),31)</f>
        <v>31</v>
      </c>
      <c r="V57" s="12">
        <f ca="1">IFERROR(__xludf.DUMMYFUNCTION("""COMPUTED_VALUE"""),19)</f>
        <v>19</v>
      </c>
      <c r="W57" s="12">
        <f ca="1">IFERROR(__xludf.DUMMYFUNCTION("""COMPUTED_VALUE"""),28)</f>
        <v>28</v>
      </c>
      <c r="X57" s="12">
        <f ca="1">IFERROR(__xludf.DUMMYFUNCTION("""COMPUTED_VALUE"""),39)</f>
        <v>39</v>
      </c>
      <c r="Y57" s="12">
        <f ca="1">IFERROR(__xludf.DUMMYFUNCTION("""COMPUTED_VALUE"""),45)</f>
        <v>45</v>
      </c>
      <c r="Z57" s="12">
        <f ca="1">IFERROR(__xludf.DUMMYFUNCTION("""COMPUTED_VALUE"""),36)</f>
        <v>36</v>
      </c>
      <c r="AA57" s="12">
        <f ca="1">IFERROR(__xludf.DUMMYFUNCTION("""COMPUTED_VALUE"""),12)</f>
        <v>12</v>
      </c>
      <c r="AB57" s="12">
        <f ca="1">IFERROR(__xludf.DUMMYFUNCTION("""COMPUTED_VALUE"""),37)</f>
        <v>37</v>
      </c>
      <c r="AC57" s="12">
        <f ca="1">IFERROR(__xludf.DUMMYFUNCTION("""COMPUTED_VALUE"""),26)</f>
        <v>26</v>
      </c>
      <c r="AD57" s="12">
        <f ca="1">IFERROR(__xludf.DUMMYFUNCTION("""COMPUTED_VALUE"""),16)</f>
        <v>16</v>
      </c>
      <c r="AE57" s="21">
        <f t="shared" ca="1" si="0"/>
        <v>96</v>
      </c>
      <c r="AF57" s="120">
        <f t="shared" ca="1" si="5"/>
        <v>0.24</v>
      </c>
    </row>
    <row r="58" spans="1:32" ht="128.25">
      <c r="B58" s="76" t="s">
        <v>292</v>
      </c>
      <c r="C58" s="20" t="s">
        <v>293</v>
      </c>
      <c r="D58" s="12" t="s">
        <v>294</v>
      </c>
      <c r="E58" s="12" t="s">
        <v>295</v>
      </c>
      <c r="F58" s="12" t="s">
        <v>296</v>
      </c>
      <c r="G58" s="12" t="s">
        <v>103</v>
      </c>
      <c r="H58" s="12" t="s">
        <v>79</v>
      </c>
      <c r="I58" s="12" t="s">
        <v>297</v>
      </c>
      <c r="J58" s="30" t="s">
        <v>298</v>
      </c>
      <c r="K58" s="30" t="s">
        <v>299</v>
      </c>
      <c r="L58" s="12" t="s">
        <v>107</v>
      </c>
      <c r="M58" s="12" t="s">
        <v>84</v>
      </c>
      <c r="N58" s="49">
        <v>12</v>
      </c>
      <c r="O58" s="12">
        <v>12</v>
      </c>
      <c r="P58" s="112"/>
      <c r="Q58" s="12" t="s">
        <v>300</v>
      </c>
      <c r="R58" s="12" t="s">
        <v>301</v>
      </c>
      <c r="S58" s="12">
        <f ca="1">IFERROR(__xludf.DUMMYFUNCTION("ARRAYFORMULA(VALUE(QUERY((importrange(""1KdaFVqJFJ9ZqFh7rOAds5taz4NRv7kh6I4IScrpooUQ"",""TOTALES!E2:P4"")),""Select*"",1)))"),1)</f>
        <v>1</v>
      </c>
      <c r="T58" s="12">
        <f ca="1">IFERROR(__xludf.DUMMYFUNCTION("""COMPUTED_VALUE"""),1)</f>
        <v>1</v>
      </c>
      <c r="U58" s="12">
        <f ca="1">IFERROR(__xludf.DUMMYFUNCTION("""COMPUTED_VALUE"""),1)</f>
        <v>1</v>
      </c>
      <c r="V58" s="12">
        <f ca="1">IFERROR(__xludf.DUMMYFUNCTION("""COMPUTED_VALUE"""),0)</f>
        <v>0</v>
      </c>
      <c r="W58" s="12">
        <f ca="1">IFERROR(__xludf.DUMMYFUNCTION("""COMPUTED_VALUE"""),1)</f>
        <v>1</v>
      </c>
      <c r="X58" s="12">
        <f ca="1">IFERROR(__xludf.DUMMYFUNCTION("""COMPUTED_VALUE"""),1)</f>
        <v>1</v>
      </c>
      <c r="Y58" s="12">
        <f ca="1">IFERROR(__xludf.DUMMYFUNCTION("""COMPUTED_VALUE"""),1)</f>
        <v>1</v>
      </c>
      <c r="Z58" s="12">
        <f ca="1">IFERROR(__xludf.DUMMYFUNCTION("""COMPUTED_VALUE"""),1)</f>
        <v>1</v>
      </c>
      <c r="AA58" s="12">
        <f ca="1">IFERROR(__xludf.DUMMYFUNCTION("""COMPUTED_VALUE"""),1)</f>
        <v>1</v>
      </c>
      <c r="AB58" s="12">
        <f ca="1">IFERROR(__xludf.DUMMYFUNCTION("""COMPUTED_VALUE"""),1)</f>
        <v>1</v>
      </c>
      <c r="AC58" s="12">
        <f ca="1">IFERROR(__xludf.DUMMYFUNCTION("""COMPUTED_VALUE"""),1)</f>
        <v>1</v>
      </c>
      <c r="AD58" s="12">
        <f ca="1">IFERROR(__xludf.DUMMYFUNCTION("""COMPUTED_VALUE"""),1)</f>
        <v>1</v>
      </c>
      <c r="AE58" s="21">
        <f t="shared" ca="1" si="0"/>
        <v>3</v>
      </c>
      <c r="AF58" s="120">
        <f t="shared" ca="1" si="5"/>
        <v>0.25</v>
      </c>
    </row>
    <row r="59" spans="1:32" ht="128.25">
      <c r="A59" s="73" t="s">
        <v>74</v>
      </c>
      <c r="B59" s="73"/>
      <c r="C59" s="22" t="s">
        <v>302</v>
      </c>
      <c r="D59" s="12" t="s">
        <v>303</v>
      </c>
      <c r="E59" s="12" t="s">
        <v>304</v>
      </c>
      <c r="F59" s="13" t="s">
        <v>305</v>
      </c>
      <c r="G59" s="12" t="s">
        <v>103</v>
      </c>
      <c r="H59" s="12" t="s">
        <v>113</v>
      </c>
      <c r="I59" s="12" t="s">
        <v>380</v>
      </c>
      <c r="J59" s="30" t="s">
        <v>307</v>
      </c>
      <c r="K59" s="30" t="s">
        <v>400</v>
      </c>
      <c r="L59" s="12" t="s">
        <v>107</v>
      </c>
      <c r="M59" s="12" t="s">
        <v>183</v>
      </c>
      <c r="N59" s="48" t="s">
        <v>85</v>
      </c>
      <c r="O59" s="12">
        <v>110</v>
      </c>
      <c r="P59" s="17"/>
      <c r="Q59" s="12" t="s">
        <v>308</v>
      </c>
      <c r="R59" s="12" t="s">
        <v>309</v>
      </c>
      <c r="S59" s="12">
        <f ca="1">IFERROR(__xludf.DUMMYFUNCTION("""COMPUTED_VALUE"""),82)</f>
        <v>82</v>
      </c>
      <c r="T59" s="12">
        <f ca="1">IFERROR(__xludf.DUMMYFUNCTION("""COMPUTED_VALUE"""),84)</f>
        <v>84</v>
      </c>
      <c r="U59" s="12">
        <f ca="1">IFERROR(__xludf.DUMMYFUNCTION("""COMPUTED_VALUE"""),77)</f>
        <v>77</v>
      </c>
      <c r="V59" s="12">
        <f ca="1">IFERROR(__xludf.DUMMYFUNCTION("""COMPUTED_VALUE"""),109)</f>
        <v>109</v>
      </c>
      <c r="W59" s="12">
        <f ca="1">IFERROR(__xludf.DUMMYFUNCTION("""COMPUTED_VALUE"""),112)</f>
        <v>112</v>
      </c>
      <c r="X59" s="12">
        <f ca="1">IFERROR(__xludf.DUMMYFUNCTION("""COMPUTED_VALUE"""),114)</f>
        <v>114</v>
      </c>
      <c r="Y59" s="12">
        <f ca="1">IFERROR(__xludf.DUMMYFUNCTION("""COMPUTED_VALUE"""),108)</f>
        <v>108</v>
      </c>
      <c r="Z59" s="12">
        <f ca="1">IFERROR(__xludf.DUMMYFUNCTION("""COMPUTED_VALUE"""),106)</f>
        <v>106</v>
      </c>
      <c r="AA59" s="12">
        <f ca="1">IFERROR(__xludf.DUMMYFUNCTION("""COMPUTED_VALUE"""),206)</f>
        <v>206</v>
      </c>
      <c r="AB59" s="12">
        <f ca="1">IFERROR(__xludf.DUMMYFUNCTION("""COMPUTED_VALUE"""),109)</f>
        <v>109</v>
      </c>
      <c r="AC59" s="12">
        <f ca="1">IFERROR(__xludf.DUMMYFUNCTION("""COMPUTED_VALUE"""),108)</f>
        <v>108</v>
      </c>
      <c r="AD59" s="12">
        <f ca="1">IFERROR(__xludf.DUMMYFUNCTION("""COMPUTED_VALUE"""),105)</f>
        <v>105</v>
      </c>
      <c r="AE59" s="21">
        <f t="shared" ca="1" si="0"/>
        <v>243</v>
      </c>
      <c r="AF59" s="120">
        <f t="shared" ca="1" si="5"/>
        <v>2.209090909090909</v>
      </c>
    </row>
    <row r="60" spans="1:32" ht="157.5">
      <c r="A60" s="73" t="s">
        <v>88</v>
      </c>
      <c r="B60" s="73"/>
      <c r="C60" s="22" t="s">
        <v>310</v>
      </c>
      <c r="D60" s="79" t="s">
        <v>311</v>
      </c>
      <c r="E60" s="80" t="s">
        <v>312</v>
      </c>
      <c r="F60" s="144" t="s">
        <v>401</v>
      </c>
      <c r="G60" s="80" t="s">
        <v>103</v>
      </c>
      <c r="H60" s="80" t="s">
        <v>113</v>
      </c>
      <c r="I60" s="80" t="s">
        <v>402</v>
      </c>
      <c r="J60" s="82" t="s">
        <v>315</v>
      </c>
      <c r="K60" s="82" t="s">
        <v>403</v>
      </c>
      <c r="L60" s="80" t="s">
        <v>107</v>
      </c>
      <c r="M60" s="80" t="s">
        <v>183</v>
      </c>
      <c r="N60" s="84" t="s">
        <v>85</v>
      </c>
      <c r="O60" s="80">
        <v>150</v>
      </c>
      <c r="P60" s="113"/>
      <c r="Q60" s="80" t="s">
        <v>317</v>
      </c>
      <c r="R60" s="80" t="s">
        <v>309</v>
      </c>
      <c r="S60" s="12">
        <f ca="1">IFERROR(__xludf.DUMMYFUNCTION("""COMPUTED_VALUE"""),155)</f>
        <v>155</v>
      </c>
      <c r="T60" s="12">
        <f ca="1">IFERROR(__xludf.DUMMYFUNCTION("""COMPUTED_VALUE"""),164)</f>
        <v>164</v>
      </c>
      <c r="U60" s="12">
        <f ca="1">IFERROR(__xludf.DUMMYFUNCTION("""COMPUTED_VALUE"""),207)</f>
        <v>207</v>
      </c>
      <c r="V60" s="12">
        <f ca="1">IFERROR(__xludf.DUMMYFUNCTION("""COMPUTED_VALUE"""),0)</f>
        <v>0</v>
      </c>
      <c r="W60" s="12">
        <f ca="1">IFERROR(__xludf.DUMMYFUNCTION("""COMPUTED_VALUE"""),191)</f>
        <v>191</v>
      </c>
      <c r="X60" s="12">
        <f ca="1">IFERROR(__xludf.DUMMYFUNCTION("""COMPUTED_VALUE"""),118)</f>
        <v>118</v>
      </c>
      <c r="Y60" s="12">
        <f ca="1">IFERROR(__xludf.DUMMYFUNCTION("""COMPUTED_VALUE"""),140)</f>
        <v>140</v>
      </c>
      <c r="Z60" s="12">
        <f ca="1">IFERROR(__xludf.DUMMYFUNCTION("""COMPUTED_VALUE"""),83)</f>
        <v>83</v>
      </c>
      <c r="AA60" s="12">
        <f ca="1">IFERROR(__xludf.DUMMYFUNCTION("""COMPUTED_VALUE"""),198)</f>
        <v>198</v>
      </c>
      <c r="AB60" s="12">
        <f ca="1">IFERROR(__xludf.DUMMYFUNCTION("""COMPUTED_VALUE"""),180)</f>
        <v>180</v>
      </c>
      <c r="AC60" s="12">
        <f ca="1">IFERROR(__xludf.DUMMYFUNCTION("""COMPUTED_VALUE"""),188)</f>
        <v>188</v>
      </c>
      <c r="AD60" s="12">
        <f ca="1">IFERROR(__xludf.DUMMYFUNCTION("""COMPUTED_VALUE"""),246)</f>
        <v>246</v>
      </c>
      <c r="AE60" s="21">
        <f t="shared" ca="1" si="0"/>
        <v>526</v>
      </c>
      <c r="AF60" s="120">
        <f t="shared" ca="1" si="5"/>
        <v>3.5066666666666668</v>
      </c>
    </row>
    <row r="61" spans="1:32" ht="15.75">
      <c r="A61" s="86"/>
      <c r="B61" s="87"/>
      <c r="S61" s="92"/>
      <c r="AF61" s="105"/>
    </row>
    <row r="62" spans="1:32" ht="15.75">
      <c r="D62" s="88"/>
      <c r="E62" s="88"/>
      <c r="F62" s="88"/>
      <c r="G62" s="88"/>
      <c r="H62" s="88"/>
      <c r="AF62" s="105"/>
    </row>
    <row r="63" spans="1:32" ht="15.75">
      <c r="D63" s="88"/>
      <c r="E63" s="88"/>
      <c r="F63" s="88"/>
      <c r="G63" s="88"/>
      <c r="H63" s="88"/>
      <c r="AF63" s="105"/>
    </row>
    <row r="64" spans="1:32" ht="15.75">
      <c r="D64" s="88"/>
      <c r="E64" s="88"/>
      <c r="F64" s="88"/>
      <c r="G64" s="88"/>
      <c r="H64" s="88"/>
      <c r="AF64" s="105"/>
    </row>
    <row r="65" spans="4:32" ht="15.75">
      <c r="D65" s="88"/>
      <c r="E65" s="88"/>
      <c r="F65" s="88"/>
      <c r="G65" s="88"/>
      <c r="H65" s="88"/>
      <c r="AF65" s="105"/>
    </row>
    <row r="66" spans="4:32" ht="15.75">
      <c r="D66" s="88"/>
      <c r="E66" s="88"/>
      <c r="F66" s="88"/>
      <c r="G66" s="88"/>
      <c r="H66" s="88"/>
      <c r="AF66" s="105"/>
    </row>
    <row r="67" spans="4:32" ht="15.75">
      <c r="D67" s="88"/>
      <c r="E67" s="88"/>
      <c r="F67" s="88"/>
      <c r="G67" s="88"/>
      <c r="H67" s="88"/>
      <c r="AF67" s="105"/>
    </row>
    <row r="68" spans="4:32" ht="15.75">
      <c r="D68" s="88"/>
      <c r="E68" s="88"/>
      <c r="F68" s="88"/>
      <c r="G68" s="88"/>
      <c r="H68" s="88"/>
      <c r="AF68" s="105"/>
    </row>
    <row r="69" spans="4:32" ht="15.75">
      <c r="D69" s="88"/>
      <c r="E69" s="88"/>
      <c r="F69" s="88"/>
      <c r="G69" s="88"/>
      <c r="H69" s="88"/>
      <c r="AF69" s="105"/>
    </row>
    <row r="70" spans="4:32" ht="15.75">
      <c r="D70" s="88"/>
      <c r="E70" s="88"/>
      <c r="F70" s="88"/>
      <c r="G70" s="88"/>
      <c r="H70" s="88"/>
      <c r="AF70" s="105"/>
    </row>
    <row r="71" spans="4:32" ht="15.75">
      <c r="D71" s="88"/>
      <c r="E71" s="88"/>
      <c r="F71" s="88"/>
      <c r="G71" s="88"/>
      <c r="H71" s="88"/>
      <c r="AF71" s="105"/>
    </row>
    <row r="72" spans="4:32" ht="15.75">
      <c r="D72" s="88"/>
      <c r="E72" s="88"/>
      <c r="F72" s="88"/>
      <c r="G72" s="88"/>
      <c r="H72" s="88"/>
      <c r="AF72" s="105"/>
    </row>
    <row r="73" spans="4:32" ht="15.75">
      <c r="D73" s="88"/>
      <c r="E73" s="88"/>
      <c r="F73" s="88"/>
      <c r="G73" s="88"/>
      <c r="H73" s="88"/>
      <c r="AF73" s="105"/>
    </row>
    <row r="74" spans="4:32" ht="15.75">
      <c r="D74" s="88"/>
      <c r="E74" s="88"/>
      <c r="F74" s="88"/>
      <c r="G74" s="88"/>
      <c r="H74" s="88"/>
      <c r="AF74" s="105"/>
    </row>
    <row r="75" spans="4:32" ht="15.75">
      <c r="D75" s="88"/>
      <c r="E75" s="88"/>
      <c r="F75" s="88"/>
      <c r="G75" s="88"/>
      <c r="H75" s="88"/>
      <c r="AF75" s="105"/>
    </row>
    <row r="76" spans="4:32" ht="15.75">
      <c r="D76" s="88"/>
      <c r="E76" s="88"/>
      <c r="F76" s="88"/>
      <c r="G76" s="88"/>
      <c r="H76" s="88"/>
      <c r="AF76" s="105"/>
    </row>
    <row r="77" spans="4:32" ht="15.75">
      <c r="D77" s="88"/>
      <c r="E77" s="88"/>
      <c r="F77" s="88"/>
      <c r="G77" s="88"/>
      <c r="H77" s="88"/>
      <c r="AF77" s="105"/>
    </row>
    <row r="78" spans="4:32" ht="15.75">
      <c r="D78" s="88"/>
      <c r="E78" s="88"/>
      <c r="F78" s="88"/>
      <c r="G78" s="88"/>
      <c r="H78" s="88"/>
      <c r="AF78" s="105"/>
    </row>
    <row r="79" spans="4:32" ht="15.75">
      <c r="D79" s="88"/>
      <c r="E79" s="88"/>
      <c r="F79" s="88"/>
      <c r="G79" s="88"/>
      <c r="H79" s="88"/>
      <c r="AF79" s="105"/>
    </row>
    <row r="80" spans="4:32" ht="15.75">
      <c r="D80" s="88"/>
      <c r="E80" s="88"/>
      <c r="F80" s="88"/>
      <c r="G80" s="88"/>
      <c r="H80" s="88"/>
      <c r="AF80" s="105"/>
    </row>
    <row r="81" spans="4:32" ht="15.75">
      <c r="D81" s="88"/>
      <c r="E81" s="88"/>
      <c r="F81" s="88"/>
      <c r="G81" s="88"/>
      <c r="H81" s="88"/>
      <c r="AF81" s="105"/>
    </row>
    <row r="82" spans="4:32" ht="15.75">
      <c r="D82" s="88"/>
      <c r="E82" s="88"/>
      <c r="F82" s="88"/>
      <c r="G82" s="88"/>
      <c r="H82" s="88"/>
      <c r="AF82" s="105"/>
    </row>
    <row r="83" spans="4:32" ht="15.75">
      <c r="D83" s="88"/>
      <c r="E83" s="88"/>
      <c r="F83" s="88"/>
      <c r="G83" s="88"/>
      <c r="H83" s="88"/>
      <c r="AF83" s="105"/>
    </row>
    <row r="84" spans="4:32" ht="15.75">
      <c r="D84" s="88"/>
      <c r="E84" s="88"/>
      <c r="F84" s="88"/>
      <c r="G84" s="88"/>
      <c r="H84" s="88"/>
      <c r="AF84" s="105"/>
    </row>
    <row r="85" spans="4:32" ht="15.75">
      <c r="D85" s="88"/>
      <c r="E85" s="88"/>
      <c r="F85" s="88"/>
      <c r="G85" s="88"/>
      <c r="H85" s="88"/>
      <c r="AF85" s="105"/>
    </row>
    <row r="86" spans="4:32" ht="15.75">
      <c r="D86" s="88"/>
      <c r="E86" s="88"/>
      <c r="F86" s="88"/>
      <c r="G86" s="88"/>
      <c r="H86" s="88"/>
      <c r="AF86" s="105"/>
    </row>
    <row r="87" spans="4:32" ht="15.75">
      <c r="D87" s="88"/>
      <c r="E87" s="88"/>
      <c r="F87" s="88"/>
      <c r="G87" s="88"/>
      <c r="H87" s="88"/>
      <c r="AF87" s="105"/>
    </row>
    <row r="88" spans="4:32" ht="15.75">
      <c r="D88" s="88"/>
      <c r="E88" s="88"/>
      <c r="F88" s="88"/>
      <c r="G88" s="88"/>
      <c r="H88" s="88"/>
      <c r="AF88" s="105"/>
    </row>
    <row r="89" spans="4:32" ht="15.75">
      <c r="D89" s="88"/>
      <c r="E89" s="88"/>
      <c r="F89" s="88"/>
      <c r="G89" s="88"/>
      <c r="H89" s="88"/>
      <c r="AF89" s="105"/>
    </row>
    <row r="90" spans="4:32" ht="15.75">
      <c r="D90" s="88"/>
      <c r="E90" s="88"/>
      <c r="F90" s="88"/>
      <c r="G90" s="88"/>
      <c r="H90" s="88"/>
      <c r="AF90" s="105"/>
    </row>
    <row r="91" spans="4:32" ht="15.75">
      <c r="D91" s="88"/>
      <c r="E91" s="88"/>
      <c r="F91" s="88"/>
      <c r="G91" s="88"/>
      <c r="H91" s="88"/>
      <c r="AF91" s="105"/>
    </row>
    <row r="92" spans="4:32" ht="15.75">
      <c r="D92" s="88"/>
      <c r="E92" s="88"/>
      <c r="F92" s="88"/>
      <c r="G92" s="88"/>
      <c r="H92" s="88"/>
      <c r="AF92" s="105"/>
    </row>
    <row r="93" spans="4:32" ht="15.75">
      <c r="D93" s="88"/>
      <c r="E93" s="88"/>
      <c r="F93" s="88"/>
      <c r="G93" s="88"/>
      <c r="H93" s="88"/>
      <c r="AF93" s="105"/>
    </row>
    <row r="94" spans="4:32" ht="15.75">
      <c r="D94" s="88"/>
      <c r="E94" s="88"/>
      <c r="F94" s="88"/>
      <c r="G94" s="88"/>
      <c r="H94" s="88"/>
      <c r="AF94" s="105"/>
    </row>
    <row r="95" spans="4:32" ht="15.75">
      <c r="D95" s="88"/>
      <c r="E95" s="88"/>
      <c r="F95" s="88"/>
      <c r="G95" s="88"/>
      <c r="H95" s="88"/>
      <c r="AF95" s="105"/>
    </row>
    <row r="96" spans="4:32" ht="15.75">
      <c r="D96" s="88"/>
      <c r="E96" s="88"/>
      <c r="F96" s="88"/>
      <c r="G96" s="88"/>
      <c r="H96" s="88"/>
      <c r="AF96" s="105"/>
    </row>
    <row r="97" spans="4:32" ht="15.75">
      <c r="D97" s="88"/>
      <c r="E97" s="88"/>
      <c r="F97" s="88"/>
      <c r="G97" s="88"/>
      <c r="H97" s="88"/>
      <c r="AF97" s="105"/>
    </row>
    <row r="98" spans="4:32" ht="15.75">
      <c r="D98" s="88"/>
      <c r="E98" s="88"/>
      <c r="F98" s="88"/>
      <c r="G98" s="88"/>
      <c r="H98" s="88"/>
      <c r="AF98" s="105"/>
    </row>
    <row r="99" spans="4:32" ht="15.75">
      <c r="D99" s="88"/>
      <c r="E99" s="88"/>
      <c r="F99" s="88"/>
      <c r="G99" s="88"/>
      <c r="H99" s="88"/>
      <c r="AF99" s="105"/>
    </row>
    <row r="100" spans="4:32" ht="15.75">
      <c r="D100" s="88"/>
      <c r="E100" s="88"/>
      <c r="F100" s="88"/>
      <c r="G100" s="88"/>
      <c r="H100" s="88"/>
      <c r="AF100" s="105"/>
    </row>
    <row r="101" spans="4:32" ht="15.75">
      <c r="D101" s="88"/>
      <c r="E101" s="88"/>
      <c r="F101" s="88"/>
      <c r="G101" s="88"/>
      <c r="H101" s="88"/>
      <c r="AF101" s="105"/>
    </row>
    <row r="102" spans="4:32" ht="15.75">
      <c r="D102" s="88"/>
      <c r="E102" s="88"/>
      <c r="F102" s="88"/>
      <c r="G102" s="88"/>
      <c r="H102" s="88"/>
      <c r="AF102" s="105"/>
    </row>
    <row r="103" spans="4:32" ht="15.75">
      <c r="D103" s="88"/>
      <c r="E103" s="88"/>
      <c r="F103" s="88"/>
      <c r="G103" s="88"/>
      <c r="H103" s="88"/>
      <c r="AF103" s="105"/>
    </row>
    <row r="104" spans="4:32" ht="15.75">
      <c r="D104" s="88"/>
      <c r="E104" s="88"/>
      <c r="F104" s="88"/>
      <c r="G104" s="88"/>
      <c r="H104" s="88"/>
      <c r="AF104" s="105"/>
    </row>
    <row r="105" spans="4:32" ht="15.75">
      <c r="D105" s="88"/>
      <c r="E105" s="88"/>
      <c r="F105" s="88"/>
      <c r="G105" s="88"/>
      <c r="H105" s="88"/>
      <c r="AF105" s="105"/>
    </row>
    <row r="106" spans="4:32" ht="15.75">
      <c r="D106" s="88"/>
      <c r="E106" s="88"/>
      <c r="F106" s="88"/>
      <c r="G106" s="88"/>
      <c r="H106" s="88"/>
      <c r="AF106" s="105"/>
    </row>
    <row r="107" spans="4:32" ht="15.75">
      <c r="D107" s="88"/>
      <c r="E107" s="88"/>
      <c r="F107" s="88"/>
      <c r="G107" s="88"/>
      <c r="H107" s="88"/>
      <c r="AF107" s="105"/>
    </row>
    <row r="108" spans="4:32" ht="15.75">
      <c r="D108" s="88"/>
      <c r="E108" s="88"/>
      <c r="F108" s="88"/>
      <c r="G108" s="88"/>
      <c r="H108" s="88"/>
      <c r="AF108" s="105"/>
    </row>
    <row r="109" spans="4:32" ht="15.75">
      <c r="D109" s="88"/>
      <c r="E109" s="88"/>
      <c r="F109" s="88"/>
      <c r="G109" s="88"/>
      <c r="H109" s="88"/>
      <c r="AF109" s="105"/>
    </row>
    <row r="110" spans="4:32" ht="15.75">
      <c r="D110" s="88"/>
      <c r="E110" s="88"/>
      <c r="F110" s="88"/>
      <c r="G110" s="88"/>
      <c r="H110" s="88"/>
      <c r="AF110" s="105"/>
    </row>
    <row r="111" spans="4:32" ht="15.75">
      <c r="D111" s="88"/>
      <c r="E111" s="88"/>
      <c r="F111" s="88"/>
      <c r="G111" s="88"/>
      <c r="H111" s="88"/>
      <c r="AF111" s="105"/>
    </row>
    <row r="112" spans="4:32" ht="15.75">
      <c r="D112" s="88"/>
      <c r="E112" s="88"/>
      <c r="F112" s="88"/>
      <c r="G112" s="88"/>
      <c r="H112" s="88"/>
      <c r="AF112" s="105"/>
    </row>
    <row r="113" spans="3:32" ht="15.75">
      <c r="D113" s="88"/>
      <c r="E113" s="88"/>
      <c r="F113" s="88"/>
      <c r="G113" s="88"/>
      <c r="H113" s="88"/>
      <c r="AF113" s="105"/>
    </row>
    <row r="114" spans="3:32" ht="15.75">
      <c r="D114" s="88"/>
      <c r="E114" s="88"/>
      <c r="F114" s="88"/>
      <c r="G114" s="88"/>
      <c r="H114" s="88"/>
      <c r="AF114" s="105"/>
    </row>
    <row r="115" spans="3:32" ht="15.75">
      <c r="D115" s="88"/>
      <c r="E115" s="88"/>
      <c r="F115" s="88"/>
      <c r="G115" s="88"/>
      <c r="H115" s="88"/>
      <c r="AF115" s="105"/>
    </row>
    <row r="116" spans="3:32" ht="15.75">
      <c r="D116" s="88"/>
      <c r="E116" s="88"/>
      <c r="F116" s="88"/>
      <c r="G116" s="88"/>
      <c r="H116" s="88"/>
      <c r="AF116" s="105"/>
    </row>
    <row r="117" spans="3:32" ht="15.75">
      <c r="D117" s="88"/>
      <c r="E117" s="88"/>
      <c r="F117" s="88"/>
      <c r="G117" s="88"/>
      <c r="H117" s="88"/>
      <c r="AF117" s="105"/>
    </row>
    <row r="118" spans="3:32" ht="15.75">
      <c r="D118" s="88"/>
      <c r="E118" s="88"/>
      <c r="F118" s="88"/>
      <c r="G118" s="88"/>
      <c r="H118" s="88"/>
      <c r="AF118" s="105"/>
    </row>
    <row r="119" spans="3:32" ht="15.75">
      <c r="D119" s="88"/>
      <c r="E119" s="88"/>
      <c r="F119" s="88"/>
      <c r="G119" s="88"/>
      <c r="H119" s="88"/>
      <c r="AF119" s="105"/>
    </row>
    <row r="120" spans="3:32" ht="15.75">
      <c r="D120" s="88"/>
      <c r="E120" s="88"/>
      <c r="F120" s="88"/>
      <c r="G120" s="88"/>
      <c r="H120" s="88"/>
      <c r="AF120" s="105"/>
    </row>
    <row r="121" spans="3:32" ht="15.75">
      <c r="D121" s="88"/>
      <c r="E121" s="88"/>
      <c r="F121" s="88"/>
      <c r="G121" s="88"/>
      <c r="H121" s="88"/>
      <c r="AF121" s="105"/>
    </row>
    <row r="122" spans="3:32" ht="15.75">
      <c r="D122" s="88"/>
      <c r="E122" s="88"/>
      <c r="F122" s="88"/>
      <c r="G122" s="88"/>
      <c r="H122" s="88"/>
      <c r="AF122" s="105"/>
    </row>
    <row r="123" spans="3:32" ht="15.75">
      <c r="D123" s="88"/>
      <c r="E123" s="88"/>
      <c r="F123" s="88"/>
      <c r="G123" s="88"/>
      <c r="H123" s="88"/>
      <c r="AF123" s="105"/>
    </row>
    <row r="124" spans="3:32" ht="15.75">
      <c r="D124" s="88"/>
      <c r="E124" s="88"/>
      <c r="F124" s="88"/>
      <c r="G124" s="88"/>
      <c r="H124" s="88"/>
      <c r="AF124" s="105"/>
    </row>
    <row r="125" spans="3:32" ht="15.75">
      <c r="D125" s="88"/>
      <c r="E125" s="88"/>
      <c r="F125" s="88"/>
      <c r="G125" s="88"/>
      <c r="H125" s="88"/>
      <c r="AF125" s="105"/>
    </row>
    <row r="126" spans="3:32" ht="15.75">
      <c r="D126" s="88"/>
      <c r="E126" s="88"/>
      <c r="F126" s="88"/>
      <c r="G126" s="88"/>
      <c r="H126" s="88"/>
      <c r="AF126" s="105"/>
    </row>
    <row r="127" spans="3:32" ht="15.75">
      <c r="C127" s="50" t="s">
        <v>318</v>
      </c>
      <c r="D127" s="212"/>
      <c r="E127" s="213"/>
      <c r="F127" s="213"/>
      <c r="G127" s="214"/>
      <c r="H127" s="59" t="s">
        <v>7</v>
      </c>
      <c r="I127" s="202" t="s">
        <v>319</v>
      </c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4"/>
      <c r="AF127" s="105"/>
    </row>
    <row r="128" spans="3:32" ht="15.75">
      <c r="C128" s="3" t="s">
        <v>320</v>
      </c>
      <c r="D128" s="205"/>
      <c r="E128" s="203"/>
      <c r="F128" s="203"/>
      <c r="G128" s="204"/>
      <c r="H128" s="59" t="s">
        <v>7</v>
      </c>
      <c r="I128" s="89" t="s">
        <v>321</v>
      </c>
      <c r="J128" s="90" t="s">
        <v>322</v>
      </c>
      <c r="K128" s="90" t="s">
        <v>323</v>
      </c>
      <c r="L128" s="90" t="s">
        <v>324</v>
      </c>
      <c r="M128" s="90" t="s">
        <v>325</v>
      </c>
      <c r="N128" s="90" t="s">
        <v>326</v>
      </c>
      <c r="O128" s="90" t="s">
        <v>327</v>
      </c>
      <c r="P128" s="90" t="s">
        <v>328</v>
      </c>
      <c r="Q128" s="90" t="s">
        <v>329</v>
      </c>
      <c r="R128" s="90" t="s">
        <v>330</v>
      </c>
      <c r="S128" s="90" t="s">
        <v>331</v>
      </c>
      <c r="T128" s="90" t="s">
        <v>332</v>
      </c>
      <c r="AF128" s="105"/>
    </row>
    <row r="129" spans="3:32" ht="15.75">
      <c r="C129" s="3" t="s">
        <v>333</v>
      </c>
      <c r="D129" s="205"/>
      <c r="E129" s="203"/>
      <c r="F129" s="203"/>
      <c r="G129" s="204"/>
      <c r="H129" s="59" t="s">
        <v>7</v>
      </c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AF129" s="105"/>
    </row>
    <row r="130" spans="3:32" ht="15.75">
      <c r="C130" s="22" t="s">
        <v>334</v>
      </c>
      <c r="D130" s="206"/>
      <c r="E130" s="203"/>
      <c r="F130" s="203"/>
      <c r="G130" s="204"/>
      <c r="H130" s="88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AF130" s="105"/>
    </row>
    <row r="131" spans="3:32" ht="15.75">
      <c r="C131" s="3" t="s">
        <v>335</v>
      </c>
      <c r="D131" s="207"/>
      <c r="E131" s="203"/>
      <c r="F131" s="203"/>
      <c r="G131" s="204"/>
      <c r="H131" s="59" t="s">
        <v>7</v>
      </c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AF131" s="105"/>
    </row>
    <row r="132" spans="3:32" ht="31.5">
      <c r="C132" s="3" t="s">
        <v>336</v>
      </c>
      <c r="D132" s="205"/>
      <c r="E132" s="203"/>
      <c r="F132" s="203"/>
      <c r="G132" s="204"/>
      <c r="H132" s="88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AF132" s="105"/>
    </row>
    <row r="133" spans="3:32" ht="31.5">
      <c r="C133" s="3" t="s">
        <v>337</v>
      </c>
      <c r="D133" s="210"/>
      <c r="E133" s="203"/>
      <c r="F133" s="203"/>
      <c r="G133" s="204"/>
      <c r="H133" s="88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AF133" s="105"/>
    </row>
    <row r="134" spans="3:32" ht="15.75">
      <c r="D134" s="88"/>
      <c r="E134" s="88"/>
      <c r="F134" s="88"/>
      <c r="G134" s="88"/>
      <c r="H134" s="88"/>
      <c r="AF134" s="105"/>
    </row>
    <row r="135" spans="3:32" ht="15.75">
      <c r="D135" s="88"/>
      <c r="E135" s="88"/>
      <c r="F135" s="88"/>
      <c r="G135" s="88"/>
      <c r="H135" s="88"/>
      <c r="AF135" s="105"/>
    </row>
    <row r="136" spans="3:32" ht="15.75">
      <c r="D136" s="88"/>
      <c r="E136" s="88"/>
      <c r="F136" s="88"/>
      <c r="G136" s="88"/>
      <c r="H136" s="88"/>
      <c r="AF136" s="105"/>
    </row>
    <row r="137" spans="3:32" ht="15.75">
      <c r="D137" s="88"/>
      <c r="E137" s="88"/>
      <c r="F137" s="88"/>
      <c r="G137" s="88"/>
      <c r="H137" s="88"/>
      <c r="AF137" s="105"/>
    </row>
    <row r="138" spans="3:32" ht="15.75">
      <c r="D138" s="88"/>
      <c r="E138" s="88"/>
      <c r="F138" s="88"/>
      <c r="G138" s="88"/>
      <c r="H138" s="88"/>
      <c r="AF138" s="105"/>
    </row>
    <row r="139" spans="3:32" ht="15.75">
      <c r="D139" s="88"/>
      <c r="E139" s="88"/>
      <c r="F139" s="88"/>
      <c r="G139" s="88"/>
      <c r="H139" s="88"/>
      <c r="AF139" s="105"/>
    </row>
    <row r="140" spans="3:32" ht="15.75">
      <c r="D140" s="88"/>
      <c r="E140" s="88"/>
      <c r="F140" s="88"/>
      <c r="G140" s="88"/>
      <c r="H140" s="88"/>
      <c r="AF140" s="105"/>
    </row>
    <row r="141" spans="3:32" ht="15.75">
      <c r="D141" s="88"/>
      <c r="E141" s="88"/>
      <c r="F141" s="88"/>
      <c r="G141" s="88"/>
      <c r="H141" s="88"/>
      <c r="AF141" s="105"/>
    </row>
    <row r="142" spans="3:32" ht="15.75">
      <c r="D142" s="88"/>
      <c r="E142" s="88"/>
      <c r="F142" s="88"/>
      <c r="G142" s="88"/>
      <c r="H142" s="88"/>
      <c r="AF142" s="105"/>
    </row>
    <row r="143" spans="3:32" ht="15.75">
      <c r="D143" s="88"/>
      <c r="E143" s="88"/>
      <c r="F143" s="88"/>
      <c r="G143" s="88"/>
      <c r="H143" s="88"/>
      <c r="AF143" s="105"/>
    </row>
    <row r="144" spans="3:32" ht="15.75">
      <c r="D144" s="88"/>
      <c r="E144" s="88"/>
      <c r="F144" s="88"/>
      <c r="G144" s="88"/>
      <c r="H144" s="88"/>
      <c r="AF144" s="105"/>
    </row>
    <row r="145" spans="4:32" ht="15.75">
      <c r="D145" s="88"/>
      <c r="E145" s="88"/>
      <c r="F145" s="88"/>
      <c r="G145" s="88"/>
      <c r="H145" s="88"/>
      <c r="AF145" s="105"/>
    </row>
    <row r="146" spans="4:32" ht="15.75">
      <c r="D146" s="88"/>
      <c r="E146" s="88"/>
      <c r="F146" s="88"/>
      <c r="G146" s="88"/>
      <c r="H146" s="88"/>
      <c r="AF146" s="105"/>
    </row>
    <row r="147" spans="4:32" ht="15.75">
      <c r="D147" s="88"/>
      <c r="E147" s="88"/>
      <c r="F147" s="88"/>
      <c r="G147" s="88"/>
      <c r="H147" s="88"/>
      <c r="AF147" s="105"/>
    </row>
    <row r="148" spans="4:32" ht="15.75">
      <c r="D148" s="88"/>
      <c r="E148" s="88"/>
      <c r="F148" s="88"/>
      <c r="G148" s="88"/>
      <c r="H148" s="88"/>
      <c r="AF148" s="105"/>
    </row>
    <row r="149" spans="4:32" ht="15.75">
      <c r="D149" s="88"/>
      <c r="E149" s="88"/>
      <c r="F149" s="88"/>
      <c r="G149" s="88"/>
      <c r="H149" s="88"/>
      <c r="AF149" s="105"/>
    </row>
    <row r="150" spans="4:32" ht="15.75">
      <c r="D150" s="88"/>
      <c r="E150" s="88"/>
      <c r="F150" s="88"/>
      <c r="G150" s="88"/>
      <c r="H150" s="88"/>
      <c r="AF150" s="105"/>
    </row>
    <row r="151" spans="4:32" ht="15.75">
      <c r="D151" s="88"/>
      <c r="E151" s="88"/>
      <c r="F151" s="88"/>
      <c r="G151" s="88"/>
      <c r="H151" s="88"/>
      <c r="AF151" s="105"/>
    </row>
    <row r="152" spans="4:32" ht="15.75">
      <c r="D152" s="88"/>
      <c r="E152" s="88"/>
      <c r="F152" s="88"/>
      <c r="G152" s="88"/>
      <c r="H152" s="88"/>
      <c r="AF152" s="105"/>
    </row>
    <row r="153" spans="4:32" ht="15.75">
      <c r="D153" s="88"/>
      <c r="E153" s="88"/>
      <c r="F153" s="88"/>
      <c r="G153" s="88"/>
      <c r="H153" s="88"/>
      <c r="AF153" s="105"/>
    </row>
    <row r="154" spans="4:32" ht="15.75">
      <c r="D154" s="88"/>
      <c r="E154" s="88"/>
      <c r="F154" s="88"/>
      <c r="G154" s="88"/>
      <c r="H154" s="88"/>
      <c r="AF154" s="105"/>
    </row>
    <row r="155" spans="4:32" ht="15.75">
      <c r="D155" s="88"/>
      <c r="E155" s="88"/>
      <c r="F155" s="88"/>
      <c r="G155" s="88"/>
      <c r="H155" s="88"/>
      <c r="AF155" s="105"/>
    </row>
    <row r="156" spans="4:32" ht="15.75">
      <c r="D156" s="88"/>
      <c r="E156" s="88"/>
      <c r="F156" s="88"/>
      <c r="G156" s="88"/>
      <c r="H156" s="88"/>
      <c r="AF156" s="105"/>
    </row>
    <row r="157" spans="4:32" ht="15.75">
      <c r="D157" s="88"/>
      <c r="E157" s="88"/>
      <c r="F157" s="88"/>
      <c r="G157" s="88"/>
      <c r="H157" s="88"/>
      <c r="AF157" s="105"/>
    </row>
    <row r="158" spans="4:32" ht="15.75">
      <c r="D158" s="88"/>
      <c r="E158" s="88"/>
      <c r="F158" s="88"/>
      <c r="G158" s="88"/>
      <c r="H158" s="88"/>
      <c r="AF158" s="105"/>
    </row>
    <row r="159" spans="4:32" ht="15.75">
      <c r="D159" s="88"/>
      <c r="E159" s="88"/>
      <c r="F159" s="88"/>
      <c r="G159" s="88"/>
      <c r="H159" s="88"/>
      <c r="AF159" s="105"/>
    </row>
    <row r="160" spans="4:32" ht="15.75">
      <c r="D160" s="88"/>
      <c r="E160" s="88"/>
      <c r="F160" s="88"/>
      <c r="G160" s="88"/>
      <c r="H160" s="88"/>
      <c r="AF160" s="105"/>
    </row>
    <row r="161" spans="4:32" ht="15.75">
      <c r="D161" s="88"/>
      <c r="E161" s="88"/>
      <c r="F161" s="88"/>
      <c r="G161" s="88"/>
      <c r="H161" s="88"/>
      <c r="AF161" s="105"/>
    </row>
    <row r="162" spans="4:32" ht="15.75">
      <c r="D162" s="88"/>
      <c r="E162" s="88"/>
      <c r="F162" s="88"/>
      <c r="G162" s="88"/>
      <c r="H162" s="88"/>
      <c r="AF162" s="105"/>
    </row>
    <row r="163" spans="4:32" ht="15.75">
      <c r="D163" s="88"/>
      <c r="E163" s="88"/>
      <c r="F163" s="88"/>
      <c r="G163" s="88"/>
      <c r="H163" s="88"/>
      <c r="AF163" s="105"/>
    </row>
    <row r="164" spans="4:32" ht="15.75">
      <c r="D164" s="88"/>
      <c r="E164" s="88"/>
      <c r="F164" s="88"/>
      <c r="G164" s="88"/>
      <c r="H164" s="88"/>
      <c r="AF164" s="105"/>
    </row>
    <row r="165" spans="4:32" ht="15.75">
      <c r="D165" s="88"/>
      <c r="E165" s="88"/>
      <c r="F165" s="88"/>
      <c r="G165" s="88"/>
      <c r="H165" s="88"/>
      <c r="AF165" s="105"/>
    </row>
    <row r="166" spans="4:32" ht="15.75">
      <c r="D166" s="88"/>
      <c r="E166" s="88"/>
      <c r="F166" s="88"/>
      <c r="G166" s="88"/>
      <c r="H166" s="88"/>
      <c r="AF166" s="105"/>
    </row>
    <row r="167" spans="4:32" ht="15.75">
      <c r="D167" s="88"/>
      <c r="E167" s="88"/>
      <c r="F167" s="88"/>
      <c r="G167" s="88"/>
      <c r="H167" s="88"/>
      <c r="AF167" s="105"/>
    </row>
    <row r="168" spans="4:32" ht="15.75">
      <c r="D168" s="88"/>
      <c r="E168" s="88"/>
      <c r="F168" s="88"/>
      <c r="G168" s="88"/>
      <c r="H168" s="88"/>
      <c r="AF168" s="105"/>
    </row>
    <row r="169" spans="4:32" ht="15.75">
      <c r="D169" s="88"/>
      <c r="E169" s="88"/>
      <c r="F169" s="88"/>
      <c r="G169" s="88"/>
      <c r="H169" s="88"/>
      <c r="AF169" s="105"/>
    </row>
    <row r="170" spans="4:32" ht="15.75">
      <c r="D170" s="88"/>
      <c r="E170" s="88"/>
      <c r="F170" s="88"/>
      <c r="G170" s="88"/>
      <c r="H170" s="88"/>
      <c r="AF170" s="105"/>
    </row>
    <row r="171" spans="4:32" ht="15.75">
      <c r="D171" s="88"/>
      <c r="E171" s="88"/>
      <c r="F171" s="88"/>
      <c r="G171" s="88"/>
      <c r="H171" s="88"/>
      <c r="AF171" s="105"/>
    </row>
    <row r="172" spans="4:32" ht="15.75">
      <c r="D172" s="88"/>
      <c r="E172" s="88"/>
      <c r="F172" s="88"/>
      <c r="G172" s="88"/>
      <c r="H172" s="88"/>
      <c r="AF172" s="105"/>
    </row>
    <row r="173" spans="4:32" ht="15.75">
      <c r="D173" s="88"/>
      <c r="E173" s="88"/>
      <c r="F173" s="88"/>
      <c r="G173" s="88"/>
      <c r="H173" s="88"/>
      <c r="AF173" s="105"/>
    </row>
    <row r="174" spans="4:32" ht="15.75">
      <c r="D174" s="88"/>
      <c r="E174" s="88"/>
      <c r="F174" s="88"/>
      <c r="G174" s="88"/>
      <c r="H174" s="88"/>
      <c r="AF174" s="105"/>
    </row>
    <row r="175" spans="4:32" ht="15.75">
      <c r="D175" s="88"/>
      <c r="E175" s="88"/>
      <c r="F175" s="88"/>
      <c r="G175" s="88"/>
      <c r="H175" s="88"/>
      <c r="AF175" s="105"/>
    </row>
    <row r="176" spans="4:32" ht="15.75">
      <c r="D176" s="88"/>
      <c r="E176" s="88"/>
      <c r="F176" s="88"/>
      <c r="G176" s="88"/>
      <c r="H176" s="88"/>
      <c r="AF176" s="105"/>
    </row>
    <row r="177" spans="4:32" ht="15.75">
      <c r="D177" s="88"/>
      <c r="E177" s="88"/>
      <c r="F177" s="88"/>
      <c r="G177" s="88"/>
      <c r="H177" s="88"/>
      <c r="AF177" s="105"/>
    </row>
    <row r="178" spans="4:32" ht="15.75">
      <c r="D178" s="88"/>
      <c r="E178" s="88"/>
      <c r="F178" s="88"/>
      <c r="G178" s="88"/>
      <c r="H178" s="88"/>
      <c r="AF178" s="105"/>
    </row>
    <row r="179" spans="4:32" ht="15.75">
      <c r="D179" s="88"/>
      <c r="E179" s="88"/>
      <c r="F179" s="88"/>
      <c r="G179" s="88"/>
      <c r="H179" s="88"/>
      <c r="AF179" s="105"/>
    </row>
    <row r="180" spans="4:32" ht="15.75">
      <c r="D180" s="88"/>
      <c r="E180" s="88"/>
      <c r="F180" s="88"/>
      <c r="G180" s="88"/>
      <c r="H180" s="88"/>
      <c r="AF180" s="105"/>
    </row>
    <row r="181" spans="4:32" ht="15.75">
      <c r="D181" s="88"/>
      <c r="E181" s="88"/>
      <c r="F181" s="88"/>
      <c r="G181" s="88"/>
      <c r="H181" s="88"/>
      <c r="AF181" s="105"/>
    </row>
    <row r="182" spans="4:32" ht="15.75">
      <c r="D182" s="88"/>
      <c r="E182" s="88"/>
      <c r="F182" s="88"/>
      <c r="G182" s="88"/>
      <c r="H182" s="88"/>
      <c r="AF182" s="105"/>
    </row>
    <row r="183" spans="4:32" ht="15.75">
      <c r="D183" s="88"/>
      <c r="E183" s="88"/>
      <c r="F183" s="88"/>
      <c r="G183" s="88"/>
      <c r="H183" s="88"/>
      <c r="AF183" s="105"/>
    </row>
    <row r="184" spans="4:32" ht="15.75">
      <c r="D184" s="88"/>
      <c r="E184" s="88"/>
      <c r="F184" s="88"/>
      <c r="G184" s="88"/>
      <c r="H184" s="88"/>
      <c r="AF184" s="105"/>
    </row>
    <row r="185" spans="4:32" ht="15.75">
      <c r="D185" s="88"/>
      <c r="E185" s="88"/>
      <c r="F185" s="88"/>
      <c r="G185" s="88"/>
      <c r="H185" s="88"/>
      <c r="AF185" s="105"/>
    </row>
    <row r="186" spans="4:32" ht="15.75">
      <c r="D186" s="88"/>
      <c r="E186" s="88"/>
      <c r="F186" s="88"/>
      <c r="G186" s="88"/>
      <c r="H186" s="88"/>
      <c r="AF186" s="105"/>
    </row>
    <row r="187" spans="4:32" ht="15.75">
      <c r="D187" s="88"/>
      <c r="E187" s="88"/>
      <c r="F187" s="88"/>
      <c r="G187" s="88"/>
      <c r="H187" s="88"/>
      <c r="AF187" s="105"/>
    </row>
    <row r="188" spans="4:32" ht="15.75">
      <c r="D188" s="88"/>
      <c r="E188" s="88"/>
      <c r="F188" s="88"/>
      <c r="G188" s="88"/>
      <c r="H188" s="88"/>
      <c r="AF188" s="105"/>
    </row>
    <row r="189" spans="4:32" ht="15.75">
      <c r="D189" s="88"/>
      <c r="E189" s="88"/>
      <c r="F189" s="88"/>
      <c r="G189" s="88"/>
      <c r="H189" s="88"/>
      <c r="AF189" s="105"/>
    </row>
    <row r="190" spans="4:32" ht="15.75">
      <c r="D190" s="88"/>
      <c r="E190" s="88"/>
      <c r="F190" s="88"/>
      <c r="G190" s="88"/>
      <c r="H190" s="88"/>
      <c r="AF190" s="105"/>
    </row>
    <row r="191" spans="4:32" ht="15.75">
      <c r="D191" s="88"/>
      <c r="E191" s="88"/>
      <c r="F191" s="88"/>
      <c r="G191" s="88"/>
      <c r="H191" s="88"/>
      <c r="AF191" s="105"/>
    </row>
    <row r="192" spans="4:32" ht="15.75">
      <c r="D192" s="88"/>
      <c r="E192" s="88"/>
      <c r="F192" s="88"/>
      <c r="G192" s="88"/>
      <c r="H192" s="88"/>
      <c r="AF192" s="105"/>
    </row>
    <row r="193" spans="4:32" ht="15.75">
      <c r="D193" s="88"/>
      <c r="E193" s="88"/>
      <c r="F193" s="88"/>
      <c r="G193" s="88"/>
      <c r="H193" s="88"/>
      <c r="AF193" s="105"/>
    </row>
    <row r="194" spans="4:32" ht="15.75">
      <c r="D194" s="88"/>
      <c r="E194" s="88"/>
      <c r="F194" s="88"/>
      <c r="G194" s="88"/>
      <c r="H194" s="88"/>
      <c r="AF194" s="105"/>
    </row>
    <row r="195" spans="4:32" ht="15.75">
      <c r="D195" s="88"/>
      <c r="E195" s="88"/>
      <c r="F195" s="88"/>
      <c r="G195" s="88"/>
      <c r="H195" s="88"/>
      <c r="AF195" s="105"/>
    </row>
    <row r="196" spans="4:32" ht="15.75">
      <c r="D196" s="88"/>
      <c r="E196" s="88"/>
      <c r="F196" s="88"/>
      <c r="G196" s="88"/>
      <c r="H196" s="88"/>
      <c r="AF196" s="105"/>
    </row>
    <row r="197" spans="4:32" ht="15.75">
      <c r="D197" s="88"/>
      <c r="E197" s="88"/>
      <c r="F197" s="88"/>
      <c r="G197" s="88"/>
      <c r="H197" s="88"/>
      <c r="AF197" s="105"/>
    </row>
    <row r="198" spans="4:32" ht="15.75">
      <c r="D198" s="88"/>
      <c r="E198" s="88"/>
      <c r="F198" s="88"/>
      <c r="G198" s="88"/>
      <c r="H198" s="88"/>
      <c r="AF198" s="105"/>
    </row>
    <row r="199" spans="4:32" ht="15.75">
      <c r="D199" s="88"/>
      <c r="E199" s="88"/>
      <c r="F199" s="88"/>
      <c r="G199" s="88"/>
      <c r="H199" s="88"/>
      <c r="AF199" s="105"/>
    </row>
    <row r="200" spans="4:32" ht="15.75">
      <c r="D200" s="88"/>
      <c r="E200" s="88"/>
      <c r="F200" s="88"/>
      <c r="G200" s="88"/>
      <c r="H200" s="88"/>
      <c r="AF200" s="105"/>
    </row>
    <row r="201" spans="4:32" ht="15.75">
      <c r="D201" s="88"/>
      <c r="E201" s="88"/>
      <c r="F201" s="88"/>
      <c r="G201" s="88"/>
      <c r="H201" s="88"/>
      <c r="AF201" s="105"/>
    </row>
    <row r="202" spans="4:32" ht="15.75">
      <c r="D202" s="88"/>
      <c r="E202" s="88"/>
      <c r="F202" s="88"/>
      <c r="G202" s="88"/>
      <c r="H202" s="88"/>
      <c r="AF202" s="105"/>
    </row>
    <row r="203" spans="4:32" ht="15.75">
      <c r="D203" s="88"/>
      <c r="E203" s="88"/>
      <c r="F203" s="88"/>
      <c r="G203" s="88"/>
      <c r="H203" s="88"/>
      <c r="AF203" s="105"/>
    </row>
    <row r="204" spans="4:32" ht="15.75">
      <c r="D204" s="88"/>
      <c r="E204" s="88"/>
      <c r="F204" s="88"/>
      <c r="G204" s="88"/>
      <c r="H204" s="88"/>
      <c r="AF204" s="105"/>
    </row>
    <row r="205" spans="4:32" ht="15.75">
      <c r="D205" s="88"/>
      <c r="E205" s="88"/>
      <c r="F205" s="88"/>
      <c r="G205" s="88"/>
      <c r="H205" s="88"/>
      <c r="AF205" s="105"/>
    </row>
    <row r="206" spans="4:32" ht="15.75">
      <c r="D206" s="88"/>
      <c r="E206" s="88"/>
      <c r="F206" s="88"/>
      <c r="G206" s="88"/>
      <c r="H206" s="88"/>
      <c r="AF206" s="105"/>
    </row>
    <row r="207" spans="4:32" ht="15.75">
      <c r="D207" s="88"/>
      <c r="E207" s="88"/>
      <c r="F207" s="88"/>
      <c r="G207" s="88"/>
      <c r="H207" s="88"/>
      <c r="AF207" s="105"/>
    </row>
    <row r="208" spans="4:32" ht="15.75">
      <c r="D208" s="88"/>
      <c r="E208" s="88"/>
      <c r="F208" s="88"/>
      <c r="G208" s="88"/>
      <c r="H208" s="88"/>
      <c r="AF208" s="105"/>
    </row>
    <row r="209" spans="4:32" ht="15.75">
      <c r="D209" s="88"/>
      <c r="E209" s="88"/>
      <c r="F209" s="88"/>
      <c r="G209" s="88"/>
      <c r="H209" s="88"/>
      <c r="AF209" s="105"/>
    </row>
    <row r="210" spans="4:32" ht="15.75">
      <c r="D210" s="88"/>
      <c r="E210" s="88"/>
      <c r="F210" s="88"/>
      <c r="G210" s="88"/>
      <c r="H210" s="88"/>
      <c r="AF210" s="105"/>
    </row>
    <row r="211" spans="4:32" ht="15.75">
      <c r="D211" s="88"/>
      <c r="E211" s="88"/>
      <c r="F211" s="88"/>
      <c r="G211" s="88"/>
      <c r="H211" s="88"/>
      <c r="AF211" s="105"/>
    </row>
    <row r="212" spans="4:32" ht="15.75">
      <c r="D212" s="88"/>
      <c r="E212" s="88"/>
      <c r="F212" s="88"/>
      <c r="G212" s="88"/>
      <c r="H212" s="88"/>
      <c r="AF212" s="105"/>
    </row>
    <row r="213" spans="4:32" ht="15.75">
      <c r="D213" s="88"/>
      <c r="E213" s="88"/>
      <c r="F213" s="88"/>
      <c r="G213" s="88"/>
      <c r="H213" s="88"/>
      <c r="AF213" s="105"/>
    </row>
    <row r="214" spans="4:32" ht="15.75">
      <c r="D214" s="88"/>
      <c r="E214" s="88"/>
      <c r="F214" s="88"/>
      <c r="G214" s="88"/>
      <c r="H214" s="88"/>
      <c r="AF214" s="105"/>
    </row>
    <row r="215" spans="4:32" ht="15.75">
      <c r="D215" s="88"/>
      <c r="E215" s="88"/>
      <c r="F215" s="88"/>
      <c r="G215" s="88"/>
      <c r="H215" s="88"/>
      <c r="AF215" s="105"/>
    </row>
    <row r="216" spans="4:32" ht="15.75">
      <c r="D216" s="88"/>
      <c r="E216" s="88"/>
      <c r="F216" s="88"/>
      <c r="G216" s="88"/>
      <c r="H216" s="88"/>
      <c r="AF216" s="105"/>
    </row>
    <row r="217" spans="4:32" ht="15.75">
      <c r="D217" s="88"/>
      <c r="E217" s="88"/>
      <c r="F217" s="88"/>
      <c r="G217" s="88"/>
      <c r="H217" s="88"/>
      <c r="AF217" s="105"/>
    </row>
    <row r="218" spans="4:32" ht="15.75">
      <c r="D218" s="88"/>
      <c r="E218" s="88"/>
      <c r="F218" s="88"/>
      <c r="G218" s="88"/>
      <c r="H218" s="88"/>
      <c r="AF218" s="105"/>
    </row>
    <row r="219" spans="4:32" ht="15.75">
      <c r="D219" s="88"/>
      <c r="E219" s="88"/>
      <c r="F219" s="88"/>
      <c r="G219" s="88"/>
      <c r="H219" s="88"/>
      <c r="AF219" s="105"/>
    </row>
    <row r="220" spans="4:32" ht="15.75">
      <c r="D220" s="88"/>
      <c r="E220" s="88"/>
      <c r="F220" s="88"/>
      <c r="G220" s="88"/>
      <c r="H220" s="88"/>
      <c r="AF220" s="105"/>
    </row>
    <row r="221" spans="4:32" ht="15.75">
      <c r="D221" s="88"/>
      <c r="E221" s="88"/>
      <c r="F221" s="88"/>
      <c r="G221" s="88"/>
      <c r="H221" s="88"/>
      <c r="AF221" s="105"/>
    </row>
    <row r="222" spans="4:32" ht="15.75">
      <c r="D222" s="88"/>
      <c r="E222" s="88"/>
      <c r="F222" s="88"/>
      <c r="G222" s="88"/>
      <c r="H222" s="88"/>
      <c r="AF222" s="105"/>
    </row>
    <row r="223" spans="4:32" ht="15.75">
      <c r="D223" s="88"/>
      <c r="E223" s="88"/>
      <c r="F223" s="88"/>
      <c r="G223" s="88"/>
      <c r="H223" s="88"/>
      <c r="AF223" s="105"/>
    </row>
    <row r="224" spans="4:32" ht="15.75">
      <c r="D224" s="88"/>
      <c r="E224" s="88"/>
      <c r="F224" s="88"/>
      <c r="G224" s="88"/>
      <c r="H224" s="88"/>
      <c r="AF224" s="105"/>
    </row>
    <row r="225" spans="4:32" ht="15.75">
      <c r="D225" s="88"/>
      <c r="E225" s="88"/>
      <c r="F225" s="88"/>
      <c r="G225" s="88"/>
      <c r="H225" s="88"/>
      <c r="AF225" s="105"/>
    </row>
    <row r="226" spans="4:32" ht="15.75">
      <c r="D226" s="88"/>
      <c r="E226" s="88"/>
      <c r="F226" s="88"/>
      <c r="G226" s="88"/>
      <c r="H226" s="88"/>
      <c r="AF226" s="105"/>
    </row>
    <row r="227" spans="4:32" ht="15.75">
      <c r="D227" s="88"/>
      <c r="E227" s="88"/>
      <c r="F227" s="88"/>
      <c r="G227" s="88"/>
      <c r="H227" s="88"/>
      <c r="AF227" s="105"/>
    </row>
    <row r="228" spans="4:32" ht="15.75">
      <c r="D228" s="88"/>
      <c r="E228" s="88"/>
      <c r="F228" s="88"/>
      <c r="G228" s="88"/>
      <c r="H228" s="88"/>
      <c r="AF228" s="105"/>
    </row>
    <row r="229" spans="4:32" ht="15.75">
      <c r="D229" s="88"/>
      <c r="E229" s="88"/>
      <c r="F229" s="88"/>
      <c r="G229" s="88"/>
      <c r="H229" s="88"/>
      <c r="AF229" s="105"/>
    </row>
    <row r="230" spans="4:32" ht="15.75">
      <c r="D230" s="88"/>
      <c r="E230" s="88"/>
      <c r="F230" s="88"/>
      <c r="G230" s="88"/>
      <c r="H230" s="88"/>
      <c r="AF230" s="105"/>
    </row>
    <row r="231" spans="4:32" ht="15.75">
      <c r="D231" s="88"/>
      <c r="E231" s="88"/>
      <c r="F231" s="88"/>
      <c r="G231" s="88"/>
      <c r="H231" s="88"/>
      <c r="AF231" s="105"/>
    </row>
    <row r="232" spans="4:32" ht="15.75">
      <c r="D232" s="88"/>
      <c r="E232" s="88"/>
      <c r="F232" s="88"/>
      <c r="G232" s="88"/>
      <c r="H232" s="88"/>
      <c r="AF232" s="105"/>
    </row>
    <row r="233" spans="4:32" ht="15.75">
      <c r="D233" s="88"/>
      <c r="E233" s="88"/>
      <c r="F233" s="88"/>
      <c r="G233" s="88"/>
      <c r="H233" s="88"/>
      <c r="AF233" s="105"/>
    </row>
    <row r="234" spans="4:32" ht="15.75">
      <c r="D234" s="88"/>
      <c r="E234" s="88"/>
      <c r="F234" s="88"/>
      <c r="G234" s="88"/>
      <c r="H234" s="88"/>
      <c r="AF234" s="105"/>
    </row>
    <row r="235" spans="4:32" ht="15.75">
      <c r="D235" s="88"/>
      <c r="E235" s="88"/>
      <c r="F235" s="88"/>
      <c r="G235" s="88"/>
      <c r="H235" s="88"/>
      <c r="AF235" s="105"/>
    </row>
    <row r="236" spans="4:32" ht="15.75">
      <c r="D236" s="88"/>
      <c r="E236" s="88"/>
      <c r="F236" s="88"/>
      <c r="G236" s="88"/>
      <c r="H236" s="88"/>
      <c r="AF236" s="105"/>
    </row>
    <row r="237" spans="4:32" ht="15.75">
      <c r="D237" s="88"/>
      <c r="E237" s="88"/>
      <c r="F237" s="88"/>
      <c r="G237" s="88"/>
      <c r="H237" s="88"/>
      <c r="AF237" s="105"/>
    </row>
    <row r="238" spans="4:32" ht="15.75">
      <c r="D238" s="88"/>
      <c r="E238" s="88"/>
      <c r="F238" s="88"/>
      <c r="G238" s="88"/>
      <c r="H238" s="88"/>
      <c r="AF238" s="105"/>
    </row>
    <row r="239" spans="4:32" ht="15.75">
      <c r="D239" s="88"/>
      <c r="E239" s="88"/>
      <c r="F239" s="88"/>
      <c r="G239" s="88"/>
      <c r="H239" s="88"/>
      <c r="AF239" s="105"/>
    </row>
    <row r="240" spans="4:32" ht="15.75">
      <c r="D240" s="88"/>
      <c r="E240" s="88"/>
      <c r="F240" s="88"/>
      <c r="G240" s="88"/>
      <c r="H240" s="88"/>
      <c r="AF240" s="105"/>
    </row>
    <row r="241" spans="4:32" ht="15.75">
      <c r="D241" s="88"/>
      <c r="E241" s="88"/>
      <c r="F241" s="88"/>
      <c r="G241" s="88"/>
      <c r="H241" s="88"/>
      <c r="AF241" s="105"/>
    </row>
    <row r="242" spans="4:32" ht="15.75">
      <c r="D242" s="88"/>
      <c r="E242" s="88"/>
      <c r="F242" s="88"/>
      <c r="G242" s="88"/>
      <c r="H242" s="88"/>
      <c r="AF242" s="105"/>
    </row>
    <row r="243" spans="4:32" ht="15.75">
      <c r="D243" s="88"/>
      <c r="E243" s="88"/>
      <c r="F243" s="88"/>
      <c r="G243" s="88"/>
      <c r="H243" s="88"/>
      <c r="AF243" s="105"/>
    </row>
    <row r="244" spans="4:32" ht="15.75">
      <c r="D244" s="88"/>
      <c r="E244" s="88"/>
      <c r="F244" s="88"/>
      <c r="G244" s="88"/>
      <c r="H244" s="88"/>
      <c r="AF244" s="105"/>
    </row>
    <row r="245" spans="4:32" ht="15.75">
      <c r="D245" s="88"/>
      <c r="E245" s="88"/>
      <c r="F245" s="88"/>
      <c r="G245" s="88"/>
      <c r="H245" s="88"/>
      <c r="AF245" s="105"/>
    </row>
    <row r="246" spans="4:32" ht="15.75">
      <c r="D246" s="88"/>
      <c r="E246" s="88"/>
      <c r="F246" s="88"/>
      <c r="G246" s="88"/>
      <c r="H246" s="88"/>
      <c r="AF246" s="105"/>
    </row>
    <row r="247" spans="4:32" ht="15.75">
      <c r="D247" s="88"/>
      <c r="E247" s="88"/>
      <c r="F247" s="88"/>
      <c r="G247" s="88"/>
      <c r="H247" s="88"/>
      <c r="AF247" s="105"/>
    </row>
    <row r="248" spans="4:32" ht="15.75">
      <c r="D248" s="88"/>
      <c r="E248" s="88"/>
      <c r="F248" s="88"/>
      <c r="G248" s="88"/>
      <c r="H248" s="88"/>
      <c r="AF248" s="105"/>
    </row>
    <row r="249" spans="4:32" ht="15.75">
      <c r="D249" s="88"/>
      <c r="E249" s="88"/>
      <c r="F249" s="88"/>
      <c r="G249" s="88"/>
      <c r="H249" s="88"/>
      <c r="AF249" s="105"/>
    </row>
    <row r="250" spans="4:32" ht="15.75">
      <c r="D250" s="88"/>
      <c r="E250" s="88"/>
      <c r="F250" s="88"/>
      <c r="G250" s="88"/>
      <c r="H250" s="88"/>
      <c r="AF250" s="105"/>
    </row>
    <row r="251" spans="4:32" ht="15.75">
      <c r="D251" s="88"/>
      <c r="E251" s="88"/>
      <c r="F251" s="88"/>
      <c r="G251" s="88"/>
      <c r="H251" s="88"/>
      <c r="AF251" s="105"/>
    </row>
    <row r="252" spans="4:32" ht="15.75">
      <c r="D252" s="88"/>
      <c r="E252" s="88"/>
      <c r="F252" s="88"/>
      <c r="G252" s="88"/>
      <c r="H252" s="88"/>
      <c r="AF252" s="105"/>
    </row>
    <row r="253" spans="4:32" ht="15.75">
      <c r="D253" s="88"/>
      <c r="E253" s="88"/>
      <c r="F253" s="88"/>
      <c r="G253" s="88"/>
      <c r="H253" s="88"/>
      <c r="AF253" s="105"/>
    </row>
    <row r="254" spans="4:32" ht="15.75">
      <c r="D254" s="88"/>
      <c r="E254" s="88"/>
      <c r="F254" s="88"/>
      <c r="G254" s="88"/>
      <c r="H254" s="88"/>
      <c r="AF254" s="105"/>
    </row>
    <row r="255" spans="4:32" ht="15.75">
      <c r="D255" s="88"/>
      <c r="E255" s="88"/>
      <c r="F255" s="88"/>
      <c r="G255" s="88"/>
      <c r="H255" s="88"/>
      <c r="AF255" s="105"/>
    </row>
    <row r="256" spans="4:32" ht="15.75">
      <c r="D256" s="88"/>
      <c r="E256" s="88"/>
      <c r="F256" s="88"/>
      <c r="G256" s="88"/>
      <c r="H256" s="88"/>
      <c r="AF256" s="105"/>
    </row>
    <row r="257" spans="4:32" ht="15.75">
      <c r="D257" s="88"/>
      <c r="E257" s="88"/>
      <c r="F257" s="88"/>
      <c r="G257" s="88"/>
      <c r="H257" s="88"/>
      <c r="AF257" s="105"/>
    </row>
    <row r="258" spans="4:32" ht="15.75">
      <c r="D258" s="88"/>
      <c r="E258" s="88"/>
      <c r="F258" s="88"/>
      <c r="G258" s="88"/>
      <c r="H258" s="88"/>
      <c r="AF258" s="105"/>
    </row>
    <row r="259" spans="4:32" ht="15.75">
      <c r="D259" s="88"/>
      <c r="E259" s="88"/>
      <c r="F259" s="88"/>
      <c r="G259" s="88"/>
      <c r="H259" s="88"/>
      <c r="AF259" s="105"/>
    </row>
    <row r="260" spans="4:32" ht="15.75">
      <c r="D260" s="88"/>
      <c r="E260" s="88"/>
      <c r="F260" s="88"/>
      <c r="G260" s="88"/>
      <c r="H260" s="88"/>
      <c r="AF260" s="105"/>
    </row>
    <row r="261" spans="4:32" ht="15.75">
      <c r="D261" s="88"/>
      <c r="E261" s="88"/>
      <c r="F261" s="88"/>
      <c r="G261" s="88"/>
      <c r="H261" s="88"/>
      <c r="AF261" s="105"/>
    </row>
    <row r="262" spans="4:32" ht="15.75">
      <c r="D262" s="88"/>
      <c r="E262" s="88"/>
      <c r="F262" s="88"/>
      <c r="G262" s="88"/>
      <c r="H262" s="88"/>
      <c r="AF262" s="105"/>
    </row>
    <row r="263" spans="4:32" ht="15.75">
      <c r="D263" s="88"/>
      <c r="E263" s="88"/>
      <c r="F263" s="88"/>
      <c r="G263" s="88"/>
      <c r="H263" s="88"/>
      <c r="AF263" s="105"/>
    </row>
    <row r="264" spans="4:32" ht="15.75">
      <c r="D264" s="88"/>
      <c r="E264" s="88"/>
      <c r="F264" s="88"/>
      <c r="G264" s="88"/>
      <c r="H264" s="88"/>
      <c r="AF264" s="105"/>
    </row>
    <row r="265" spans="4:32" ht="15.75">
      <c r="D265" s="88"/>
      <c r="E265" s="88"/>
      <c r="F265" s="88"/>
      <c r="G265" s="88"/>
      <c r="H265" s="88"/>
      <c r="AF265" s="105"/>
    </row>
    <row r="266" spans="4:32" ht="15.75">
      <c r="D266" s="88"/>
      <c r="E266" s="88"/>
      <c r="F266" s="88"/>
      <c r="G266" s="88"/>
      <c r="H266" s="88"/>
      <c r="AF266" s="105"/>
    </row>
    <row r="267" spans="4:32" ht="15.75">
      <c r="D267" s="88"/>
      <c r="E267" s="88"/>
      <c r="F267" s="88"/>
      <c r="G267" s="88"/>
      <c r="H267" s="88"/>
      <c r="AF267" s="105"/>
    </row>
    <row r="268" spans="4:32" ht="15.75">
      <c r="D268" s="88"/>
      <c r="E268" s="88"/>
      <c r="F268" s="88"/>
      <c r="G268" s="88"/>
      <c r="H268" s="88"/>
      <c r="AF268" s="105"/>
    </row>
    <row r="269" spans="4:32" ht="15.75">
      <c r="D269" s="88"/>
      <c r="E269" s="88"/>
      <c r="F269" s="88"/>
      <c r="G269" s="88"/>
      <c r="H269" s="88"/>
      <c r="AF269" s="105"/>
    </row>
    <row r="270" spans="4:32" ht="15.75">
      <c r="D270" s="88"/>
      <c r="E270" s="88"/>
      <c r="F270" s="88"/>
      <c r="G270" s="88"/>
      <c r="H270" s="88"/>
      <c r="AF270" s="105"/>
    </row>
    <row r="271" spans="4:32" ht="15.75">
      <c r="D271" s="88"/>
      <c r="E271" s="88"/>
      <c r="F271" s="88"/>
      <c r="G271" s="88"/>
      <c r="H271" s="88"/>
      <c r="AF271" s="105"/>
    </row>
    <row r="272" spans="4:32" ht="15.75">
      <c r="D272" s="88"/>
      <c r="E272" s="88"/>
      <c r="F272" s="88"/>
      <c r="G272" s="88"/>
      <c r="H272" s="88"/>
      <c r="AF272" s="105"/>
    </row>
    <row r="273" spans="4:32" ht="15.75">
      <c r="D273" s="88"/>
      <c r="E273" s="88"/>
      <c r="F273" s="88"/>
      <c r="G273" s="88"/>
      <c r="H273" s="88"/>
      <c r="AF273" s="105"/>
    </row>
    <row r="274" spans="4:32" ht="15.75">
      <c r="D274" s="88"/>
      <c r="E274" s="88"/>
      <c r="F274" s="88"/>
      <c r="G274" s="88"/>
      <c r="H274" s="88"/>
      <c r="AF274" s="105"/>
    </row>
    <row r="275" spans="4:32" ht="15.75">
      <c r="D275" s="88"/>
      <c r="E275" s="88"/>
      <c r="F275" s="88"/>
      <c r="G275" s="88"/>
      <c r="H275" s="88"/>
      <c r="AF275" s="105"/>
    </row>
    <row r="276" spans="4:32" ht="15.75">
      <c r="D276" s="88"/>
      <c r="E276" s="88"/>
      <c r="F276" s="88"/>
      <c r="G276" s="88"/>
      <c r="H276" s="88"/>
      <c r="AF276" s="105"/>
    </row>
    <row r="277" spans="4:32" ht="15.75">
      <c r="D277" s="88"/>
      <c r="E277" s="88"/>
      <c r="F277" s="88"/>
      <c r="G277" s="88"/>
      <c r="H277" s="88"/>
      <c r="AF277" s="105"/>
    </row>
    <row r="278" spans="4:32" ht="15.75">
      <c r="D278" s="88"/>
      <c r="E278" s="88"/>
      <c r="F278" s="88"/>
      <c r="G278" s="88"/>
      <c r="H278" s="88"/>
      <c r="AF278" s="105"/>
    </row>
    <row r="279" spans="4:32" ht="15.75">
      <c r="D279" s="88"/>
      <c r="E279" s="88"/>
      <c r="F279" s="88"/>
      <c r="G279" s="88"/>
      <c r="H279" s="88"/>
      <c r="AF279" s="105"/>
    </row>
    <row r="280" spans="4:32" ht="15.75">
      <c r="D280" s="88"/>
      <c r="E280" s="88"/>
      <c r="F280" s="88"/>
      <c r="G280" s="88"/>
      <c r="H280" s="88"/>
      <c r="AF280" s="105"/>
    </row>
    <row r="281" spans="4:32" ht="15.75">
      <c r="D281" s="88"/>
      <c r="E281" s="88"/>
      <c r="F281" s="88"/>
      <c r="G281" s="88"/>
      <c r="H281" s="88"/>
      <c r="AF281" s="105"/>
    </row>
    <row r="282" spans="4:32" ht="15.75">
      <c r="D282" s="88"/>
      <c r="E282" s="88"/>
      <c r="F282" s="88"/>
      <c r="G282" s="88"/>
      <c r="H282" s="88"/>
      <c r="AF282" s="105"/>
    </row>
    <row r="283" spans="4:32" ht="15.75">
      <c r="D283" s="88"/>
      <c r="E283" s="88"/>
      <c r="F283" s="88"/>
      <c r="G283" s="88"/>
      <c r="H283" s="88"/>
      <c r="AF283" s="105"/>
    </row>
    <row r="284" spans="4:32" ht="15.75">
      <c r="D284" s="88"/>
      <c r="E284" s="88"/>
      <c r="F284" s="88"/>
      <c r="G284" s="88"/>
      <c r="H284" s="88"/>
      <c r="AF284" s="105"/>
    </row>
    <row r="285" spans="4:32" ht="15.75">
      <c r="D285" s="88"/>
      <c r="E285" s="88"/>
      <c r="F285" s="88"/>
      <c r="G285" s="88"/>
      <c r="H285" s="88"/>
      <c r="AF285" s="105"/>
    </row>
    <row r="286" spans="4:32" ht="15.75">
      <c r="D286" s="88"/>
      <c r="E286" s="88"/>
      <c r="F286" s="88"/>
      <c r="G286" s="88"/>
      <c r="H286" s="88"/>
      <c r="AF286" s="105"/>
    </row>
    <row r="287" spans="4:32" ht="15.75">
      <c r="D287" s="88"/>
      <c r="E287" s="88"/>
      <c r="F287" s="88"/>
      <c r="G287" s="88"/>
      <c r="H287" s="88"/>
      <c r="AF287" s="105"/>
    </row>
    <row r="288" spans="4:32" ht="15.75">
      <c r="D288" s="88"/>
      <c r="E288" s="88"/>
      <c r="F288" s="88"/>
      <c r="G288" s="88"/>
      <c r="H288" s="88"/>
      <c r="AF288" s="105"/>
    </row>
    <row r="289" spans="4:32" ht="15.75">
      <c r="D289" s="88"/>
      <c r="E289" s="88"/>
      <c r="F289" s="88"/>
      <c r="G289" s="88"/>
      <c r="H289" s="88"/>
      <c r="AF289" s="105"/>
    </row>
    <row r="290" spans="4:32" ht="15.75">
      <c r="D290" s="88"/>
      <c r="E290" s="88"/>
      <c r="F290" s="88"/>
      <c r="G290" s="88"/>
      <c r="H290" s="88"/>
      <c r="AF290" s="105"/>
    </row>
    <row r="291" spans="4:32" ht="15.75">
      <c r="D291" s="88"/>
      <c r="E291" s="88"/>
      <c r="F291" s="88"/>
      <c r="G291" s="88"/>
      <c r="H291" s="88"/>
      <c r="AF291" s="105"/>
    </row>
    <row r="292" spans="4:32" ht="15.75">
      <c r="D292" s="88"/>
      <c r="E292" s="88"/>
      <c r="F292" s="88"/>
      <c r="G292" s="88"/>
      <c r="H292" s="88"/>
      <c r="AF292" s="105"/>
    </row>
    <row r="293" spans="4:32" ht="15.75">
      <c r="D293" s="88"/>
      <c r="E293" s="88"/>
      <c r="F293" s="88"/>
      <c r="G293" s="88"/>
      <c r="H293" s="88"/>
      <c r="AF293" s="105"/>
    </row>
    <row r="294" spans="4:32" ht="15.75">
      <c r="D294" s="88"/>
      <c r="E294" s="88"/>
      <c r="F294" s="88"/>
      <c r="G294" s="88"/>
      <c r="H294" s="88"/>
      <c r="AF294" s="105"/>
    </row>
    <row r="295" spans="4:32" ht="15.75">
      <c r="D295" s="88"/>
      <c r="E295" s="88"/>
      <c r="F295" s="88"/>
      <c r="G295" s="88"/>
      <c r="H295" s="88"/>
      <c r="AF295" s="105"/>
    </row>
    <row r="296" spans="4:32" ht="15.75">
      <c r="D296" s="88"/>
      <c r="E296" s="88"/>
      <c r="F296" s="88"/>
      <c r="G296" s="88"/>
      <c r="H296" s="88"/>
      <c r="AF296" s="105"/>
    </row>
    <row r="297" spans="4:32" ht="15.75">
      <c r="D297" s="88"/>
      <c r="E297" s="88"/>
      <c r="F297" s="88"/>
      <c r="G297" s="88"/>
      <c r="H297" s="88"/>
      <c r="AF297" s="105"/>
    </row>
    <row r="298" spans="4:32" ht="15.75">
      <c r="D298" s="88"/>
      <c r="E298" s="88"/>
      <c r="F298" s="88"/>
      <c r="G298" s="88"/>
      <c r="H298" s="88"/>
      <c r="AF298" s="105"/>
    </row>
    <row r="299" spans="4:32" ht="15.75">
      <c r="D299" s="88"/>
      <c r="E299" s="88"/>
      <c r="F299" s="88"/>
      <c r="G299" s="88"/>
      <c r="H299" s="88"/>
      <c r="AF299" s="105"/>
    </row>
    <row r="300" spans="4:32" ht="15.75">
      <c r="D300" s="88"/>
      <c r="E300" s="88"/>
      <c r="F300" s="88"/>
      <c r="G300" s="88"/>
      <c r="H300" s="88"/>
      <c r="AF300" s="105"/>
    </row>
    <row r="301" spans="4:32" ht="15.75">
      <c r="D301" s="88"/>
      <c r="E301" s="88"/>
      <c r="F301" s="88"/>
      <c r="G301" s="88"/>
      <c r="H301" s="88"/>
      <c r="AF301" s="105"/>
    </row>
    <row r="302" spans="4:32" ht="15.75">
      <c r="D302" s="88"/>
      <c r="E302" s="88"/>
      <c r="F302" s="88"/>
      <c r="G302" s="88"/>
      <c r="H302" s="88"/>
      <c r="AF302" s="105"/>
    </row>
    <row r="303" spans="4:32" ht="15.75">
      <c r="D303" s="88"/>
      <c r="E303" s="88"/>
      <c r="F303" s="88"/>
      <c r="G303" s="88"/>
      <c r="H303" s="88"/>
      <c r="AF303" s="105"/>
    </row>
    <row r="304" spans="4:32" ht="15.75">
      <c r="D304" s="88"/>
      <c r="E304" s="88"/>
      <c r="F304" s="88"/>
      <c r="G304" s="88"/>
      <c r="H304" s="88"/>
      <c r="AF304" s="105"/>
    </row>
    <row r="305" spans="4:32" ht="15.75">
      <c r="D305" s="88"/>
      <c r="E305" s="88"/>
      <c r="F305" s="88"/>
      <c r="G305" s="88"/>
      <c r="H305" s="88"/>
      <c r="AF305" s="105"/>
    </row>
    <row r="306" spans="4:32" ht="15.75">
      <c r="D306" s="88"/>
      <c r="E306" s="88"/>
      <c r="F306" s="88"/>
      <c r="G306" s="88"/>
      <c r="H306" s="88"/>
      <c r="AF306" s="105"/>
    </row>
    <row r="307" spans="4:32" ht="15.75">
      <c r="D307" s="88"/>
      <c r="E307" s="88"/>
      <c r="F307" s="88"/>
      <c r="G307" s="88"/>
      <c r="H307" s="88"/>
      <c r="AF307" s="105"/>
    </row>
    <row r="308" spans="4:32" ht="15.75">
      <c r="D308" s="88"/>
      <c r="E308" s="88"/>
      <c r="F308" s="88"/>
      <c r="G308" s="88"/>
      <c r="H308" s="88"/>
      <c r="AF308" s="105"/>
    </row>
    <row r="309" spans="4:32" ht="15.75">
      <c r="D309" s="88"/>
      <c r="E309" s="88"/>
      <c r="F309" s="88"/>
      <c r="G309" s="88"/>
      <c r="H309" s="88"/>
      <c r="AF309" s="105"/>
    </row>
    <row r="310" spans="4:32" ht="15.75">
      <c r="D310" s="88"/>
      <c r="E310" s="88"/>
      <c r="F310" s="88"/>
      <c r="G310" s="88"/>
      <c r="H310" s="88"/>
      <c r="AF310" s="105"/>
    </row>
    <row r="311" spans="4:32" ht="15.75">
      <c r="D311" s="88"/>
      <c r="E311" s="88"/>
      <c r="F311" s="88"/>
      <c r="G311" s="88"/>
      <c r="H311" s="88"/>
      <c r="AF311" s="105"/>
    </row>
    <row r="312" spans="4:32" ht="15.75">
      <c r="D312" s="88"/>
      <c r="E312" s="88"/>
      <c r="F312" s="88"/>
      <c r="G312" s="88"/>
      <c r="H312" s="88"/>
      <c r="AF312" s="105"/>
    </row>
    <row r="313" spans="4:32" ht="15.75">
      <c r="D313" s="88"/>
      <c r="E313" s="88"/>
      <c r="F313" s="88"/>
      <c r="G313" s="88"/>
      <c r="H313" s="88"/>
      <c r="AF313" s="105"/>
    </row>
    <row r="314" spans="4:32" ht="15.75">
      <c r="D314" s="88"/>
      <c r="E314" s="88"/>
      <c r="F314" s="88"/>
      <c r="G314" s="88"/>
      <c r="H314" s="88"/>
      <c r="AF314" s="105"/>
    </row>
    <row r="315" spans="4:32" ht="15.75">
      <c r="D315" s="88"/>
      <c r="E315" s="88"/>
      <c r="F315" s="88"/>
      <c r="G315" s="88"/>
      <c r="H315" s="88"/>
      <c r="AF315" s="105"/>
    </row>
    <row r="316" spans="4:32" ht="15.75">
      <c r="D316" s="88"/>
      <c r="E316" s="88"/>
      <c r="F316" s="88"/>
      <c r="G316" s="88"/>
      <c r="H316" s="88"/>
      <c r="AF316" s="105"/>
    </row>
    <row r="317" spans="4:32" ht="15.75">
      <c r="D317" s="88"/>
      <c r="E317" s="88"/>
      <c r="F317" s="88"/>
      <c r="G317" s="88"/>
      <c r="H317" s="88"/>
      <c r="AF317" s="105"/>
    </row>
    <row r="318" spans="4:32" ht="15.75">
      <c r="D318" s="88"/>
      <c r="E318" s="88"/>
      <c r="F318" s="88"/>
      <c r="G318" s="88"/>
      <c r="H318" s="88"/>
      <c r="AF318" s="105"/>
    </row>
    <row r="319" spans="4:32" ht="15.75">
      <c r="D319" s="88"/>
      <c r="E319" s="88"/>
      <c r="F319" s="88"/>
      <c r="G319" s="88"/>
      <c r="H319" s="88"/>
      <c r="AF319" s="105"/>
    </row>
    <row r="320" spans="4:32" ht="15.75">
      <c r="D320" s="88"/>
      <c r="E320" s="88"/>
      <c r="F320" s="88"/>
      <c r="G320" s="88"/>
      <c r="H320" s="88"/>
      <c r="AF320" s="105"/>
    </row>
    <row r="321" spans="4:32" ht="15.75">
      <c r="D321" s="88"/>
      <c r="E321" s="88"/>
      <c r="F321" s="88"/>
      <c r="G321" s="88"/>
      <c r="H321" s="88"/>
      <c r="AF321" s="105"/>
    </row>
    <row r="322" spans="4:32" ht="15.75">
      <c r="D322" s="88"/>
      <c r="E322" s="88"/>
      <c r="F322" s="88"/>
      <c r="G322" s="88"/>
      <c r="H322" s="88"/>
      <c r="AF322" s="105"/>
    </row>
    <row r="323" spans="4:32" ht="15.75">
      <c r="D323" s="88"/>
      <c r="E323" s="88"/>
      <c r="F323" s="88"/>
      <c r="G323" s="88"/>
      <c r="H323" s="88"/>
      <c r="AF323" s="105"/>
    </row>
    <row r="324" spans="4:32" ht="15.75">
      <c r="D324" s="88"/>
      <c r="E324" s="88"/>
      <c r="F324" s="88"/>
      <c r="G324" s="88"/>
      <c r="H324" s="88"/>
      <c r="AF324" s="105"/>
    </row>
    <row r="325" spans="4:32" ht="15.75">
      <c r="D325" s="88"/>
      <c r="E325" s="88"/>
      <c r="F325" s="88"/>
      <c r="G325" s="88"/>
      <c r="H325" s="88"/>
      <c r="AF325" s="105"/>
    </row>
    <row r="326" spans="4:32" ht="15.75">
      <c r="D326" s="88"/>
      <c r="E326" s="88"/>
      <c r="F326" s="88"/>
      <c r="G326" s="88"/>
      <c r="H326" s="88"/>
      <c r="AF326" s="105"/>
    </row>
    <row r="327" spans="4:32" ht="15.75">
      <c r="D327" s="88"/>
      <c r="E327" s="88"/>
      <c r="F327" s="88"/>
      <c r="G327" s="88"/>
      <c r="H327" s="88"/>
      <c r="AF327" s="105"/>
    </row>
    <row r="328" spans="4:32" ht="15.75">
      <c r="D328" s="88"/>
      <c r="E328" s="88"/>
      <c r="F328" s="88"/>
      <c r="G328" s="88"/>
      <c r="H328" s="88"/>
      <c r="AF328" s="105"/>
    </row>
    <row r="329" spans="4:32" ht="15.75">
      <c r="D329" s="88"/>
      <c r="E329" s="88"/>
      <c r="F329" s="88"/>
      <c r="G329" s="88"/>
      <c r="H329" s="88"/>
      <c r="AF329" s="105"/>
    </row>
    <row r="330" spans="4:32" ht="15.75">
      <c r="D330" s="88"/>
      <c r="E330" s="88"/>
      <c r="F330" s="88"/>
      <c r="G330" s="88"/>
      <c r="H330" s="88"/>
      <c r="AF330" s="105"/>
    </row>
    <row r="331" spans="4:32" ht="15.75">
      <c r="D331" s="88"/>
      <c r="E331" s="88"/>
      <c r="F331" s="88"/>
      <c r="G331" s="88"/>
      <c r="H331" s="88"/>
      <c r="AF331" s="105"/>
    </row>
    <row r="332" spans="4:32" ht="15.75">
      <c r="D332" s="88"/>
      <c r="E332" s="88"/>
      <c r="F332" s="88"/>
      <c r="G332" s="88"/>
      <c r="H332" s="88"/>
      <c r="AF332" s="105"/>
    </row>
    <row r="333" spans="4:32" ht="15.75">
      <c r="D333" s="88"/>
      <c r="E333" s="88"/>
      <c r="F333" s="88"/>
      <c r="G333" s="88"/>
      <c r="H333" s="88"/>
      <c r="AF333" s="105"/>
    </row>
    <row r="334" spans="4:32" ht="15.75">
      <c r="D334" s="88"/>
      <c r="E334" s="88"/>
      <c r="F334" s="88"/>
      <c r="G334" s="88"/>
      <c r="H334" s="88"/>
      <c r="AF334" s="105"/>
    </row>
    <row r="335" spans="4:32" ht="15.75">
      <c r="D335" s="88"/>
      <c r="E335" s="88"/>
      <c r="F335" s="88"/>
      <c r="G335" s="88"/>
      <c r="H335" s="88"/>
      <c r="AF335" s="105"/>
    </row>
    <row r="336" spans="4:32" ht="15.75">
      <c r="D336" s="88"/>
      <c r="E336" s="88"/>
      <c r="F336" s="88"/>
      <c r="G336" s="88"/>
      <c r="H336" s="88"/>
      <c r="AF336" s="105"/>
    </row>
    <row r="337" spans="4:32" ht="15.75">
      <c r="D337" s="88"/>
      <c r="E337" s="88"/>
      <c r="F337" s="88"/>
      <c r="G337" s="88"/>
      <c r="H337" s="88"/>
      <c r="AF337" s="105"/>
    </row>
    <row r="338" spans="4:32" ht="15.75">
      <c r="D338" s="88"/>
      <c r="E338" s="88"/>
      <c r="F338" s="88"/>
      <c r="G338" s="88"/>
      <c r="H338" s="88"/>
      <c r="AF338" s="105"/>
    </row>
    <row r="339" spans="4:32" ht="15.75">
      <c r="D339" s="88"/>
      <c r="E339" s="88"/>
      <c r="F339" s="88"/>
      <c r="G339" s="88"/>
      <c r="H339" s="88"/>
      <c r="AF339" s="105"/>
    </row>
    <row r="340" spans="4:32" ht="15.75">
      <c r="D340" s="88"/>
      <c r="E340" s="88"/>
      <c r="F340" s="88"/>
      <c r="G340" s="88"/>
      <c r="H340" s="88"/>
      <c r="AF340" s="105"/>
    </row>
    <row r="341" spans="4:32" ht="15.75">
      <c r="D341" s="88"/>
      <c r="E341" s="88"/>
      <c r="F341" s="88"/>
      <c r="G341" s="88"/>
      <c r="H341" s="88"/>
      <c r="AF341" s="105"/>
    </row>
    <row r="342" spans="4:32" ht="15.75">
      <c r="D342" s="88"/>
      <c r="E342" s="88"/>
      <c r="F342" s="88"/>
      <c r="G342" s="88"/>
      <c r="H342" s="88"/>
      <c r="AF342" s="105"/>
    </row>
    <row r="343" spans="4:32" ht="15.75">
      <c r="D343" s="88"/>
      <c r="E343" s="88"/>
      <c r="F343" s="88"/>
      <c r="G343" s="88"/>
      <c r="H343" s="88"/>
      <c r="AF343" s="105"/>
    </row>
    <row r="344" spans="4:32" ht="15.75">
      <c r="D344" s="88"/>
      <c r="E344" s="88"/>
      <c r="F344" s="88"/>
      <c r="G344" s="88"/>
      <c r="H344" s="88"/>
      <c r="AF344" s="105"/>
    </row>
    <row r="345" spans="4:32" ht="15.75">
      <c r="D345" s="88"/>
      <c r="E345" s="88"/>
      <c r="F345" s="88"/>
      <c r="G345" s="88"/>
      <c r="H345" s="88"/>
      <c r="AF345" s="105"/>
    </row>
    <row r="346" spans="4:32" ht="15.75">
      <c r="D346" s="88"/>
      <c r="E346" s="88"/>
      <c r="F346" s="88"/>
      <c r="G346" s="88"/>
      <c r="H346" s="88"/>
      <c r="AF346" s="105"/>
    </row>
    <row r="347" spans="4:32" ht="15.75">
      <c r="D347" s="88"/>
      <c r="E347" s="88"/>
      <c r="F347" s="88"/>
      <c r="G347" s="88"/>
      <c r="H347" s="88"/>
      <c r="AF347" s="105"/>
    </row>
    <row r="348" spans="4:32" ht="15.75">
      <c r="D348" s="88"/>
      <c r="E348" s="88"/>
      <c r="F348" s="88"/>
      <c r="G348" s="88"/>
      <c r="H348" s="88"/>
      <c r="AF348" s="105"/>
    </row>
    <row r="349" spans="4:32" ht="15.75">
      <c r="D349" s="88"/>
      <c r="E349" s="88"/>
      <c r="F349" s="88"/>
      <c r="G349" s="88"/>
      <c r="H349" s="88"/>
      <c r="AF349" s="105"/>
    </row>
    <row r="350" spans="4:32" ht="15.75">
      <c r="D350" s="88"/>
      <c r="E350" s="88"/>
      <c r="F350" s="88"/>
      <c r="G350" s="88"/>
      <c r="H350" s="88"/>
      <c r="AF350" s="105"/>
    </row>
    <row r="351" spans="4:32" ht="15.75">
      <c r="D351" s="88"/>
      <c r="E351" s="88"/>
      <c r="F351" s="88"/>
      <c r="G351" s="88"/>
      <c r="H351" s="88"/>
      <c r="AF351" s="105"/>
    </row>
    <row r="352" spans="4:32" ht="15.75">
      <c r="D352" s="88"/>
      <c r="E352" s="88"/>
      <c r="F352" s="88"/>
      <c r="G352" s="88"/>
      <c r="H352" s="88"/>
      <c r="AF352" s="105"/>
    </row>
    <row r="353" spans="4:32" ht="15.75">
      <c r="D353" s="88"/>
      <c r="E353" s="88"/>
      <c r="F353" s="88"/>
      <c r="G353" s="88"/>
      <c r="H353" s="88"/>
      <c r="AF353" s="105"/>
    </row>
    <row r="354" spans="4:32" ht="15.75">
      <c r="D354" s="88"/>
      <c r="E354" s="88"/>
      <c r="F354" s="88"/>
      <c r="G354" s="88"/>
      <c r="H354" s="88"/>
      <c r="AF354" s="105"/>
    </row>
    <row r="355" spans="4:32" ht="15.75">
      <c r="D355" s="88"/>
      <c r="E355" s="88"/>
      <c r="F355" s="88"/>
      <c r="G355" s="88"/>
      <c r="H355" s="88"/>
      <c r="AF355" s="105"/>
    </row>
    <row r="356" spans="4:32" ht="15.75">
      <c r="D356" s="88"/>
      <c r="E356" s="88"/>
      <c r="F356" s="88"/>
      <c r="G356" s="88"/>
      <c r="H356" s="88"/>
      <c r="AF356" s="105"/>
    </row>
    <row r="357" spans="4:32" ht="15.75">
      <c r="D357" s="88"/>
      <c r="E357" s="88"/>
      <c r="F357" s="88"/>
      <c r="G357" s="88"/>
      <c r="H357" s="88"/>
      <c r="AF357" s="105"/>
    </row>
    <row r="358" spans="4:32" ht="15.75">
      <c r="D358" s="88"/>
      <c r="E358" s="88"/>
      <c r="F358" s="88"/>
      <c r="G358" s="88"/>
      <c r="H358" s="88"/>
      <c r="AF358" s="105"/>
    </row>
    <row r="359" spans="4:32" ht="15.75">
      <c r="D359" s="88"/>
      <c r="E359" s="88"/>
      <c r="F359" s="88"/>
      <c r="G359" s="88"/>
      <c r="H359" s="88"/>
      <c r="AF359" s="105"/>
    </row>
    <row r="360" spans="4:32" ht="15.75">
      <c r="D360" s="88"/>
      <c r="E360" s="88"/>
      <c r="F360" s="88"/>
      <c r="G360" s="88"/>
      <c r="H360" s="88"/>
      <c r="AF360" s="105"/>
    </row>
    <row r="361" spans="4:32" ht="15.75">
      <c r="D361" s="88"/>
      <c r="E361" s="88"/>
      <c r="F361" s="88"/>
      <c r="G361" s="88"/>
      <c r="H361" s="88"/>
      <c r="AF361" s="105"/>
    </row>
    <row r="362" spans="4:32" ht="15.75">
      <c r="D362" s="88"/>
      <c r="E362" s="88"/>
      <c r="F362" s="88"/>
      <c r="G362" s="88"/>
      <c r="H362" s="88"/>
      <c r="AF362" s="105"/>
    </row>
    <row r="363" spans="4:32" ht="15.75">
      <c r="D363" s="88"/>
      <c r="E363" s="88"/>
      <c r="F363" s="88"/>
      <c r="G363" s="88"/>
      <c r="H363" s="88"/>
      <c r="AF363" s="105"/>
    </row>
    <row r="364" spans="4:32" ht="15.75">
      <c r="D364" s="88"/>
      <c r="E364" s="88"/>
      <c r="F364" s="88"/>
      <c r="G364" s="88"/>
      <c r="H364" s="88"/>
      <c r="AF364" s="105"/>
    </row>
    <row r="365" spans="4:32" ht="15.75">
      <c r="D365" s="88"/>
      <c r="E365" s="88"/>
      <c r="F365" s="88"/>
      <c r="G365" s="88"/>
      <c r="H365" s="88"/>
      <c r="AF365" s="105"/>
    </row>
    <row r="366" spans="4:32" ht="15.75">
      <c r="D366" s="88"/>
      <c r="E366" s="88"/>
      <c r="F366" s="88"/>
      <c r="G366" s="88"/>
      <c r="H366" s="88"/>
      <c r="AF366" s="105"/>
    </row>
    <row r="367" spans="4:32" ht="15.75">
      <c r="D367" s="88"/>
      <c r="E367" s="88"/>
      <c r="F367" s="88"/>
      <c r="G367" s="88"/>
      <c r="H367" s="88"/>
      <c r="AF367" s="105"/>
    </row>
    <row r="368" spans="4:32" ht="15.75">
      <c r="D368" s="88"/>
      <c r="E368" s="88"/>
      <c r="F368" s="88"/>
      <c r="G368" s="88"/>
      <c r="H368" s="88"/>
      <c r="AF368" s="105"/>
    </row>
    <row r="369" spans="4:32" ht="15.75">
      <c r="D369" s="88"/>
      <c r="E369" s="88"/>
      <c r="F369" s="88"/>
      <c r="G369" s="88"/>
      <c r="H369" s="88"/>
      <c r="AF369" s="105"/>
    </row>
    <row r="370" spans="4:32" ht="15.75">
      <c r="D370" s="88"/>
      <c r="E370" s="88"/>
      <c r="F370" s="88"/>
      <c r="G370" s="88"/>
      <c r="H370" s="88"/>
      <c r="AF370" s="105"/>
    </row>
    <row r="371" spans="4:32" ht="15.75">
      <c r="D371" s="88"/>
      <c r="E371" s="88"/>
      <c r="F371" s="88"/>
      <c r="G371" s="88"/>
      <c r="H371" s="88"/>
      <c r="AF371" s="105"/>
    </row>
    <row r="372" spans="4:32" ht="15.75">
      <c r="D372" s="88"/>
      <c r="E372" s="88"/>
      <c r="F372" s="88"/>
      <c r="G372" s="88"/>
      <c r="H372" s="88"/>
      <c r="AF372" s="105"/>
    </row>
    <row r="373" spans="4:32" ht="15.75">
      <c r="D373" s="88"/>
      <c r="E373" s="88"/>
      <c r="F373" s="88"/>
      <c r="G373" s="88"/>
      <c r="H373" s="88"/>
      <c r="AF373" s="105"/>
    </row>
    <row r="374" spans="4:32" ht="15.75">
      <c r="D374" s="88"/>
      <c r="E374" s="88"/>
      <c r="F374" s="88"/>
      <c r="G374" s="88"/>
      <c r="H374" s="88"/>
      <c r="AF374" s="105"/>
    </row>
    <row r="375" spans="4:32" ht="15.75">
      <c r="D375" s="88"/>
      <c r="E375" s="88"/>
      <c r="F375" s="88"/>
      <c r="G375" s="88"/>
      <c r="H375" s="88"/>
      <c r="AF375" s="105"/>
    </row>
    <row r="376" spans="4:32" ht="15.75">
      <c r="D376" s="88"/>
      <c r="E376" s="88"/>
      <c r="F376" s="88"/>
      <c r="G376" s="88"/>
      <c r="H376" s="88"/>
      <c r="AF376" s="105"/>
    </row>
    <row r="377" spans="4:32" ht="15.75">
      <c r="D377" s="88"/>
      <c r="E377" s="88"/>
      <c r="F377" s="88"/>
      <c r="G377" s="88"/>
      <c r="H377" s="88"/>
      <c r="AF377" s="105"/>
    </row>
    <row r="378" spans="4:32" ht="15.75">
      <c r="D378" s="88"/>
      <c r="E378" s="88"/>
      <c r="F378" s="88"/>
      <c r="G378" s="88"/>
      <c r="H378" s="88"/>
      <c r="AF378" s="105"/>
    </row>
    <row r="379" spans="4:32" ht="15.75">
      <c r="D379" s="88"/>
      <c r="E379" s="88"/>
      <c r="F379" s="88"/>
      <c r="G379" s="88"/>
      <c r="H379" s="88"/>
      <c r="AF379" s="105"/>
    </row>
    <row r="380" spans="4:32" ht="15.75">
      <c r="D380" s="88"/>
      <c r="E380" s="88"/>
      <c r="F380" s="88"/>
      <c r="G380" s="88"/>
      <c r="H380" s="88"/>
      <c r="AF380" s="105"/>
    </row>
    <row r="381" spans="4:32" ht="15.75">
      <c r="D381" s="88"/>
      <c r="E381" s="88"/>
      <c r="F381" s="88"/>
      <c r="G381" s="88"/>
      <c r="H381" s="88"/>
      <c r="AF381" s="105"/>
    </row>
    <row r="382" spans="4:32" ht="15.75">
      <c r="D382" s="88"/>
      <c r="E382" s="88"/>
      <c r="F382" s="88"/>
      <c r="G382" s="88"/>
      <c r="H382" s="88"/>
      <c r="AF382" s="105"/>
    </row>
    <row r="383" spans="4:32" ht="15.75">
      <c r="D383" s="88"/>
      <c r="E383" s="88"/>
      <c r="F383" s="88"/>
      <c r="G383" s="88"/>
      <c r="H383" s="88"/>
      <c r="AF383" s="105"/>
    </row>
    <row r="384" spans="4:32" ht="15.75">
      <c r="D384" s="88"/>
      <c r="E384" s="88"/>
      <c r="F384" s="88"/>
      <c r="G384" s="88"/>
      <c r="H384" s="88"/>
      <c r="AF384" s="105"/>
    </row>
    <row r="385" spans="4:32" ht="15.75">
      <c r="D385" s="88"/>
      <c r="E385" s="88"/>
      <c r="F385" s="88"/>
      <c r="G385" s="88"/>
      <c r="H385" s="88"/>
      <c r="AF385" s="105"/>
    </row>
    <row r="386" spans="4:32" ht="15.75">
      <c r="D386" s="88"/>
      <c r="E386" s="88"/>
      <c r="F386" s="88"/>
      <c r="G386" s="88"/>
      <c r="H386" s="88"/>
      <c r="AF386" s="105"/>
    </row>
    <row r="387" spans="4:32" ht="15.75">
      <c r="D387" s="88"/>
      <c r="E387" s="88"/>
      <c r="F387" s="88"/>
      <c r="G387" s="88"/>
      <c r="H387" s="88"/>
      <c r="AF387" s="105"/>
    </row>
    <row r="388" spans="4:32" ht="15.75">
      <c r="D388" s="88"/>
      <c r="E388" s="88"/>
      <c r="F388" s="88"/>
      <c r="G388" s="88"/>
      <c r="H388" s="88"/>
      <c r="AF388" s="105"/>
    </row>
    <row r="389" spans="4:32" ht="15.75">
      <c r="D389" s="88"/>
      <c r="E389" s="88"/>
      <c r="F389" s="88"/>
      <c r="G389" s="88"/>
      <c r="H389" s="88"/>
      <c r="AF389" s="105"/>
    </row>
    <row r="390" spans="4:32" ht="15.75">
      <c r="D390" s="88"/>
      <c r="E390" s="88"/>
      <c r="F390" s="88"/>
      <c r="G390" s="88"/>
      <c r="H390" s="88"/>
      <c r="AF390" s="105"/>
    </row>
    <row r="391" spans="4:32" ht="15.75">
      <c r="D391" s="88"/>
      <c r="E391" s="88"/>
      <c r="F391" s="88"/>
      <c r="G391" s="88"/>
      <c r="H391" s="88"/>
      <c r="AF391" s="105"/>
    </row>
    <row r="392" spans="4:32" ht="15.75">
      <c r="D392" s="88"/>
      <c r="E392" s="88"/>
      <c r="F392" s="88"/>
      <c r="G392" s="88"/>
      <c r="H392" s="88"/>
      <c r="AF392" s="105"/>
    </row>
    <row r="393" spans="4:32" ht="15.75">
      <c r="D393" s="88"/>
      <c r="E393" s="88"/>
      <c r="F393" s="88"/>
      <c r="G393" s="88"/>
      <c r="H393" s="88"/>
      <c r="AF393" s="105"/>
    </row>
    <row r="394" spans="4:32" ht="15.75">
      <c r="D394" s="88"/>
      <c r="E394" s="88"/>
      <c r="F394" s="88"/>
      <c r="G394" s="88"/>
      <c r="H394" s="88"/>
      <c r="AF394" s="105"/>
    </row>
    <row r="395" spans="4:32" ht="15.75">
      <c r="D395" s="88"/>
      <c r="E395" s="88"/>
      <c r="F395" s="88"/>
      <c r="G395" s="88"/>
      <c r="H395" s="88"/>
      <c r="AF395" s="105"/>
    </row>
    <row r="396" spans="4:32" ht="15.75">
      <c r="D396" s="88"/>
      <c r="E396" s="88"/>
      <c r="F396" s="88"/>
      <c r="G396" s="88"/>
      <c r="H396" s="88"/>
      <c r="AF396" s="105"/>
    </row>
    <row r="397" spans="4:32" ht="15.75">
      <c r="D397" s="88"/>
      <c r="E397" s="88"/>
      <c r="F397" s="88"/>
      <c r="G397" s="88"/>
      <c r="H397" s="88"/>
      <c r="AF397" s="105"/>
    </row>
    <row r="398" spans="4:32" ht="15.75">
      <c r="D398" s="88"/>
      <c r="E398" s="88"/>
      <c r="F398" s="88"/>
      <c r="G398" s="88"/>
      <c r="H398" s="88"/>
      <c r="AF398" s="105"/>
    </row>
    <row r="399" spans="4:32" ht="15.75">
      <c r="D399" s="88"/>
      <c r="E399" s="88"/>
      <c r="F399" s="88"/>
      <c r="G399" s="88"/>
      <c r="H399" s="88"/>
      <c r="AF399" s="105"/>
    </row>
    <row r="400" spans="4:32" ht="15.75">
      <c r="D400" s="88"/>
      <c r="E400" s="88"/>
      <c r="F400" s="88"/>
      <c r="G400" s="88"/>
      <c r="H400" s="88"/>
      <c r="AF400" s="105"/>
    </row>
    <row r="401" spans="4:32" ht="15.75">
      <c r="D401" s="88"/>
      <c r="E401" s="88"/>
      <c r="F401" s="88"/>
      <c r="G401" s="88"/>
      <c r="H401" s="88"/>
      <c r="AF401" s="105"/>
    </row>
    <row r="402" spans="4:32" ht="15.75">
      <c r="D402" s="88"/>
      <c r="E402" s="88"/>
      <c r="F402" s="88"/>
      <c r="G402" s="88"/>
      <c r="H402" s="88"/>
      <c r="AF402" s="105"/>
    </row>
    <row r="403" spans="4:32" ht="15.75">
      <c r="D403" s="88"/>
      <c r="E403" s="88"/>
      <c r="F403" s="88"/>
      <c r="G403" s="88"/>
      <c r="H403" s="88"/>
      <c r="AF403" s="105"/>
    </row>
    <row r="404" spans="4:32" ht="15.75">
      <c r="D404" s="88"/>
      <c r="E404" s="88"/>
      <c r="F404" s="88"/>
      <c r="G404" s="88"/>
      <c r="H404" s="88"/>
      <c r="AF404" s="105"/>
    </row>
    <row r="405" spans="4:32" ht="15.75">
      <c r="D405" s="88"/>
      <c r="E405" s="88"/>
      <c r="F405" s="88"/>
      <c r="G405" s="88"/>
      <c r="H405" s="88"/>
      <c r="AF405" s="105"/>
    </row>
    <row r="406" spans="4:32" ht="15.75">
      <c r="D406" s="88"/>
      <c r="E406" s="88"/>
      <c r="F406" s="88"/>
      <c r="G406" s="88"/>
      <c r="H406" s="88"/>
      <c r="AF406" s="105"/>
    </row>
    <row r="407" spans="4:32" ht="15.75">
      <c r="D407" s="88"/>
      <c r="E407" s="88"/>
      <c r="F407" s="88"/>
      <c r="G407" s="88"/>
      <c r="H407" s="88"/>
      <c r="AF407" s="105"/>
    </row>
    <row r="408" spans="4:32" ht="15.75">
      <c r="D408" s="88"/>
      <c r="E408" s="88"/>
      <c r="F408" s="88"/>
      <c r="G408" s="88"/>
      <c r="H408" s="88"/>
      <c r="AF408" s="105"/>
    </row>
    <row r="409" spans="4:32" ht="15.75">
      <c r="D409" s="88"/>
      <c r="E409" s="88"/>
      <c r="F409" s="88"/>
      <c r="G409" s="88"/>
      <c r="H409" s="88"/>
      <c r="AF409" s="105"/>
    </row>
    <row r="410" spans="4:32" ht="15.75">
      <c r="D410" s="88"/>
      <c r="E410" s="88"/>
      <c r="F410" s="88"/>
      <c r="G410" s="88"/>
      <c r="H410" s="88"/>
      <c r="AF410" s="105"/>
    </row>
    <row r="411" spans="4:32" ht="15.75">
      <c r="D411" s="88"/>
      <c r="E411" s="88"/>
      <c r="F411" s="88"/>
      <c r="G411" s="88"/>
      <c r="H411" s="88"/>
      <c r="AF411" s="105"/>
    </row>
    <row r="412" spans="4:32" ht="15.75">
      <c r="D412" s="88"/>
      <c r="E412" s="88"/>
      <c r="F412" s="88"/>
      <c r="G412" s="88"/>
      <c r="H412" s="88"/>
      <c r="AF412" s="105"/>
    </row>
    <row r="413" spans="4:32" ht="15.75">
      <c r="D413" s="88"/>
      <c r="E413" s="88"/>
      <c r="F413" s="88"/>
      <c r="G413" s="88"/>
      <c r="H413" s="88"/>
      <c r="AF413" s="105"/>
    </row>
    <row r="414" spans="4:32" ht="15.75">
      <c r="D414" s="88"/>
      <c r="E414" s="88"/>
      <c r="F414" s="88"/>
      <c r="G414" s="88"/>
      <c r="H414" s="88"/>
      <c r="AF414" s="105"/>
    </row>
    <row r="415" spans="4:32" ht="15.75">
      <c r="D415" s="88"/>
      <c r="E415" s="88"/>
      <c r="F415" s="88"/>
      <c r="G415" s="88"/>
      <c r="H415" s="88"/>
      <c r="AF415" s="105"/>
    </row>
    <row r="416" spans="4:32" ht="15.75">
      <c r="D416" s="88"/>
      <c r="E416" s="88"/>
      <c r="F416" s="88"/>
      <c r="G416" s="88"/>
      <c r="H416" s="88"/>
      <c r="AF416" s="105"/>
    </row>
    <row r="417" spans="4:32" ht="15.75">
      <c r="D417" s="88"/>
      <c r="E417" s="88"/>
      <c r="F417" s="88"/>
      <c r="G417" s="88"/>
      <c r="H417" s="88"/>
      <c r="AF417" s="105"/>
    </row>
    <row r="418" spans="4:32" ht="15.75">
      <c r="D418" s="88"/>
      <c r="E418" s="88"/>
      <c r="F418" s="88"/>
      <c r="G418" s="88"/>
      <c r="H418" s="88"/>
      <c r="AF418" s="105"/>
    </row>
    <row r="419" spans="4:32" ht="15.75">
      <c r="D419" s="88"/>
      <c r="E419" s="88"/>
      <c r="F419" s="88"/>
      <c r="G419" s="88"/>
      <c r="H419" s="88"/>
      <c r="AF419" s="105"/>
    </row>
    <row r="420" spans="4:32" ht="15.75">
      <c r="D420" s="88"/>
      <c r="E420" s="88"/>
      <c r="F420" s="88"/>
      <c r="G420" s="88"/>
      <c r="H420" s="88"/>
      <c r="AF420" s="105"/>
    </row>
    <row r="421" spans="4:32" ht="15.75">
      <c r="D421" s="88"/>
      <c r="E421" s="88"/>
      <c r="F421" s="88"/>
      <c r="G421" s="88"/>
      <c r="H421" s="88"/>
      <c r="AF421" s="105"/>
    </row>
    <row r="422" spans="4:32" ht="15.75">
      <c r="D422" s="88"/>
      <c r="E422" s="88"/>
      <c r="F422" s="88"/>
      <c r="G422" s="88"/>
      <c r="H422" s="88"/>
      <c r="AF422" s="105"/>
    </row>
    <row r="423" spans="4:32" ht="15.75">
      <c r="D423" s="88"/>
      <c r="E423" s="88"/>
      <c r="F423" s="88"/>
      <c r="G423" s="88"/>
      <c r="H423" s="88"/>
      <c r="AF423" s="105"/>
    </row>
    <row r="424" spans="4:32" ht="15.75">
      <c r="D424" s="88"/>
      <c r="E424" s="88"/>
      <c r="F424" s="88"/>
      <c r="G424" s="88"/>
      <c r="H424" s="88"/>
      <c r="AF424" s="105"/>
    </row>
    <row r="425" spans="4:32" ht="15.75">
      <c r="D425" s="88"/>
      <c r="E425" s="88"/>
      <c r="F425" s="88"/>
      <c r="G425" s="88"/>
      <c r="H425" s="88"/>
      <c r="AF425" s="105"/>
    </row>
    <row r="426" spans="4:32" ht="15.75">
      <c r="D426" s="88"/>
      <c r="E426" s="88"/>
      <c r="F426" s="88"/>
      <c r="G426" s="88"/>
      <c r="H426" s="88"/>
      <c r="AF426" s="105"/>
    </row>
    <row r="427" spans="4:32" ht="15.75">
      <c r="D427" s="88"/>
      <c r="E427" s="88"/>
      <c r="F427" s="88"/>
      <c r="G427" s="88"/>
      <c r="H427" s="88"/>
      <c r="AF427" s="105"/>
    </row>
    <row r="428" spans="4:32" ht="15.75">
      <c r="D428" s="88"/>
      <c r="E428" s="88"/>
      <c r="F428" s="88"/>
      <c r="G428" s="88"/>
      <c r="H428" s="88"/>
      <c r="AF428" s="105"/>
    </row>
    <row r="429" spans="4:32" ht="15.75">
      <c r="D429" s="88"/>
      <c r="E429" s="88"/>
      <c r="F429" s="88"/>
      <c r="G429" s="88"/>
      <c r="H429" s="88"/>
      <c r="AF429" s="105"/>
    </row>
    <row r="430" spans="4:32" ht="15.75">
      <c r="D430" s="88"/>
      <c r="E430" s="88"/>
      <c r="F430" s="88"/>
      <c r="G430" s="88"/>
      <c r="H430" s="88"/>
      <c r="AF430" s="105"/>
    </row>
    <row r="431" spans="4:32" ht="15.75">
      <c r="D431" s="88"/>
      <c r="E431" s="88"/>
      <c r="F431" s="88"/>
      <c r="G431" s="88"/>
      <c r="H431" s="88"/>
      <c r="AF431" s="105"/>
    </row>
    <row r="432" spans="4:32" ht="15.75">
      <c r="D432" s="88"/>
      <c r="E432" s="88"/>
      <c r="F432" s="88"/>
      <c r="G432" s="88"/>
      <c r="H432" s="88"/>
      <c r="AF432" s="105"/>
    </row>
    <row r="433" spans="4:32" ht="15.75">
      <c r="D433" s="88"/>
      <c r="E433" s="88"/>
      <c r="F433" s="88"/>
      <c r="G433" s="88"/>
      <c r="H433" s="88"/>
      <c r="AF433" s="105"/>
    </row>
    <row r="434" spans="4:32" ht="15.75">
      <c r="D434" s="88"/>
      <c r="E434" s="88"/>
      <c r="F434" s="88"/>
      <c r="G434" s="88"/>
      <c r="H434" s="88"/>
      <c r="AF434" s="105"/>
    </row>
    <row r="435" spans="4:32" ht="15.75">
      <c r="D435" s="88"/>
      <c r="E435" s="88"/>
      <c r="F435" s="88"/>
      <c r="G435" s="88"/>
      <c r="H435" s="88"/>
      <c r="AF435" s="105"/>
    </row>
    <row r="436" spans="4:32" ht="15.75">
      <c r="D436" s="88"/>
      <c r="E436" s="88"/>
      <c r="F436" s="88"/>
      <c r="G436" s="88"/>
      <c r="H436" s="88"/>
      <c r="AF436" s="105"/>
    </row>
    <row r="437" spans="4:32" ht="15.75">
      <c r="D437" s="88"/>
      <c r="E437" s="88"/>
      <c r="F437" s="88"/>
      <c r="G437" s="88"/>
      <c r="H437" s="88"/>
      <c r="AF437" s="105"/>
    </row>
    <row r="438" spans="4:32" ht="15.75">
      <c r="D438" s="88"/>
      <c r="E438" s="88"/>
      <c r="F438" s="88"/>
      <c r="G438" s="88"/>
      <c r="H438" s="88"/>
      <c r="AF438" s="105"/>
    </row>
    <row r="439" spans="4:32" ht="15.75">
      <c r="D439" s="88"/>
      <c r="E439" s="88"/>
      <c r="F439" s="88"/>
      <c r="G439" s="88"/>
      <c r="H439" s="88"/>
      <c r="AF439" s="105"/>
    </row>
    <row r="440" spans="4:32" ht="15.75">
      <c r="D440" s="88"/>
      <c r="E440" s="88"/>
      <c r="F440" s="88"/>
      <c r="G440" s="88"/>
      <c r="H440" s="88"/>
      <c r="AF440" s="105"/>
    </row>
    <row r="441" spans="4:32" ht="15.75">
      <c r="D441" s="88"/>
      <c r="E441" s="88"/>
      <c r="F441" s="88"/>
      <c r="G441" s="88"/>
      <c r="H441" s="88"/>
      <c r="AF441" s="105"/>
    </row>
    <row r="442" spans="4:32" ht="15.75">
      <c r="D442" s="88"/>
      <c r="E442" s="88"/>
      <c r="F442" s="88"/>
      <c r="G442" s="88"/>
      <c r="H442" s="88"/>
      <c r="AF442" s="105"/>
    </row>
    <row r="443" spans="4:32" ht="15.75">
      <c r="D443" s="88"/>
      <c r="E443" s="88"/>
      <c r="F443" s="88"/>
      <c r="G443" s="88"/>
      <c r="H443" s="88"/>
      <c r="AF443" s="105"/>
    </row>
    <row r="444" spans="4:32" ht="15.75">
      <c r="D444" s="88"/>
      <c r="E444" s="88"/>
      <c r="F444" s="88"/>
      <c r="G444" s="88"/>
      <c r="H444" s="88"/>
      <c r="AF444" s="105"/>
    </row>
    <row r="445" spans="4:32" ht="15.75">
      <c r="D445" s="88"/>
      <c r="E445" s="88"/>
      <c r="F445" s="88"/>
      <c r="G445" s="88"/>
      <c r="H445" s="88"/>
      <c r="AF445" s="105"/>
    </row>
    <row r="446" spans="4:32" ht="15.75">
      <c r="D446" s="88"/>
      <c r="E446" s="88"/>
      <c r="F446" s="88"/>
      <c r="G446" s="88"/>
      <c r="H446" s="88"/>
      <c r="AF446" s="105"/>
    </row>
    <row r="447" spans="4:32" ht="15.75">
      <c r="D447" s="88"/>
      <c r="E447" s="88"/>
      <c r="F447" s="88"/>
      <c r="G447" s="88"/>
      <c r="H447" s="88"/>
      <c r="AF447" s="105"/>
    </row>
    <row r="448" spans="4:32" ht="15.75">
      <c r="D448" s="88"/>
      <c r="E448" s="88"/>
      <c r="F448" s="88"/>
      <c r="G448" s="88"/>
      <c r="H448" s="88"/>
      <c r="AF448" s="105"/>
    </row>
    <row r="449" spans="4:32" ht="15.75">
      <c r="D449" s="88"/>
      <c r="E449" s="88"/>
      <c r="F449" s="88"/>
      <c r="G449" s="88"/>
      <c r="H449" s="88"/>
      <c r="AF449" s="105"/>
    </row>
    <row r="450" spans="4:32" ht="15.75">
      <c r="D450" s="88"/>
      <c r="E450" s="88"/>
      <c r="F450" s="88"/>
      <c r="G450" s="88"/>
      <c r="H450" s="88"/>
      <c r="AF450" s="105"/>
    </row>
    <row r="451" spans="4:32" ht="15.75">
      <c r="D451" s="88"/>
      <c r="E451" s="88"/>
      <c r="F451" s="88"/>
      <c r="G451" s="88"/>
      <c r="H451" s="88"/>
      <c r="AF451" s="105"/>
    </row>
    <row r="452" spans="4:32" ht="15.75">
      <c r="D452" s="88"/>
      <c r="E452" s="88"/>
      <c r="F452" s="88"/>
      <c r="G452" s="88"/>
      <c r="H452" s="88"/>
      <c r="AF452" s="105"/>
    </row>
    <row r="453" spans="4:32" ht="15.75">
      <c r="D453" s="88"/>
      <c r="E453" s="88"/>
      <c r="F453" s="88"/>
      <c r="G453" s="88"/>
      <c r="H453" s="88"/>
      <c r="AF453" s="105"/>
    </row>
    <row r="454" spans="4:32" ht="15.75">
      <c r="D454" s="88"/>
      <c r="E454" s="88"/>
      <c r="F454" s="88"/>
      <c r="G454" s="88"/>
      <c r="H454" s="88"/>
      <c r="AF454" s="105"/>
    </row>
    <row r="455" spans="4:32" ht="15.75">
      <c r="D455" s="88"/>
      <c r="E455" s="88"/>
      <c r="F455" s="88"/>
      <c r="G455" s="88"/>
      <c r="H455" s="88"/>
      <c r="AF455" s="105"/>
    </row>
    <row r="456" spans="4:32" ht="15.75">
      <c r="D456" s="88"/>
      <c r="E456" s="88"/>
      <c r="F456" s="88"/>
      <c r="G456" s="88"/>
      <c r="H456" s="88"/>
      <c r="AF456" s="105"/>
    </row>
    <row r="457" spans="4:32" ht="15.75">
      <c r="D457" s="88"/>
      <c r="E457" s="88"/>
      <c r="F457" s="88"/>
      <c r="G457" s="88"/>
      <c r="H457" s="88"/>
      <c r="AF457" s="105"/>
    </row>
    <row r="458" spans="4:32" ht="15.75">
      <c r="D458" s="88"/>
      <c r="E458" s="88"/>
      <c r="F458" s="88"/>
      <c r="G458" s="88"/>
      <c r="H458" s="88"/>
      <c r="AF458" s="105"/>
    </row>
    <row r="459" spans="4:32" ht="15.75">
      <c r="D459" s="88"/>
      <c r="E459" s="88"/>
      <c r="F459" s="88"/>
      <c r="G459" s="88"/>
      <c r="H459" s="88"/>
      <c r="AF459" s="105"/>
    </row>
    <row r="460" spans="4:32" ht="15.75">
      <c r="D460" s="88"/>
      <c r="E460" s="88"/>
      <c r="F460" s="88"/>
      <c r="G460" s="88"/>
      <c r="H460" s="88"/>
      <c r="AF460" s="105"/>
    </row>
    <row r="461" spans="4:32" ht="15.75">
      <c r="D461" s="88"/>
      <c r="E461" s="88"/>
      <c r="F461" s="88"/>
      <c r="G461" s="88"/>
      <c r="H461" s="88"/>
      <c r="AF461" s="105"/>
    </row>
    <row r="462" spans="4:32" ht="15.75">
      <c r="D462" s="88"/>
      <c r="E462" s="88"/>
      <c r="F462" s="88"/>
      <c r="G462" s="88"/>
      <c r="H462" s="88"/>
      <c r="AF462" s="105"/>
    </row>
    <row r="463" spans="4:32" ht="15.75">
      <c r="D463" s="88"/>
      <c r="E463" s="88"/>
      <c r="F463" s="88"/>
      <c r="G463" s="88"/>
      <c r="H463" s="88"/>
      <c r="AF463" s="105"/>
    </row>
    <row r="464" spans="4:32" ht="15.75">
      <c r="D464" s="88"/>
      <c r="E464" s="88"/>
      <c r="F464" s="88"/>
      <c r="G464" s="88"/>
      <c r="H464" s="88"/>
      <c r="AF464" s="105"/>
    </row>
    <row r="465" spans="4:32" ht="15.75">
      <c r="D465" s="88"/>
      <c r="E465" s="88"/>
      <c r="F465" s="88"/>
      <c r="G465" s="88"/>
      <c r="H465" s="88"/>
      <c r="AF465" s="105"/>
    </row>
    <row r="466" spans="4:32" ht="15.75">
      <c r="D466" s="88"/>
      <c r="E466" s="88"/>
      <c r="F466" s="88"/>
      <c r="G466" s="88"/>
      <c r="H466" s="88"/>
      <c r="AF466" s="105"/>
    </row>
    <row r="467" spans="4:32" ht="15.75">
      <c r="D467" s="88"/>
      <c r="E467" s="88"/>
      <c r="F467" s="88"/>
      <c r="G467" s="88"/>
      <c r="H467" s="88"/>
      <c r="AF467" s="105"/>
    </row>
    <row r="468" spans="4:32" ht="15.75">
      <c r="D468" s="88"/>
      <c r="E468" s="88"/>
      <c r="F468" s="88"/>
      <c r="G468" s="88"/>
      <c r="H468" s="88"/>
      <c r="AF468" s="105"/>
    </row>
    <row r="469" spans="4:32" ht="15.75">
      <c r="D469" s="88"/>
      <c r="E469" s="88"/>
      <c r="F469" s="88"/>
      <c r="G469" s="88"/>
      <c r="H469" s="88"/>
      <c r="AF469" s="105"/>
    </row>
    <row r="470" spans="4:32" ht="15.75">
      <c r="D470" s="88"/>
      <c r="E470" s="88"/>
      <c r="F470" s="88"/>
      <c r="G470" s="88"/>
      <c r="H470" s="88"/>
      <c r="AF470" s="105"/>
    </row>
    <row r="471" spans="4:32" ht="15.75">
      <c r="D471" s="88"/>
      <c r="E471" s="88"/>
      <c r="F471" s="88"/>
      <c r="G471" s="88"/>
      <c r="H471" s="88"/>
      <c r="AF471" s="105"/>
    </row>
    <row r="472" spans="4:32" ht="15.75">
      <c r="D472" s="88"/>
      <c r="E472" s="88"/>
      <c r="F472" s="88"/>
      <c r="G472" s="88"/>
      <c r="H472" s="88"/>
      <c r="AF472" s="105"/>
    </row>
    <row r="473" spans="4:32" ht="15.75">
      <c r="D473" s="88"/>
      <c r="E473" s="88"/>
      <c r="F473" s="88"/>
      <c r="G473" s="88"/>
      <c r="H473" s="88"/>
      <c r="AF473" s="105"/>
    </row>
    <row r="474" spans="4:32" ht="15.75">
      <c r="D474" s="88"/>
      <c r="E474" s="88"/>
      <c r="F474" s="88"/>
      <c r="G474" s="88"/>
      <c r="H474" s="88"/>
      <c r="AF474" s="105"/>
    </row>
    <row r="475" spans="4:32" ht="15.75">
      <c r="D475" s="88"/>
      <c r="E475" s="88"/>
      <c r="F475" s="88"/>
      <c r="G475" s="88"/>
      <c r="H475" s="88"/>
      <c r="AF475" s="105"/>
    </row>
    <row r="476" spans="4:32" ht="15.75">
      <c r="D476" s="88"/>
      <c r="E476" s="88"/>
      <c r="F476" s="88"/>
      <c r="G476" s="88"/>
      <c r="H476" s="88"/>
      <c r="AF476" s="105"/>
    </row>
    <row r="477" spans="4:32" ht="15.75">
      <c r="D477" s="88"/>
      <c r="E477" s="88"/>
      <c r="F477" s="88"/>
      <c r="G477" s="88"/>
      <c r="H477" s="88"/>
      <c r="AF477" s="105"/>
    </row>
    <row r="478" spans="4:32" ht="15.75">
      <c r="D478" s="88"/>
      <c r="E478" s="88"/>
      <c r="F478" s="88"/>
      <c r="G478" s="88"/>
      <c r="H478" s="88"/>
      <c r="AF478" s="105"/>
    </row>
    <row r="479" spans="4:32" ht="15.75">
      <c r="D479" s="88"/>
      <c r="E479" s="88"/>
      <c r="F479" s="88"/>
      <c r="G479" s="88"/>
      <c r="H479" s="88"/>
      <c r="AF479" s="105"/>
    </row>
    <row r="480" spans="4:32" ht="15.75">
      <c r="D480" s="88"/>
      <c r="E480" s="88"/>
      <c r="F480" s="88"/>
      <c r="G480" s="88"/>
      <c r="H480" s="88"/>
      <c r="AF480" s="105"/>
    </row>
    <row r="481" spans="4:32" ht="15.75">
      <c r="D481" s="88"/>
      <c r="E481" s="88"/>
      <c r="F481" s="88"/>
      <c r="G481" s="88"/>
      <c r="H481" s="88"/>
      <c r="AF481" s="105"/>
    </row>
    <row r="482" spans="4:32" ht="15.75">
      <c r="D482" s="88"/>
      <c r="E482" s="88"/>
      <c r="F482" s="88"/>
      <c r="G482" s="88"/>
      <c r="H482" s="88"/>
      <c r="AF482" s="105"/>
    </row>
    <row r="483" spans="4:32" ht="15.75">
      <c r="D483" s="88"/>
      <c r="E483" s="88"/>
      <c r="F483" s="88"/>
      <c r="G483" s="88"/>
      <c r="H483" s="88"/>
      <c r="AF483" s="105"/>
    </row>
    <row r="484" spans="4:32" ht="15.75">
      <c r="D484" s="88"/>
      <c r="E484" s="88"/>
      <c r="F484" s="88"/>
      <c r="G484" s="88"/>
      <c r="H484" s="88"/>
      <c r="AF484" s="105"/>
    </row>
    <row r="485" spans="4:32" ht="15.75">
      <c r="D485" s="88"/>
      <c r="E485" s="88"/>
      <c r="F485" s="88"/>
      <c r="G485" s="88"/>
      <c r="H485" s="88"/>
      <c r="AF485" s="105"/>
    </row>
    <row r="486" spans="4:32" ht="15.75">
      <c r="D486" s="88"/>
      <c r="E486" s="88"/>
      <c r="F486" s="88"/>
      <c r="G486" s="88"/>
      <c r="H486" s="88"/>
      <c r="AF486" s="105"/>
    </row>
    <row r="487" spans="4:32" ht="15.75">
      <c r="D487" s="88"/>
      <c r="E487" s="88"/>
      <c r="F487" s="88"/>
      <c r="G487" s="88"/>
      <c r="H487" s="88"/>
      <c r="AF487" s="105"/>
    </row>
    <row r="488" spans="4:32" ht="15.75">
      <c r="D488" s="88"/>
      <c r="E488" s="88"/>
      <c r="F488" s="88"/>
      <c r="G488" s="88"/>
      <c r="H488" s="88"/>
      <c r="AF488" s="105"/>
    </row>
    <row r="489" spans="4:32" ht="15.75">
      <c r="D489" s="88"/>
      <c r="E489" s="88"/>
      <c r="F489" s="88"/>
      <c r="G489" s="88"/>
      <c r="H489" s="88"/>
      <c r="AF489" s="105"/>
    </row>
    <row r="490" spans="4:32" ht="15.75">
      <c r="D490" s="88"/>
      <c r="E490" s="88"/>
      <c r="F490" s="88"/>
      <c r="G490" s="88"/>
      <c r="H490" s="88"/>
      <c r="AF490" s="105"/>
    </row>
    <row r="491" spans="4:32" ht="15.75">
      <c r="D491" s="88"/>
      <c r="E491" s="88"/>
      <c r="F491" s="88"/>
      <c r="G491" s="88"/>
      <c r="H491" s="88"/>
      <c r="AF491" s="105"/>
    </row>
    <row r="492" spans="4:32" ht="15.75">
      <c r="D492" s="88"/>
      <c r="E492" s="88"/>
      <c r="F492" s="88"/>
      <c r="G492" s="88"/>
      <c r="H492" s="88"/>
      <c r="AF492" s="105"/>
    </row>
    <row r="493" spans="4:32" ht="15.75">
      <c r="D493" s="88"/>
      <c r="E493" s="88"/>
      <c r="F493" s="88"/>
      <c r="G493" s="88"/>
      <c r="H493" s="88"/>
      <c r="AF493" s="105"/>
    </row>
    <row r="494" spans="4:32" ht="15.75">
      <c r="D494" s="88"/>
      <c r="E494" s="88"/>
      <c r="F494" s="88"/>
      <c r="G494" s="88"/>
      <c r="H494" s="88"/>
      <c r="AF494" s="105"/>
    </row>
    <row r="495" spans="4:32" ht="15.75">
      <c r="D495" s="88"/>
      <c r="E495" s="88"/>
      <c r="F495" s="88"/>
      <c r="G495" s="88"/>
      <c r="H495" s="88"/>
      <c r="AF495" s="105"/>
    </row>
    <row r="496" spans="4:32" ht="15.75">
      <c r="D496" s="88"/>
      <c r="E496" s="88"/>
      <c r="F496" s="88"/>
      <c r="G496" s="88"/>
      <c r="H496" s="88"/>
      <c r="AF496" s="105"/>
    </row>
    <row r="497" spans="4:32" ht="15.75">
      <c r="D497" s="88"/>
      <c r="E497" s="88"/>
      <c r="F497" s="88"/>
      <c r="G497" s="88"/>
      <c r="H497" s="88"/>
      <c r="AF497" s="105"/>
    </row>
    <row r="498" spans="4:32" ht="15.75">
      <c r="D498" s="88"/>
      <c r="E498" s="88"/>
      <c r="F498" s="88"/>
      <c r="G498" s="88"/>
      <c r="H498" s="88"/>
      <c r="AF498" s="105"/>
    </row>
    <row r="499" spans="4:32" ht="15.75">
      <c r="D499" s="88"/>
      <c r="E499" s="88"/>
      <c r="F499" s="88"/>
      <c r="G499" s="88"/>
      <c r="H499" s="88"/>
      <c r="AF499" s="105"/>
    </row>
    <row r="500" spans="4:32" ht="15.75">
      <c r="D500" s="88"/>
      <c r="E500" s="88"/>
      <c r="F500" s="88"/>
      <c r="G500" s="88"/>
      <c r="H500" s="88"/>
      <c r="AF500" s="105"/>
    </row>
    <row r="501" spans="4:32" ht="15.75">
      <c r="D501" s="88"/>
      <c r="E501" s="88"/>
      <c r="F501" s="88"/>
      <c r="G501" s="88"/>
      <c r="H501" s="88"/>
      <c r="AF501" s="105"/>
    </row>
    <row r="502" spans="4:32" ht="15.75">
      <c r="D502" s="88"/>
      <c r="E502" s="88"/>
      <c r="F502" s="88"/>
      <c r="G502" s="88"/>
      <c r="H502" s="88"/>
      <c r="AF502" s="105"/>
    </row>
    <row r="503" spans="4:32" ht="15.75">
      <c r="D503" s="88"/>
      <c r="E503" s="88"/>
      <c r="F503" s="88"/>
      <c r="G503" s="88"/>
      <c r="H503" s="88"/>
      <c r="AF503" s="105"/>
    </row>
    <row r="504" spans="4:32" ht="15.75">
      <c r="D504" s="88"/>
      <c r="E504" s="88"/>
      <c r="F504" s="88"/>
      <c r="G504" s="88"/>
      <c r="H504" s="88"/>
      <c r="AF504" s="105"/>
    </row>
    <row r="505" spans="4:32" ht="15.75">
      <c r="D505" s="88"/>
      <c r="E505" s="88"/>
      <c r="F505" s="88"/>
      <c r="G505" s="88"/>
      <c r="H505" s="88"/>
      <c r="AF505" s="105"/>
    </row>
    <row r="506" spans="4:32" ht="15.75">
      <c r="D506" s="88"/>
      <c r="E506" s="88"/>
      <c r="F506" s="88"/>
      <c r="G506" s="88"/>
      <c r="H506" s="88"/>
      <c r="AF506" s="105"/>
    </row>
    <row r="507" spans="4:32" ht="15.75">
      <c r="D507" s="88"/>
      <c r="E507" s="88"/>
      <c r="F507" s="88"/>
      <c r="G507" s="88"/>
      <c r="H507" s="88"/>
      <c r="AF507" s="105"/>
    </row>
    <row r="508" spans="4:32" ht="15.75">
      <c r="D508" s="88"/>
      <c r="E508" s="88"/>
      <c r="F508" s="88"/>
      <c r="G508" s="88"/>
      <c r="H508" s="88"/>
      <c r="AF508" s="105"/>
    </row>
    <row r="509" spans="4:32" ht="15.75">
      <c r="D509" s="88"/>
      <c r="E509" s="88"/>
      <c r="F509" s="88"/>
      <c r="G509" s="88"/>
      <c r="H509" s="88"/>
      <c r="AF509" s="105"/>
    </row>
    <row r="510" spans="4:32" ht="15.75">
      <c r="D510" s="88"/>
      <c r="E510" s="88"/>
      <c r="F510" s="88"/>
      <c r="G510" s="88"/>
      <c r="H510" s="88"/>
      <c r="AF510" s="105"/>
    </row>
    <row r="511" spans="4:32" ht="15.75">
      <c r="D511" s="88"/>
      <c r="E511" s="88"/>
      <c r="F511" s="88"/>
      <c r="G511" s="88"/>
      <c r="H511" s="88"/>
      <c r="AF511" s="105"/>
    </row>
    <row r="512" spans="4:32" ht="15.75">
      <c r="D512" s="88"/>
      <c r="E512" s="88"/>
      <c r="F512" s="88"/>
      <c r="G512" s="88"/>
      <c r="H512" s="88"/>
      <c r="AF512" s="105"/>
    </row>
    <row r="513" spans="4:32" ht="15.75">
      <c r="D513" s="88"/>
      <c r="E513" s="88"/>
      <c r="F513" s="88"/>
      <c r="G513" s="88"/>
      <c r="H513" s="88"/>
      <c r="AF513" s="105"/>
    </row>
    <row r="514" spans="4:32" ht="15.75">
      <c r="D514" s="88"/>
      <c r="E514" s="88"/>
      <c r="F514" s="88"/>
      <c r="G514" s="88"/>
      <c r="H514" s="88"/>
      <c r="AF514" s="105"/>
    </row>
    <row r="515" spans="4:32" ht="15.75">
      <c r="D515" s="88"/>
      <c r="E515" s="88"/>
      <c r="F515" s="88"/>
      <c r="G515" s="88"/>
      <c r="H515" s="88"/>
      <c r="AF515" s="105"/>
    </row>
    <row r="516" spans="4:32" ht="15.75">
      <c r="D516" s="88"/>
      <c r="E516" s="88"/>
      <c r="F516" s="88"/>
      <c r="G516" s="88"/>
      <c r="H516" s="88"/>
      <c r="AF516" s="105"/>
    </row>
    <row r="517" spans="4:32" ht="15.75">
      <c r="D517" s="88"/>
      <c r="E517" s="88"/>
      <c r="F517" s="88"/>
      <c r="G517" s="88"/>
      <c r="H517" s="88"/>
      <c r="AF517" s="105"/>
    </row>
    <row r="518" spans="4:32" ht="15.75">
      <c r="D518" s="88"/>
      <c r="E518" s="88"/>
      <c r="F518" s="88"/>
      <c r="G518" s="88"/>
      <c r="H518" s="88"/>
      <c r="AF518" s="105"/>
    </row>
    <row r="519" spans="4:32" ht="15.75">
      <c r="D519" s="88"/>
      <c r="E519" s="88"/>
      <c r="F519" s="88"/>
      <c r="G519" s="88"/>
      <c r="H519" s="88"/>
      <c r="AF519" s="105"/>
    </row>
    <row r="520" spans="4:32" ht="15.75">
      <c r="D520" s="88"/>
      <c r="E520" s="88"/>
      <c r="F520" s="88"/>
      <c r="G520" s="88"/>
      <c r="H520" s="88"/>
      <c r="AF520" s="105"/>
    </row>
    <row r="521" spans="4:32" ht="15.75">
      <c r="D521" s="88"/>
      <c r="E521" s="88"/>
      <c r="F521" s="88"/>
      <c r="G521" s="88"/>
      <c r="H521" s="88"/>
      <c r="AF521" s="105"/>
    </row>
    <row r="522" spans="4:32" ht="15.75">
      <c r="D522" s="88"/>
      <c r="E522" s="88"/>
      <c r="F522" s="88"/>
      <c r="G522" s="88"/>
      <c r="H522" s="88"/>
      <c r="AF522" s="105"/>
    </row>
    <row r="523" spans="4:32" ht="15.75">
      <c r="D523" s="88"/>
      <c r="E523" s="88"/>
      <c r="F523" s="88"/>
      <c r="G523" s="88"/>
      <c r="H523" s="88"/>
      <c r="AF523" s="105"/>
    </row>
    <row r="524" spans="4:32" ht="15.75">
      <c r="D524" s="88"/>
      <c r="E524" s="88"/>
      <c r="F524" s="88"/>
      <c r="G524" s="88"/>
      <c r="H524" s="88"/>
      <c r="AF524" s="105"/>
    </row>
    <row r="525" spans="4:32" ht="15.75">
      <c r="D525" s="88"/>
      <c r="E525" s="88"/>
      <c r="F525" s="88"/>
      <c r="G525" s="88"/>
      <c r="H525" s="88"/>
      <c r="AF525" s="105"/>
    </row>
    <row r="526" spans="4:32" ht="15.75">
      <c r="D526" s="88"/>
      <c r="E526" s="88"/>
      <c r="F526" s="88"/>
      <c r="G526" s="88"/>
      <c r="H526" s="88"/>
      <c r="AF526" s="105"/>
    </row>
    <row r="527" spans="4:32" ht="15.75">
      <c r="D527" s="88"/>
      <c r="E527" s="88"/>
      <c r="F527" s="88"/>
      <c r="G527" s="88"/>
      <c r="H527" s="88"/>
      <c r="AF527" s="105"/>
    </row>
    <row r="528" spans="4:32" ht="15.75">
      <c r="D528" s="88"/>
      <c r="E528" s="88"/>
      <c r="F528" s="88"/>
      <c r="G528" s="88"/>
      <c r="H528" s="88"/>
      <c r="AF528" s="105"/>
    </row>
    <row r="529" spans="4:32" ht="15.75">
      <c r="D529" s="88"/>
      <c r="E529" s="88"/>
      <c r="F529" s="88"/>
      <c r="G529" s="88"/>
      <c r="H529" s="88"/>
      <c r="AF529" s="105"/>
    </row>
    <row r="530" spans="4:32" ht="15.75">
      <c r="D530" s="88"/>
      <c r="E530" s="88"/>
      <c r="F530" s="88"/>
      <c r="G530" s="88"/>
      <c r="H530" s="88"/>
      <c r="AF530" s="105"/>
    </row>
    <row r="531" spans="4:32" ht="15.75">
      <c r="D531" s="88"/>
      <c r="E531" s="88"/>
      <c r="F531" s="88"/>
      <c r="G531" s="88"/>
      <c r="H531" s="88"/>
      <c r="AF531" s="105"/>
    </row>
    <row r="532" spans="4:32" ht="15.75">
      <c r="D532" s="88"/>
      <c r="E532" s="88"/>
      <c r="F532" s="88"/>
      <c r="G532" s="88"/>
      <c r="H532" s="88"/>
      <c r="AF532" s="105"/>
    </row>
    <row r="533" spans="4:32" ht="15.75">
      <c r="D533" s="88"/>
      <c r="E533" s="88"/>
      <c r="F533" s="88"/>
      <c r="G533" s="88"/>
      <c r="H533" s="88"/>
      <c r="AF533" s="105"/>
    </row>
    <row r="534" spans="4:32" ht="15.75">
      <c r="D534" s="88"/>
      <c r="E534" s="88"/>
      <c r="F534" s="88"/>
      <c r="G534" s="88"/>
      <c r="H534" s="88"/>
      <c r="AF534" s="105"/>
    </row>
    <row r="535" spans="4:32" ht="15.75">
      <c r="D535" s="88"/>
      <c r="E535" s="88"/>
      <c r="F535" s="88"/>
      <c r="G535" s="88"/>
      <c r="H535" s="88"/>
      <c r="AF535" s="105"/>
    </row>
    <row r="536" spans="4:32" ht="15.75">
      <c r="D536" s="88"/>
      <c r="E536" s="88"/>
      <c r="F536" s="88"/>
      <c r="G536" s="88"/>
      <c r="H536" s="88"/>
      <c r="AF536" s="105"/>
    </row>
    <row r="537" spans="4:32" ht="15.75">
      <c r="D537" s="88"/>
      <c r="E537" s="88"/>
      <c r="F537" s="88"/>
      <c r="G537" s="88"/>
      <c r="H537" s="88"/>
      <c r="AF537" s="105"/>
    </row>
    <row r="538" spans="4:32" ht="15.75">
      <c r="D538" s="88"/>
      <c r="E538" s="88"/>
      <c r="F538" s="88"/>
      <c r="G538" s="88"/>
      <c r="H538" s="88"/>
      <c r="AF538" s="105"/>
    </row>
    <row r="539" spans="4:32" ht="15.75">
      <c r="D539" s="88"/>
      <c r="E539" s="88"/>
      <c r="F539" s="88"/>
      <c r="G539" s="88"/>
      <c r="H539" s="88"/>
      <c r="AF539" s="105"/>
    </row>
    <row r="540" spans="4:32" ht="15.75">
      <c r="D540" s="88"/>
      <c r="E540" s="88"/>
      <c r="F540" s="88"/>
      <c r="G540" s="88"/>
      <c r="H540" s="88"/>
      <c r="AF540" s="105"/>
    </row>
    <row r="541" spans="4:32" ht="15.75">
      <c r="D541" s="88"/>
      <c r="E541" s="88"/>
      <c r="F541" s="88"/>
      <c r="G541" s="88"/>
      <c r="H541" s="88"/>
      <c r="AF541" s="105"/>
    </row>
    <row r="542" spans="4:32" ht="15.75">
      <c r="D542" s="88"/>
      <c r="E542" s="88"/>
      <c r="F542" s="88"/>
      <c r="G542" s="88"/>
      <c r="H542" s="88"/>
      <c r="AF542" s="105"/>
    </row>
    <row r="543" spans="4:32" ht="15.75">
      <c r="D543" s="88"/>
      <c r="E543" s="88"/>
      <c r="F543" s="88"/>
      <c r="G543" s="88"/>
      <c r="H543" s="88"/>
      <c r="AF543" s="105"/>
    </row>
    <row r="544" spans="4:32" ht="15.75">
      <c r="D544" s="88"/>
      <c r="E544" s="88"/>
      <c r="F544" s="88"/>
      <c r="G544" s="88"/>
      <c r="H544" s="88"/>
      <c r="AF544" s="105"/>
    </row>
    <row r="545" spans="4:32" ht="15.75">
      <c r="D545" s="88"/>
      <c r="E545" s="88"/>
      <c r="F545" s="88"/>
      <c r="G545" s="88"/>
      <c r="H545" s="88"/>
      <c r="AF545" s="105"/>
    </row>
    <row r="546" spans="4:32" ht="15.75">
      <c r="D546" s="88"/>
      <c r="E546" s="88"/>
      <c r="F546" s="88"/>
      <c r="G546" s="88"/>
      <c r="H546" s="88"/>
      <c r="AF546" s="105"/>
    </row>
    <row r="547" spans="4:32" ht="15.75">
      <c r="D547" s="88"/>
      <c r="E547" s="88"/>
      <c r="F547" s="88"/>
      <c r="G547" s="88"/>
      <c r="H547" s="88"/>
      <c r="AF547" s="105"/>
    </row>
    <row r="548" spans="4:32" ht="15.75">
      <c r="D548" s="88"/>
      <c r="E548" s="88"/>
      <c r="F548" s="88"/>
      <c r="G548" s="88"/>
      <c r="H548" s="88"/>
      <c r="AF548" s="105"/>
    </row>
    <row r="549" spans="4:32" ht="15.75">
      <c r="D549" s="88"/>
      <c r="E549" s="88"/>
      <c r="F549" s="88"/>
      <c r="G549" s="88"/>
      <c r="H549" s="88"/>
      <c r="AF549" s="105"/>
    </row>
    <row r="550" spans="4:32" ht="15.75">
      <c r="D550" s="88"/>
      <c r="E550" s="88"/>
      <c r="F550" s="88"/>
      <c r="G550" s="88"/>
      <c r="H550" s="88"/>
      <c r="AF550" s="105"/>
    </row>
    <row r="551" spans="4:32" ht="15.75">
      <c r="D551" s="88"/>
      <c r="E551" s="88"/>
      <c r="F551" s="88"/>
      <c r="G551" s="88"/>
      <c r="H551" s="88"/>
      <c r="AF551" s="105"/>
    </row>
    <row r="552" spans="4:32" ht="15.75">
      <c r="D552" s="88"/>
      <c r="E552" s="88"/>
      <c r="F552" s="88"/>
      <c r="G552" s="88"/>
      <c r="H552" s="88"/>
      <c r="AF552" s="105"/>
    </row>
    <row r="553" spans="4:32" ht="15.75">
      <c r="D553" s="88"/>
      <c r="E553" s="88"/>
      <c r="F553" s="88"/>
      <c r="G553" s="88"/>
      <c r="H553" s="88"/>
      <c r="AF553" s="105"/>
    </row>
    <row r="554" spans="4:32" ht="15.75">
      <c r="D554" s="88"/>
      <c r="E554" s="88"/>
      <c r="F554" s="88"/>
      <c r="G554" s="88"/>
      <c r="H554" s="88"/>
      <c r="AF554" s="105"/>
    </row>
    <row r="555" spans="4:32" ht="15.75">
      <c r="D555" s="88"/>
      <c r="E555" s="88"/>
      <c r="F555" s="88"/>
      <c r="G555" s="88"/>
      <c r="H555" s="88"/>
      <c r="AF555" s="105"/>
    </row>
    <row r="556" spans="4:32" ht="15.75">
      <c r="D556" s="88"/>
      <c r="E556" s="88"/>
      <c r="F556" s="88"/>
      <c r="G556" s="88"/>
      <c r="H556" s="88"/>
      <c r="AF556" s="105"/>
    </row>
    <row r="557" spans="4:32" ht="15.75">
      <c r="D557" s="88"/>
      <c r="E557" s="88"/>
      <c r="F557" s="88"/>
      <c r="G557" s="88"/>
      <c r="H557" s="88"/>
      <c r="AF557" s="105"/>
    </row>
    <row r="558" spans="4:32" ht="15.75">
      <c r="D558" s="88"/>
      <c r="E558" s="88"/>
      <c r="F558" s="88"/>
      <c r="G558" s="88"/>
      <c r="H558" s="88"/>
      <c r="AF558" s="105"/>
    </row>
    <row r="559" spans="4:32" ht="15.75">
      <c r="D559" s="88"/>
      <c r="E559" s="88"/>
      <c r="F559" s="88"/>
      <c r="G559" s="88"/>
      <c r="H559" s="88"/>
      <c r="AF559" s="105"/>
    </row>
    <row r="560" spans="4:32" ht="15.75">
      <c r="D560" s="88"/>
      <c r="E560" s="88"/>
      <c r="F560" s="88"/>
      <c r="G560" s="88"/>
      <c r="H560" s="88"/>
      <c r="AF560" s="105"/>
    </row>
    <row r="561" spans="4:32" ht="15.75">
      <c r="D561" s="88"/>
      <c r="E561" s="88"/>
      <c r="F561" s="88"/>
      <c r="G561" s="88"/>
      <c r="H561" s="88"/>
      <c r="AF561" s="105"/>
    </row>
    <row r="562" spans="4:32" ht="15.75">
      <c r="D562" s="88"/>
      <c r="E562" s="88"/>
      <c r="F562" s="88"/>
      <c r="G562" s="88"/>
      <c r="H562" s="88"/>
      <c r="AF562" s="105"/>
    </row>
    <row r="563" spans="4:32" ht="15.75">
      <c r="D563" s="88"/>
      <c r="E563" s="88"/>
      <c r="F563" s="88"/>
      <c r="G563" s="88"/>
      <c r="H563" s="88"/>
      <c r="AF563" s="105"/>
    </row>
    <row r="564" spans="4:32" ht="15.75">
      <c r="D564" s="88"/>
      <c r="E564" s="88"/>
      <c r="F564" s="88"/>
      <c r="G564" s="88"/>
      <c r="H564" s="88"/>
      <c r="AF564" s="105"/>
    </row>
    <row r="565" spans="4:32" ht="15.75">
      <c r="D565" s="88"/>
      <c r="E565" s="88"/>
      <c r="F565" s="88"/>
      <c r="G565" s="88"/>
      <c r="H565" s="88"/>
      <c r="AF565" s="105"/>
    </row>
    <row r="566" spans="4:32" ht="15.75">
      <c r="D566" s="88"/>
      <c r="E566" s="88"/>
      <c r="F566" s="88"/>
      <c r="G566" s="88"/>
      <c r="H566" s="88"/>
      <c r="AF566" s="105"/>
    </row>
    <row r="567" spans="4:32" ht="15.75">
      <c r="D567" s="88"/>
      <c r="E567" s="88"/>
      <c r="F567" s="88"/>
      <c r="G567" s="88"/>
      <c r="H567" s="88"/>
      <c r="AF567" s="105"/>
    </row>
    <row r="568" spans="4:32" ht="15.75">
      <c r="D568" s="88"/>
      <c r="E568" s="88"/>
      <c r="F568" s="88"/>
      <c r="G568" s="88"/>
      <c r="H568" s="88"/>
      <c r="AF568" s="105"/>
    </row>
    <row r="569" spans="4:32" ht="15.75">
      <c r="D569" s="88"/>
      <c r="E569" s="88"/>
      <c r="F569" s="88"/>
      <c r="G569" s="88"/>
      <c r="H569" s="88"/>
      <c r="AF569" s="105"/>
    </row>
    <row r="570" spans="4:32" ht="15.75">
      <c r="D570" s="88"/>
      <c r="E570" s="88"/>
      <c r="F570" s="88"/>
      <c r="G570" s="88"/>
      <c r="H570" s="88"/>
      <c r="AF570" s="105"/>
    </row>
    <row r="571" spans="4:32" ht="15.75">
      <c r="D571" s="88"/>
      <c r="E571" s="88"/>
      <c r="F571" s="88"/>
      <c r="G571" s="88"/>
      <c r="H571" s="88"/>
      <c r="AF571" s="105"/>
    </row>
    <row r="572" spans="4:32" ht="15.75">
      <c r="D572" s="88"/>
      <c r="E572" s="88"/>
      <c r="F572" s="88"/>
      <c r="G572" s="88"/>
      <c r="H572" s="88"/>
      <c r="AF572" s="105"/>
    </row>
    <row r="573" spans="4:32" ht="15.75">
      <c r="D573" s="88"/>
      <c r="E573" s="88"/>
      <c r="F573" s="88"/>
      <c r="G573" s="88"/>
      <c r="H573" s="88"/>
      <c r="AF573" s="105"/>
    </row>
    <row r="574" spans="4:32" ht="15.75">
      <c r="D574" s="88"/>
      <c r="E574" s="88"/>
      <c r="F574" s="88"/>
      <c r="G574" s="88"/>
      <c r="H574" s="88"/>
      <c r="AF574" s="105"/>
    </row>
    <row r="575" spans="4:32" ht="15.75">
      <c r="D575" s="88"/>
      <c r="E575" s="88"/>
      <c r="F575" s="88"/>
      <c r="G575" s="88"/>
      <c r="H575" s="88"/>
      <c r="AF575" s="105"/>
    </row>
    <row r="576" spans="4:32" ht="15.75">
      <c r="D576" s="88"/>
      <c r="E576" s="88"/>
      <c r="F576" s="88"/>
      <c r="G576" s="88"/>
      <c r="H576" s="88"/>
      <c r="AF576" s="105"/>
    </row>
    <row r="577" spans="4:32" ht="15.75">
      <c r="D577" s="88"/>
      <c r="E577" s="88"/>
      <c r="F577" s="88"/>
      <c r="G577" s="88"/>
      <c r="H577" s="88"/>
      <c r="AF577" s="105"/>
    </row>
    <row r="578" spans="4:32" ht="15.75">
      <c r="D578" s="88"/>
      <c r="E578" s="88"/>
      <c r="F578" s="88"/>
      <c r="G578" s="88"/>
      <c r="H578" s="88"/>
      <c r="AF578" s="105"/>
    </row>
    <row r="579" spans="4:32" ht="15.75">
      <c r="D579" s="88"/>
      <c r="E579" s="88"/>
      <c r="F579" s="88"/>
      <c r="G579" s="88"/>
      <c r="H579" s="88"/>
      <c r="AF579" s="105"/>
    </row>
    <row r="580" spans="4:32" ht="15.75">
      <c r="D580" s="88"/>
      <c r="E580" s="88"/>
      <c r="F580" s="88"/>
      <c r="G580" s="88"/>
      <c r="H580" s="88"/>
      <c r="AF580" s="105"/>
    </row>
    <row r="581" spans="4:32" ht="15.75">
      <c r="D581" s="88"/>
      <c r="E581" s="88"/>
      <c r="F581" s="88"/>
      <c r="G581" s="88"/>
      <c r="H581" s="88"/>
      <c r="AF581" s="105"/>
    </row>
    <row r="582" spans="4:32" ht="15.75">
      <c r="D582" s="88"/>
      <c r="E582" s="88"/>
      <c r="F582" s="88"/>
      <c r="G582" s="88"/>
      <c r="H582" s="88"/>
      <c r="AF582" s="105"/>
    </row>
    <row r="583" spans="4:32" ht="15.75">
      <c r="D583" s="88"/>
      <c r="E583" s="88"/>
      <c r="F583" s="88"/>
      <c r="G583" s="88"/>
      <c r="H583" s="88"/>
      <c r="AF583" s="105"/>
    </row>
    <row r="584" spans="4:32" ht="15.75">
      <c r="D584" s="88"/>
      <c r="E584" s="88"/>
      <c r="F584" s="88"/>
      <c r="G584" s="88"/>
      <c r="H584" s="88"/>
      <c r="AF584" s="105"/>
    </row>
    <row r="585" spans="4:32" ht="15.75">
      <c r="D585" s="88"/>
      <c r="E585" s="88"/>
      <c r="F585" s="88"/>
      <c r="G585" s="88"/>
      <c r="H585" s="88"/>
      <c r="AF585" s="105"/>
    </row>
    <row r="586" spans="4:32" ht="15.75">
      <c r="D586" s="88"/>
      <c r="E586" s="88"/>
      <c r="F586" s="88"/>
      <c r="G586" s="88"/>
      <c r="H586" s="88"/>
      <c r="AF586" s="105"/>
    </row>
    <row r="587" spans="4:32" ht="15.75">
      <c r="D587" s="88"/>
      <c r="E587" s="88"/>
      <c r="F587" s="88"/>
      <c r="G587" s="88"/>
      <c r="H587" s="88"/>
      <c r="AF587" s="105"/>
    </row>
    <row r="588" spans="4:32" ht="15.75">
      <c r="D588" s="88"/>
      <c r="E588" s="88"/>
      <c r="F588" s="88"/>
      <c r="G588" s="88"/>
      <c r="H588" s="88"/>
      <c r="AF588" s="105"/>
    </row>
    <row r="589" spans="4:32" ht="15.75">
      <c r="D589" s="88"/>
      <c r="E589" s="88"/>
      <c r="F589" s="88"/>
      <c r="G589" s="88"/>
      <c r="H589" s="88"/>
      <c r="AF589" s="105"/>
    </row>
    <row r="590" spans="4:32" ht="15.75">
      <c r="D590" s="88"/>
      <c r="E590" s="88"/>
      <c r="F590" s="88"/>
      <c r="G590" s="88"/>
      <c r="H590" s="88"/>
      <c r="AF590" s="105"/>
    </row>
    <row r="591" spans="4:32" ht="15.75">
      <c r="D591" s="88"/>
      <c r="E591" s="88"/>
      <c r="F591" s="88"/>
      <c r="G591" s="88"/>
      <c r="H591" s="88"/>
      <c r="AF591" s="105"/>
    </row>
    <row r="592" spans="4:32" ht="15.75">
      <c r="D592" s="88"/>
      <c r="E592" s="88"/>
      <c r="F592" s="88"/>
      <c r="G592" s="88"/>
      <c r="H592" s="88"/>
      <c r="AF592" s="105"/>
    </row>
    <row r="593" spans="4:32" ht="15.75">
      <c r="D593" s="88"/>
      <c r="E593" s="88"/>
      <c r="F593" s="88"/>
      <c r="G593" s="88"/>
      <c r="H593" s="88"/>
      <c r="AF593" s="105"/>
    </row>
    <row r="594" spans="4:32" ht="15.75">
      <c r="D594" s="88"/>
      <c r="E594" s="88"/>
      <c r="F594" s="88"/>
      <c r="G594" s="88"/>
      <c r="H594" s="88"/>
      <c r="AF594" s="105"/>
    </row>
    <row r="595" spans="4:32" ht="15.75">
      <c r="D595" s="88"/>
      <c r="E595" s="88"/>
      <c r="F595" s="88"/>
      <c r="G595" s="88"/>
      <c r="H595" s="88"/>
      <c r="AF595" s="105"/>
    </row>
    <row r="596" spans="4:32" ht="15.75">
      <c r="D596" s="88"/>
      <c r="E596" s="88"/>
      <c r="F596" s="88"/>
      <c r="G596" s="88"/>
      <c r="H596" s="88"/>
      <c r="AF596" s="105"/>
    </row>
    <row r="597" spans="4:32" ht="15.75">
      <c r="D597" s="88"/>
      <c r="E597" s="88"/>
      <c r="F597" s="88"/>
      <c r="G597" s="88"/>
      <c r="H597" s="88"/>
      <c r="AF597" s="105"/>
    </row>
    <row r="598" spans="4:32" ht="15.75">
      <c r="D598" s="88"/>
      <c r="E598" s="88"/>
      <c r="F598" s="88"/>
      <c r="G598" s="88"/>
      <c r="H598" s="88"/>
      <c r="AF598" s="105"/>
    </row>
    <row r="599" spans="4:32" ht="15.75">
      <c r="D599" s="88"/>
      <c r="E599" s="88"/>
      <c r="F599" s="88"/>
      <c r="G599" s="88"/>
      <c r="H599" s="88"/>
      <c r="AF599" s="105"/>
    </row>
    <row r="600" spans="4:32" ht="15.75">
      <c r="D600" s="88"/>
      <c r="E600" s="88"/>
      <c r="F600" s="88"/>
      <c r="G600" s="88"/>
      <c r="H600" s="88"/>
      <c r="AF600" s="105"/>
    </row>
    <row r="601" spans="4:32" ht="15.75">
      <c r="D601" s="88"/>
      <c r="E601" s="88"/>
      <c r="F601" s="88"/>
      <c r="G601" s="88"/>
      <c r="H601" s="88"/>
      <c r="AF601" s="105"/>
    </row>
    <row r="602" spans="4:32" ht="15.75">
      <c r="D602" s="88"/>
      <c r="E602" s="88"/>
      <c r="F602" s="88"/>
      <c r="G602" s="88"/>
      <c r="H602" s="88"/>
      <c r="AF602" s="105"/>
    </row>
    <row r="603" spans="4:32" ht="15.75">
      <c r="D603" s="88"/>
      <c r="E603" s="88"/>
      <c r="F603" s="88"/>
      <c r="G603" s="88"/>
      <c r="H603" s="88"/>
      <c r="AF603" s="105"/>
    </row>
    <row r="604" spans="4:32" ht="15.75">
      <c r="D604" s="88"/>
      <c r="E604" s="88"/>
      <c r="F604" s="88"/>
      <c r="G604" s="88"/>
      <c r="H604" s="88"/>
      <c r="AF604" s="105"/>
    </row>
    <row r="605" spans="4:32" ht="15.75">
      <c r="D605" s="88"/>
      <c r="E605" s="88"/>
      <c r="F605" s="88"/>
      <c r="G605" s="88"/>
      <c r="H605" s="88"/>
      <c r="AF605" s="105"/>
    </row>
    <row r="606" spans="4:32" ht="15.75">
      <c r="D606" s="88"/>
      <c r="E606" s="88"/>
      <c r="F606" s="88"/>
      <c r="G606" s="88"/>
      <c r="H606" s="88"/>
      <c r="AF606" s="105"/>
    </row>
    <row r="607" spans="4:32" ht="15.75">
      <c r="D607" s="88"/>
      <c r="E607" s="88"/>
      <c r="F607" s="88"/>
      <c r="G607" s="88"/>
      <c r="H607" s="88"/>
      <c r="AF607" s="105"/>
    </row>
    <row r="608" spans="4:32" ht="15.75">
      <c r="D608" s="88"/>
      <c r="E608" s="88"/>
      <c r="F608" s="88"/>
      <c r="G608" s="88"/>
      <c r="H608" s="88"/>
      <c r="AF608" s="105"/>
    </row>
    <row r="609" spans="4:32" ht="15.75">
      <c r="D609" s="88"/>
      <c r="E609" s="88"/>
      <c r="F609" s="88"/>
      <c r="G609" s="88"/>
      <c r="H609" s="88"/>
      <c r="AF609" s="105"/>
    </row>
    <row r="610" spans="4:32" ht="15.75">
      <c r="D610" s="88"/>
      <c r="E610" s="88"/>
      <c r="F610" s="88"/>
      <c r="G610" s="88"/>
      <c r="H610" s="88"/>
      <c r="AF610" s="105"/>
    </row>
    <row r="611" spans="4:32" ht="15.75">
      <c r="D611" s="88"/>
      <c r="E611" s="88"/>
      <c r="F611" s="88"/>
      <c r="G611" s="88"/>
      <c r="H611" s="88"/>
      <c r="AF611" s="105"/>
    </row>
    <row r="612" spans="4:32" ht="15.75">
      <c r="D612" s="88"/>
      <c r="E612" s="88"/>
      <c r="F612" s="88"/>
      <c r="G612" s="88"/>
      <c r="H612" s="88"/>
      <c r="AF612" s="105"/>
    </row>
    <row r="613" spans="4:32" ht="15.75">
      <c r="D613" s="88"/>
      <c r="E613" s="88"/>
      <c r="F613" s="88"/>
      <c r="G613" s="88"/>
      <c r="H613" s="88"/>
      <c r="AF613" s="105"/>
    </row>
    <row r="614" spans="4:32" ht="15.75">
      <c r="D614" s="88"/>
      <c r="E614" s="88"/>
      <c r="F614" s="88"/>
      <c r="G614" s="88"/>
      <c r="H614" s="88"/>
      <c r="AF614" s="105"/>
    </row>
    <row r="615" spans="4:32" ht="15.75">
      <c r="D615" s="88"/>
      <c r="E615" s="88"/>
      <c r="F615" s="88"/>
      <c r="G615" s="88"/>
      <c r="H615" s="88"/>
      <c r="AF615" s="105"/>
    </row>
    <row r="616" spans="4:32" ht="15.75">
      <c r="D616" s="88"/>
      <c r="E616" s="88"/>
      <c r="F616" s="88"/>
      <c r="G616" s="88"/>
      <c r="H616" s="88"/>
      <c r="AF616" s="105"/>
    </row>
    <row r="617" spans="4:32" ht="15.75">
      <c r="D617" s="88"/>
      <c r="E617" s="88"/>
      <c r="F617" s="88"/>
      <c r="G617" s="88"/>
      <c r="H617" s="88"/>
      <c r="AF617" s="105"/>
    </row>
    <row r="618" spans="4:32" ht="15.75">
      <c r="D618" s="88"/>
      <c r="E618" s="88"/>
      <c r="F618" s="88"/>
      <c r="G618" s="88"/>
      <c r="H618" s="88"/>
      <c r="AF618" s="105"/>
    </row>
    <row r="619" spans="4:32" ht="15.75">
      <c r="D619" s="88"/>
      <c r="E619" s="88"/>
      <c r="F619" s="88"/>
      <c r="G619" s="88"/>
      <c r="H619" s="88"/>
      <c r="AF619" s="105"/>
    </row>
    <row r="620" spans="4:32" ht="15.75">
      <c r="D620" s="88"/>
      <c r="E620" s="88"/>
      <c r="F620" s="88"/>
      <c r="G620" s="88"/>
      <c r="H620" s="88"/>
      <c r="AF620" s="105"/>
    </row>
    <row r="621" spans="4:32" ht="15.75">
      <c r="D621" s="88"/>
      <c r="E621" s="88"/>
      <c r="F621" s="88"/>
      <c r="G621" s="88"/>
      <c r="H621" s="88"/>
      <c r="AF621" s="105"/>
    </row>
    <row r="622" spans="4:32" ht="15.75">
      <c r="D622" s="88"/>
      <c r="E622" s="88"/>
      <c r="F622" s="88"/>
      <c r="G622" s="88"/>
      <c r="H622" s="88"/>
      <c r="AF622" s="105"/>
    </row>
    <row r="623" spans="4:32" ht="15.75">
      <c r="D623" s="88"/>
      <c r="E623" s="88"/>
      <c r="F623" s="88"/>
      <c r="G623" s="88"/>
      <c r="H623" s="88"/>
      <c r="AF623" s="105"/>
    </row>
    <row r="624" spans="4:32" ht="15.75">
      <c r="D624" s="88"/>
      <c r="E624" s="88"/>
      <c r="F624" s="88"/>
      <c r="G624" s="88"/>
      <c r="H624" s="88"/>
      <c r="AF624" s="105"/>
    </row>
    <row r="625" spans="4:32" ht="15.75">
      <c r="D625" s="88"/>
      <c r="E625" s="88"/>
      <c r="F625" s="88"/>
      <c r="G625" s="88"/>
      <c r="H625" s="88"/>
      <c r="AF625" s="105"/>
    </row>
    <row r="626" spans="4:32" ht="15.75">
      <c r="D626" s="88"/>
      <c r="E626" s="88"/>
      <c r="F626" s="88"/>
      <c r="G626" s="88"/>
      <c r="H626" s="88"/>
      <c r="AF626" s="105"/>
    </row>
    <row r="627" spans="4:32" ht="15.75">
      <c r="D627" s="88"/>
      <c r="E627" s="88"/>
      <c r="F627" s="88"/>
      <c r="G627" s="88"/>
      <c r="H627" s="88"/>
      <c r="AF627" s="105"/>
    </row>
    <row r="628" spans="4:32" ht="15.75">
      <c r="D628" s="88"/>
      <c r="E628" s="88"/>
      <c r="F628" s="88"/>
      <c r="G628" s="88"/>
      <c r="H628" s="88"/>
      <c r="AF628" s="105"/>
    </row>
    <row r="629" spans="4:32" ht="15.75">
      <c r="D629" s="88"/>
      <c r="E629" s="88"/>
      <c r="F629" s="88"/>
      <c r="G629" s="88"/>
      <c r="H629" s="88"/>
      <c r="AF629" s="105"/>
    </row>
    <row r="630" spans="4:32" ht="15.75">
      <c r="D630" s="88"/>
      <c r="E630" s="88"/>
      <c r="F630" s="88"/>
      <c r="G630" s="88"/>
      <c r="H630" s="88"/>
      <c r="AF630" s="105"/>
    </row>
    <row r="631" spans="4:32" ht="15.75">
      <c r="D631" s="88"/>
      <c r="E631" s="88"/>
      <c r="F631" s="88"/>
      <c r="G631" s="88"/>
      <c r="H631" s="88"/>
      <c r="AF631" s="105"/>
    </row>
    <row r="632" spans="4:32" ht="15.75">
      <c r="D632" s="88"/>
      <c r="E632" s="88"/>
      <c r="F632" s="88"/>
      <c r="G632" s="88"/>
      <c r="H632" s="88"/>
      <c r="AF632" s="105"/>
    </row>
    <row r="633" spans="4:32" ht="15.75">
      <c r="D633" s="88"/>
      <c r="E633" s="88"/>
      <c r="F633" s="88"/>
      <c r="G633" s="88"/>
      <c r="H633" s="88"/>
      <c r="AF633" s="105"/>
    </row>
    <row r="634" spans="4:32" ht="15.75">
      <c r="D634" s="88"/>
      <c r="E634" s="88"/>
      <c r="F634" s="88"/>
      <c r="G634" s="88"/>
      <c r="H634" s="88"/>
      <c r="AF634" s="105"/>
    </row>
    <row r="635" spans="4:32" ht="15.75">
      <c r="D635" s="88"/>
      <c r="E635" s="88"/>
      <c r="F635" s="88"/>
      <c r="G635" s="88"/>
      <c r="H635" s="88"/>
      <c r="AF635" s="105"/>
    </row>
    <row r="636" spans="4:32" ht="15.75">
      <c r="D636" s="88"/>
      <c r="E636" s="88"/>
      <c r="F636" s="88"/>
      <c r="G636" s="88"/>
      <c r="H636" s="88"/>
      <c r="AF636" s="105"/>
    </row>
    <row r="637" spans="4:32" ht="15.75">
      <c r="D637" s="88"/>
      <c r="E637" s="88"/>
      <c r="F637" s="88"/>
      <c r="G637" s="88"/>
      <c r="H637" s="88"/>
      <c r="AF637" s="105"/>
    </row>
    <row r="638" spans="4:32" ht="15.75">
      <c r="D638" s="88"/>
      <c r="E638" s="88"/>
      <c r="F638" s="88"/>
      <c r="G638" s="88"/>
      <c r="H638" s="88"/>
      <c r="AF638" s="105"/>
    </row>
    <row r="639" spans="4:32" ht="15.75">
      <c r="D639" s="88"/>
      <c r="E639" s="88"/>
      <c r="F639" s="88"/>
      <c r="G639" s="88"/>
      <c r="H639" s="88"/>
      <c r="AF639" s="105"/>
    </row>
    <row r="640" spans="4:32" ht="15.75">
      <c r="D640" s="88"/>
      <c r="E640" s="88"/>
      <c r="F640" s="88"/>
      <c r="G640" s="88"/>
      <c r="H640" s="88"/>
      <c r="AF640" s="105"/>
    </row>
    <row r="641" spans="4:32" ht="15.75">
      <c r="D641" s="88"/>
      <c r="E641" s="88"/>
      <c r="F641" s="88"/>
      <c r="G641" s="88"/>
      <c r="H641" s="88"/>
      <c r="AF641" s="105"/>
    </row>
    <row r="642" spans="4:32" ht="15.75">
      <c r="D642" s="88"/>
      <c r="E642" s="88"/>
      <c r="F642" s="88"/>
      <c r="G642" s="88"/>
      <c r="H642" s="88"/>
      <c r="AF642" s="105"/>
    </row>
    <row r="643" spans="4:32" ht="15.75">
      <c r="D643" s="88"/>
      <c r="E643" s="88"/>
      <c r="F643" s="88"/>
      <c r="G643" s="88"/>
      <c r="H643" s="88"/>
      <c r="AF643" s="105"/>
    </row>
    <row r="644" spans="4:32" ht="15.75">
      <c r="D644" s="88"/>
      <c r="E644" s="88"/>
      <c r="F644" s="88"/>
      <c r="G644" s="88"/>
      <c r="H644" s="88"/>
      <c r="AF644" s="105"/>
    </row>
    <row r="645" spans="4:32" ht="15.75">
      <c r="D645" s="88"/>
      <c r="E645" s="88"/>
      <c r="F645" s="88"/>
      <c r="G645" s="88"/>
      <c r="H645" s="88"/>
      <c r="AF645" s="105"/>
    </row>
    <row r="646" spans="4:32" ht="15.75">
      <c r="D646" s="88"/>
      <c r="E646" s="88"/>
      <c r="F646" s="88"/>
      <c r="G646" s="88"/>
      <c r="H646" s="88"/>
      <c r="AF646" s="105"/>
    </row>
    <row r="647" spans="4:32" ht="15.75">
      <c r="D647" s="88"/>
      <c r="E647" s="88"/>
      <c r="F647" s="88"/>
      <c r="G647" s="88"/>
      <c r="H647" s="88"/>
      <c r="AF647" s="105"/>
    </row>
    <row r="648" spans="4:32" ht="15.75">
      <c r="D648" s="88"/>
      <c r="E648" s="88"/>
      <c r="F648" s="88"/>
      <c r="G648" s="88"/>
      <c r="H648" s="88"/>
      <c r="AF648" s="105"/>
    </row>
    <row r="649" spans="4:32" ht="15.75">
      <c r="D649" s="88"/>
      <c r="E649" s="88"/>
      <c r="F649" s="88"/>
      <c r="G649" s="88"/>
      <c r="H649" s="88"/>
      <c r="AF649" s="105"/>
    </row>
    <row r="650" spans="4:32" ht="15.75">
      <c r="D650" s="88"/>
      <c r="E650" s="88"/>
      <c r="F650" s="88"/>
      <c r="G650" s="88"/>
      <c r="H650" s="88"/>
      <c r="AF650" s="105"/>
    </row>
    <row r="651" spans="4:32" ht="15.75">
      <c r="D651" s="88"/>
      <c r="E651" s="88"/>
      <c r="F651" s="88"/>
      <c r="G651" s="88"/>
      <c r="H651" s="88"/>
      <c r="AF651" s="105"/>
    </row>
    <row r="652" spans="4:32" ht="15.75">
      <c r="D652" s="88"/>
      <c r="E652" s="88"/>
      <c r="F652" s="88"/>
      <c r="G652" s="88"/>
      <c r="H652" s="88"/>
      <c r="AF652" s="105"/>
    </row>
    <row r="653" spans="4:32" ht="15.75">
      <c r="D653" s="88"/>
      <c r="E653" s="88"/>
      <c r="F653" s="88"/>
      <c r="G653" s="88"/>
      <c r="H653" s="88"/>
      <c r="AF653" s="105"/>
    </row>
    <row r="654" spans="4:32" ht="15.75">
      <c r="D654" s="88"/>
      <c r="E654" s="88"/>
      <c r="F654" s="88"/>
      <c r="G654" s="88"/>
      <c r="H654" s="88"/>
      <c r="AF654" s="105"/>
    </row>
    <row r="655" spans="4:32" ht="15.75">
      <c r="D655" s="88"/>
      <c r="E655" s="88"/>
      <c r="F655" s="88"/>
      <c r="G655" s="88"/>
      <c r="H655" s="88"/>
      <c r="AF655" s="105"/>
    </row>
    <row r="656" spans="4:32" ht="15.75">
      <c r="D656" s="88"/>
      <c r="E656" s="88"/>
      <c r="F656" s="88"/>
      <c r="G656" s="88"/>
      <c r="H656" s="88"/>
      <c r="AF656" s="105"/>
    </row>
    <row r="657" spans="4:32" ht="15.75">
      <c r="D657" s="88"/>
      <c r="E657" s="88"/>
      <c r="F657" s="88"/>
      <c r="G657" s="88"/>
      <c r="H657" s="88"/>
      <c r="AF657" s="105"/>
    </row>
    <row r="658" spans="4:32" ht="15.75">
      <c r="D658" s="88"/>
      <c r="E658" s="88"/>
      <c r="F658" s="88"/>
      <c r="G658" s="88"/>
      <c r="H658" s="88"/>
      <c r="AF658" s="105"/>
    </row>
    <row r="659" spans="4:32" ht="15.75">
      <c r="D659" s="88"/>
      <c r="E659" s="88"/>
      <c r="F659" s="88"/>
      <c r="G659" s="88"/>
      <c r="H659" s="88"/>
      <c r="AF659" s="105"/>
    </row>
    <row r="660" spans="4:32" ht="15.75">
      <c r="D660" s="88"/>
      <c r="E660" s="88"/>
      <c r="F660" s="88"/>
      <c r="G660" s="88"/>
      <c r="H660" s="88"/>
      <c r="AF660" s="105"/>
    </row>
    <row r="661" spans="4:32" ht="15.75">
      <c r="D661" s="88"/>
      <c r="E661" s="88"/>
      <c r="F661" s="88"/>
      <c r="G661" s="88"/>
      <c r="H661" s="88"/>
      <c r="AF661" s="105"/>
    </row>
    <row r="662" spans="4:32" ht="15.75">
      <c r="D662" s="88"/>
      <c r="E662" s="88"/>
      <c r="F662" s="88"/>
      <c r="G662" s="88"/>
      <c r="H662" s="88"/>
      <c r="AF662" s="105"/>
    </row>
    <row r="663" spans="4:32" ht="15.75">
      <c r="D663" s="88"/>
      <c r="E663" s="88"/>
      <c r="F663" s="88"/>
      <c r="G663" s="88"/>
      <c r="H663" s="88"/>
      <c r="AF663" s="105"/>
    </row>
    <row r="664" spans="4:32" ht="15.75">
      <c r="D664" s="88"/>
      <c r="E664" s="88"/>
      <c r="F664" s="88"/>
      <c r="G664" s="88"/>
      <c r="H664" s="88"/>
      <c r="AF664" s="105"/>
    </row>
    <row r="665" spans="4:32" ht="15.75">
      <c r="D665" s="88"/>
      <c r="E665" s="88"/>
      <c r="F665" s="88"/>
      <c r="G665" s="88"/>
      <c r="H665" s="88"/>
      <c r="AF665" s="105"/>
    </row>
    <row r="666" spans="4:32" ht="15.75">
      <c r="D666" s="88"/>
      <c r="E666" s="88"/>
      <c r="F666" s="88"/>
      <c r="G666" s="88"/>
      <c r="H666" s="88"/>
      <c r="AF666" s="105"/>
    </row>
    <row r="667" spans="4:32" ht="15.75">
      <c r="D667" s="88"/>
      <c r="E667" s="88"/>
      <c r="F667" s="88"/>
      <c r="G667" s="88"/>
      <c r="H667" s="88"/>
      <c r="AF667" s="105"/>
    </row>
    <row r="668" spans="4:32" ht="15.75">
      <c r="D668" s="88"/>
      <c r="E668" s="88"/>
      <c r="F668" s="88"/>
      <c r="G668" s="88"/>
      <c r="H668" s="88"/>
      <c r="AF668" s="105"/>
    </row>
    <row r="669" spans="4:32" ht="15.75">
      <c r="D669" s="88"/>
      <c r="E669" s="88"/>
      <c r="F669" s="88"/>
      <c r="G669" s="88"/>
      <c r="H669" s="88"/>
      <c r="AF669" s="105"/>
    </row>
    <row r="670" spans="4:32" ht="15.75">
      <c r="D670" s="88"/>
      <c r="E670" s="88"/>
      <c r="F670" s="88"/>
      <c r="G670" s="88"/>
      <c r="H670" s="88"/>
      <c r="AF670" s="105"/>
    </row>
    <row r="671" spans="4:32" ht="15.75">
      <c r="D671" s="88"/>
      <c r="E671" s="88"/>
      <c r="F671" s="88"/>
      <c r="G671" s="88"/>
      <c r="H671" s="88"/>
      <c r="AF671" s="105"/>
    </row>
    <row r="672" spans="4:32" ht="15.75">
      <c r="D672" s="88"/>
      <c r="E672" s="88"/>
      <c r="F672" s="88"/>
      <c r="G672" s="88"/>
      <c r="H672" s="88"/>
      <c r="AF672" s="105"/>
    </row>
    <row r="673" spans="4:32" ht="15.75">
      <c r="D673" s="88"/>
      <c r="E673" s="88"/>
      <c r="F673" s="88"/>
      <c r="G673" s="88"/>
      <c r="H673" s="88"/>
      <c r="AF673" s="105"/>
    </row>
    <row r="674" spans="4:32" ht="15.75">
      <c r="D674" s="88"/>
      <c r="E674" s="88"/>
      <c r="F674" s="88"/>
      <c r="G674" s="88"/>
      <c r="H674" s="88"/>
      <c r="AF674" s="105"/>
    </row>
    <row r="675" spans="4:32" ht="15.75">
      <c r="D675" s="88"/>
      <c r="E675" s="88"/>
      <c r="F675" s="88"/>
      <c r="G675" s="88"/>
      <c r="H675" s="88"/>
      <c r="AF675" s="105"/>
    </row>
    <row r="676" spans="4:32" ht="15.75">
      <c r="D676" s="88"/>
      <c r="E676" s="88"/>
      <c r="F676" s="88"/>
      <c r="G676" s="88"/>
      <c r="H676" s="88"/>
      <c r="AF676" s="105"/>
    </row>
    <row r="677" spans="4:32" ht="15.75">
      <c r="D677" s="88"/>
      <c r="E677" s="88"/>
      <c r="F677" s="88"/>
      <c r="G677" s="88"/>
      <c r="H677" s="88"/>
      <c r="AF677" s="105"/>
    </row>
    <row r="678" spans="4:32" ht="15.75">
      <c r="D678" s="88"/>
      <c r="E678" s="88"/>
      <c r="F678" s="88"/>
      <c r="G678" s="88"/>
      <c r="H678" s="88"/>
      <c r="AF678" s="105"/>
    </row>
    <row r="679" spans="4:32" ht="15.75">
      <c r="D679" s="88"/>
      <c r="E679" s="88"/>
      <c r="F679" s="88"/>
      <c r="G679" s="88"/>
      <c r="H679" s="88"/>
      <c r="AF679" s="105"/>
    </row>
    <row r="680" spans="4:32" ht="15.75">
      <c r="D680" s="88"/>
      <c r="E680" s="88"/>
      <c r="F680" s="88"/>
      <c r="G680" s="88"/>
      <c r="H680" s="88"/>
      <c r="AF680" s="105"/>
    </row>
    <row r="681" spans="4:32" ht="15.75">
      <c r="D681" s="88"/>
      <c r="E681" s="88"/>
      <c r="F681" s="88"/>
      <c r="G681" s="88"/>
      <c r="H681" s="88"/>
      <c r="AF681" s="105"/>
    </row>
    <row r="682" spans="4:32" ht="15.75">
      <c r="D682" s="88"/>
      <c r="E682" s="88"/>
      <c r="F682" s="88"/>
      <c r="G682" s="88"/>
      <c r="H682" s="88"/>
      <c r="AF682" s="105"/>
    </row>
    <row r="683" spans="4:32" ht="15.75">
      <c r="D683" s="88"/>
      <c r="E683" s="88"/>
      <c r="F683" s="88"/>
      <c r="G683" s="88"/>
      <c r="H683" s="88"/>
      <c r="AF683" s="105"/>
    </row>
    <row r="684" spans="4:32" ht="15.75">
      <c r="D684" s="88"/>
      <c r="E684" s="88"/>
      <c r="F684" s="88"/>
      <c r="G684" s="88"/>
      <c r="H684" s="88"/>
      <c r="AF684" s="105"/>
    </row>
    <row r="685" spans="4:32" ht="15.75">
      <c r="D685" s="88"/>
      <c r="E685" s="88"/>
      <c r="F685" s="88"/>
      <c r="G685" s="88"/>
      <c r="H685" s="88"/>
      <c r="AF685" s="105"/>
    </row>
    <row r="686" spans="4:32" ht="15.75">
      <c r="D686" s="88"/>
      <c r="E686" s="88"/>
      <c r="F686" s="88"/>
      <c r="G686" s="88"/>
      <c r="H686" s="88"/>
      <c r="AF686" s="105"/>
    </row>
    <row r="687" spans="4:32" ht="15.75">
      <c r="D687" s="88"/>
      <c r="E687" s="88"/>
      <c r="F687" s="88"/>
      <c r="G687" s="88"/>
      <c r="H687" s="88"/>
      <c r="AF687" s="105"/>
    </row>
    <row r="688" spans="4:32" ht="15.75">
      <c r="D688" s="88"/>
      <c r="E688" s="88"/>
      <c r="F688" s="88"/>
      <c r="G688" s="88"/>
      <c r="H688" s="88"/>
      <c r="AF688" s="105"/>
    </row>
    <row r="689" spans="4:32" ht="15.75">
      <c r="D689" s="88"/>
      <c r="E689" s="88"/>
      <c r="F689" s="88"/>
      <c r="G689" s="88"/>
      <c r="H689" s="88"/>
      <c r="AF689" s="105"/>
    </row>
    <row r="690" spans="4:32" ht="15.75">
      <c r="D690" s="88"/>
      <c r="E690" s="88"/>
      <c r="F690" s="88"/>
      <c r="G690" s="88"/>
      <c r="H690" s="88"/>
      <c r="AF690" s="105"/>
    </row>
    <row r="691" spans="4:32" ht="15.75">
      <c r="D691" s="88"/>
      <c r="E691" s="88"/>
      <c r="F691" s="88"/>
      <c r="G691" s="88"/>
      <c r="H691" s="88"/>
      <c r="AF691" s="105"/>
    </row>
    <row r="692" spans="4:32" ht="15.75">
      <c r="D692" s="88"/>
      <c r="E692" s="88"/>
      <c r="F692" s="88"/>
      <c r="G692" s="88"/>
      <c r="H692" s="88"/>
      <c r="AF692" s="105"/>
    </row>
    <row r="693" spans="4:32" ht="15.75">
      <c r="D693" s="88"/>
      <c r="E693" s="88"/>
      <c r="F693" s="88"/>
      <c r="G693" s="88"/>
      <c r="H693" s="88"/>
      <c r="AF693" s="105"/>
    </row>
    <row r="694" spans="4:32" ht="15.75">
      <c r="D694" s="88"/>
      <c r="E694" s="88"/>
      <c r="F694" s="88"/>
      <c r="G694" s="88"/>
      <c r="H694" s="88"/>
      <c r="AF694" s="105"/>
    </row>
    <row r="695" spans="4:32" ht="15.75">
      <c r="D695" s="88"/>
      <c r="E695" s="88"/>
      <c r="F695" s="88"/>
      <c r="G695" s="88"/>
      <c r="H695" s="88"/>
      <c r="AF695" s="105"/>
    </row>
    <row r="696" spans="4:32" ht="15.75">
      <c r="D696" s="88"/>
      <c r="E696" s="88"/>
      <c r="F696" s="88"/>
      <c r="G696" s="88"/>
      <c r="H696" s="88"/>
      <c r="AF696" s="105"/>
    </row>
    <row r="697" spans="4:32" ht="15.75">
      <c r="D697" s="88"/>
      <c r="E697" s="88"/>
      <c r="F697" s="88"/>
      <c r="G697" s="88"/>
      <c r="H697" s="88"/>
      <c r="AF697" s="105"/>
    </row>
    <row r="698" spans="4:32" ht="15.75">
      <c r="D698" s="88"/>
      <c r="E698" s="88"/>
      <c r="F698" s="88"/>
      <c r="G698" s="88"/>
      <c r="H698" s="88"/>
      <c r="AF698" s="105"/>
    </row>
    <row r="699" spans="4:32" ht="15.75">
      <c r="D699" s="88"/>
      <c r="E699" s="88"/>
      <c r="F699" s="88"/>
      <c r="G699" s="88"/>
      <c r="H699" s="88"/>
      <c r="AF699" s="105"/>
    </row>
    <row r="700" spans="4:32" ht="15.75">
      <c r="D700" s="88"/>
      <c r="E700" s="88"/>
      <c r="F700" s="88"/>
      <c r="G700" s="88"/>
      <c r="H700" s="88"/>
      <c r="AF700" s="105"/>
    </row>
    <row r="701" spans="4:32" ht="15.75">
      <c r="D701" s="88"/>
      <c r="E701" s="88"/>
      <c r="F701" s="88"/>
      <c r="G701" s="88"/>
      <c r="H701" s="88"/>
      <c r="AF701" s="105"/>
    </row>
    <row r="702" spans="4:32" ht="15.75">
      <c r="D702" s="88"/>
      <c r="E702" s="88"/>
      <c r="F702" s="88"/>
      <c r="G702" s="88"/>
      <c r="H702" s="88"/>
      <c r="AF702" s="105"/>
    </row>
    <row r="703" spans="4:32" ht="15.75">
      <c r="D703" s="88"/>
      <c r="E703" s="88"/>
      <c r="F703" s="88"/>
      <c r="G703" s="88"/>
      <c r="H703" s="88"/>
      <c r="AF703" s="105"/>
    </row>
    <row r="704" spans="4:32" ht="15.75">
      <c r="D704" s="88"/>
      <c r="E704" s="88"/>
      <c r="F704" s="88"/>
      <c r="G704" s="88"/>
      <c r="H704" s="88"/>
      <c r="AF704" s="105"/>
    </row>
    <row r="705" spans="4:32" ht="15.75">
      <c r="D705" s="88"/>
      <c r="E705" s="88"/>
      <c r="F705" s="88"/>
      <c r="G705" s="88"/>
      <c r="H705" s="88"/>
      <c r="AF705" s="105"/>
    </row>
    <row r="706" spans="4:32" ht="15.75">
      <c r="D706" s="88"/>
      <c r="E706" s="88"/>
      <c r="F706" s="88"/>
      <c r="G706" s="88"/>
      <c r="H706" s="88"/>
      <c r="AF706" s="105"/>
    </row>
    <row r="707" spans="4:32" ht="15.75">
      <c r="D707" s="88"/>
      <c r="E707" s="88"/>
      <c r="F707" s="88"/>
      <c r="G707" s="88"/>
      <c r="H707" s="88"/>
      <c r="AF707" s="105"/>
    </row>
    <row r="708" spans="4:32" ht="15.75">
      <c r="D708" s="88"/>
      <c r="E708" s="88"/>
      <c r="F708" s="88"/>
      <c r="G708" s="88"/>
      <c r="H708" s="88"/>
      <c r="AF708" s="105"/>
    </row>
    <row r="709" spans="4:32" ht="15.75">
      <c r="D709" s="88"/>
      <c r="E709" s="88"/>
      <c r="F709" s="88"/>
      <c r="G709" s="88"/>
      <c r="H709" s="88"/>
      <c r="AF709" s="105"/>
    </row>
    <row r="710" spans="4:32" ht="15.75">
      <c r="D710" s="88"/>
      <c r="E710" s="88"/>
      <c r="F710" s="88"/>
      <c r="G710" s="88"/>
      <c r="H710" s="88"/>
      <c r="AF710" s="105"/>
    </row>
    <row r="711" spans="4:32" ht="15.75">
      <c r="D711" s="88"/>
      <c r="E711" s="88"/>
      <c r="F711" s="88"/>
      <c r="G711" s="88"/>
      <c r="H711" s="88"/>
      <c r="AF711" s="105"/>
    </row>
    <row r="712" spans="4:32" ht="15.75">
      <c r="D712" s="88"/>
      <c r="E712" s="88"/>
      <c r="F712" s="88"/>
      <c r="G712" s="88"/>
      <c r="H712" s="88"/>
      <c r="AF712" s="105"/>
    </row>
    <row r="713" spans="4:32" ht="15.75">
      <c r="D713" s="88"/>
      <c r="E713" s="88"/>
      <c r="F713" s="88"/>
      <c r="G713" s="88"/>
      <c r="H713" s="88"/>
      <c r="AF713" s="105"/>
    </row>
    <row r="714" spans="4:32" ht="15.75">
      <c r="D714" s="88"/>
      <c r="E714" s="88"/>
      <c r="F714" s="88"/>
      <c r="G714" s="88"/>
      <c r="H714" s="88"/>
      <c r="AF714" s="105"/>
    </row>
    <row r="715" spans="4:32" ht="15.75">
      <c r="D715" s="88"/>
      <c r="E715" s="88"/>
      <c r="F715" s="88"/>
      <c r="G715" s="88"/>
      <c r="H715" s="88"/>
      <c r="AF715" s="105"/>
    </row>
    <row r="716" spans="4:32" ht="15.75">
      <c r="D716" s="88"/>
      <c r="E716" s="88"/>
      <c r="F716" s="88"/>
      <c r="G716" s="88"/>
      <c r="H716" s="88"/>
      <c r="AF716" s="105"/>
    </row>
    <row r="717" spans="4:32" ht="15.75">
      <c r="D717" s="88"/>
      <c r="E717" s="88"/>
      <c r="F717" s="88"/>
      <c r="G717" s="88"/>
      <c r="H717" s="88"/>
      <c r="AF717" s="105"/>
    </row>
    <row r="718" spans="4:32" ht="15.75">
      <c r="D718" s="88"/>
      <c r="E718" s="88"/>
      <c r="F718" s="88"/>
      <c r="G718" s="88"/>
      <c r="H718" s="88"/>
      <c r="AF718" s="105"/>
    </row>
    <row r="719" spans="4:32" ht="15.75">
      <c r="D719" s="88"/>
      <c r="E719" s="88"/>
      <c r="F719" s="88"/>
      <c r="G719" s="88"/>
      <c r="H719" s="88"/>
      <c r="AF719" s="105"/>
    </row>
    <row r="720" spans="4:32" ht="15.75">
      <c r="D720" s="88"/>
      <c r="E720" s="88"/>
      <c r="F720" s="88"/>
      <c r="G720" s="88"/>
      <c r="H720" s="88"/>
      <c r="AF720" s="105"/>
    </row>
    <row r="721" spans="4:32" ht="15.75">
      <c r="D721" s="88"/>
      <c r="E721" s="88"/>
      <c r="F721" s="88"/>
      <c r="G721" s="88"/>
      <c r="H721" s="88"/>
      <c r="AF721" s="105"/>
    </row>
    <row r="722" spans="4:32" ht="15.75">
      <c r="D722" s="88"/>
      <c r="E722" s="88"/>
      <c r="F722" s="88"/>
      <c r="G722" s="88"/>
      <c r="H722" s="88"/>
      <c r="AF722" s="105"/>
    </row>
    <row r="723" spans="4:32" ht="15.75">
      <c r="D723" s="88"/>
      <c r="E723" s="88"/>
      <c r="F723" s="88"/>
      <c r="G723" s="88"/>
      <c r="H723" s="88"/>
      <c r="AF723" s="105"/>
    </row>
    <row r="724" spans="4:32" ht="15.75">
      <c r="D724" s="88"/>
      <c r="E724" s="88"/>
      <c r="F724" s="88"/>
      <c r="G724" s="88"/>
      <c r="H724" s="88"/>
      <c r="AF724" s="105"/>
    </row>
    <row r="725" spans="4:32" ht="15.75">
      <c r="D725" s="88"/>
      <c r="E725" s="88"/>
      <c r="F725" s="88"/>
      <c r="G725" s="88"/>
      <c r="H725" s="88"/>
      <c r="AF725" s="105"/>
    </row>
    <row r="726" spans="4:32" ht="15.75">
      <c r="D726" s="88"/>
      <c r="E726" s="88"/>
      <c r="F726" s="88"/>
      <c r="G726" s="88"/>
      <c r="H726" s="88"/>
      <c r="AF726" s="105"/>
    </row>
    <row r="727" spans="4:32" ht="15.75">
      <c r="D727" s="88"/>
      <c r="E727" s="88"/>
      <c r="F727" s="88"/>
      <c r="G727" s="88"/>
      <c r="H727" s="88"/>
      <c r="AF727" s="105"/>
    </row>
    <row r="728" spans="4:32" ht="15.75">
      <c r="D728" s="88"/>
      <c r="E728" s="88"/>
      <c r="F728" s="88"/>
      <c r="G728" s="88"/>
      <c r="H728" s="88"/>
      <c r="AF728" s="105"/>
    </row>
    <row r="729" spans="4:32" ht="15.75">
      <c r="D729" s="88"/>
      <c r="E729" s="88"/>
      <c r="F729" s="88"/>
      <c r="G729" s="88"/>
      <c r="H729" s="88"/>
      <c r="AF729" s="105"/>
    </row>
    <row r="730" spans="4:32" ht="15.75">
      <c r="D730" s="88"/>
      <c r="E730" s="88"/>
      <c r="F730" s="88"/>
      <c r="G730" s="88"/>
      <c r="H730" s="88"/>
      <c r="AF730" s="105"/>
    </row>
    <row r="731" spans="4:32" ht="15.75">
      <c r="D731" s="88"/>
      <c r="E731" s="88"/>
      <c r="F731" s="88"/>
      <c r="G731" s="88"/>
      <c r="H731" s="88"/>
      <c r="AF731" s="105"/>
    </row>
    <row r="732" spans="4:32" ht="15.75">
      <c r="D732" s="88"/>
      <c r="E732" s="88"/>
      <c r="F732" s="88"/>
      <c r="G732" s="88"/>
      <c r="H732" s="88"/>
      <c r="AF732" s="105"/>
    </row>
    <row r="733" spans="4:32" ht="15.75">
      <c r="D733" s="88"/>
      <c r="E733" s="88"/>
      <c r="F733" s="88"/>
      <c r="G733" s="88"/>
      <c r="H733" s="88"/>
      <c r="AF733" s="105"/>
    </row>
    <row r="734" spans="4:32" ht="15.75">
      <c r="D734" s="88"/>
      <c r="E734" s="88"/>
      <c r="F734" s="88"/>
      <c r="G734" s="88"/>
      <c r="H734" s="88"/>
      <c r="AF734" s="105"/>
    </row>
    <row r="735" spans="4:32" ht="15.75">
      <c r="D735" s="88"/>
      <c r="E735" s="88"/>
      <c r="F735" s="88"/>
      <c r="G735" s="88"/>
      <c r="H735" s="88"/>
      <c r="AF735" s="105"/>
    </row>
    <row r="736" spans="4:32" ht="15.75">
      <c r="D736" s="88"/>
      <c r="E736" s="88"/>
      <c r="F736" s="88"/>
      <c r="G736" s="88"/>
      <c r="H736" s="88"/>
      <c r="AF736" s="105"/>
    </row>
    <row r="737" spans="4:32" ht="15.75">
      <c r="D737" s="88"/>
      <c r="E737" s="88"/>
      <c r="F737" s="88"/>
      <c r="G737" s="88"/>
      <c r="H737" s="88"/>
      <c r="AF737" s="105"/>
    </row>
    <row r="738" spans="4:32" ht="15.75">
      <c r="D738" s="88"/>
      <c r="E738" s="88"/>
      <c r="F738" s="88"/>
      <c r="G738" s="88"/>
      <c r="H738" s="88"/>
      <c r="AF738" s="105"/>
    </row>
    <row r="739" spans="4:32" ht="15.75">
      <c r="D739" s="88"/>
      <c r="E739" s="88"/>
      <c r="F739" s="88"/>
      <c r="G739" s="88"/>
      <c r="H739" s="88"/>
      <c r="AF739" s="105"/>
    </row>
    <row r="740" spans="4:32" ht="15.75">
      <c r="D740" s="88"/>
      <c r="E740" s="88"/>
      <c r="F740" s="88"/>
      <c r="G740" s="88"/>
      <c r="H740" s="88"/>
      <c r="AF740" s="105"/>
    </row>
    <row r="741" spans="4:32" ht="15.75">
      <c r="D741" s="88"/>
      <c r="E741" s="88"/>
      <c r="F741" s="88"/>
      <c r="G741" s="88"/>
      <c r="H741" s="88"/>
      <c r="AF741" s="105"/>
    </row>
    <row r="742" spans="4:32" ht="15.75">
      <c r="D742" s="88"/>
      <c r="E742" s="88"/>
      <c r="F742" s="88"/>
      <c r="G742" s="88"/>
      <c r="H742" s="88"/>
      <c r="AF742" s="105"/>
    </row>
    <row r="743" spans="4:32" ht="15.75">
      <c r="D743" s="88"/>
      <c r="E743" s="88"/>
      <c r="F743" s="88"/>
      <c r="G743" s="88"/>
      <c r="H743" s="88"/>
      <c r="AF743" s="105"/>
    </row>
    <row r="744" spans="4:32" ht="15.75">
      <c r="D744" s="88"/>
      <c r="E744" s="88"/>
      <c r="F744" s="88"/>
      <c r="G744" s="88"/>
      <c r="H744" s="88"/>
      <c r="AF744" s="105"/>
    </row>
    <row r="745" spans="4:32" ht="15.75">
      <c r="D745" s="88"/>
      <c r="E745" s="88"/>
      <c r="F745" s="88"/>
      <c r="G745" s="88"/>
      <c r="H745" s="88"/>
      <c r="AF745" s="105"/>
    </row>
    <row r="746" spans="4:32" ht="15.75">
      <c r="D746" s="88"/>
      <c r="E746" s="88"/>
      <c r="F746" s="88"/>
      <c r="G746" s="88"/>
      <c r="H746" s="88"/>
      <c r="AF746" s="105"/>
    </row>
    <row r="747" spans="4:32" ht="15.75">
      <c r="D747" s="88"/>
      <c r="E747" s="88"/>
      <c r="F747" s="88"/>
      <c r="G747" s="88"/>
      <c r="H747" s="88"/>
      <c r="AF747" s="105"/>
    </row>
    <row r="748" spans="4:32" ht="15.75">
      <c r="D748" s="88"/>
      <c r="E748" s="88"/>
      <c r="F748" s="88"/>
      <c r="G748" s="88"/>
      <c r="H748" s="88"/>
      <c r="AF748" s="105"/>
    </row>
    <row r="749" spans="4:32" ht="15.75">
      <c r="D749" s="88"/>
      <c r="E749" s="88"/>
      <c r="F749" s="88"/>
      <c r="G749" s="88"/>
      <c r="H749" s="88"/>
      <c r="AF749" s="105"/>
    </row>
    <row r="750" spans="4:32" ht="15.75">
      <c r="D750" s="88"/>
      <c r="E750" s="88"/>
      <c r="F750" s="88"/>
      <c r="G750" s="88"/>
      <c r="H750" s="88"/>
      <c r="AF750" s="105"/>
    </row>
    <row r="751" spans="4:32" ht="15.75">
      <c r="D751" s="88"/>
      <c r="E751" s="88"/>
      <c r="F751" s="88"/>
      <c r="G751" s="88"/>
      <c r="H751" s="88"/>
      <c r="AF751" s="105"/>
    </row>
    <row r="752" spans="4:32" ht="15.75">
      <c r="D752" s="88"/>
      <c r="E752" s="88"/>
      <c r="F752" s="88"/>
      <c r="G752" s="88"/>
      <c r="H752" s="88"/>
      <c r="AF752" s="105"/>
    </row>
    <row r="753" spans="4:32" ht="15.75">
      <c r="D753" s="88"/>
      <c r="E753" s="88"/>
      <c r="F753" s="88"/>
      <c r="G753" s="88"/>
      <c r="H753" s="88"/>
      <c r="AF753" s="105"/>
    </row>
    <row r="754" spans="4:32" ht="15.75">
      <c r="D754" s="88"/>
      <c r="E754" s="88"/>
      <c r="F754" s="88"/>
      <c r="G754" s="88"/>
      <c r="H754" s="88"/>
      <c r="AF754" s="105"/>
    </row>
    <row r="755" spans="4:32" ht="15.75">
      <c r="D755" s="88"/>
      <c r="E755" s="88"/>
      <c r="F755" s="88"/>
      <c r="G755" s="88"/>
      <c r="H755" s="88"/>
      <c r="AF755" s="105"/>
    </row>
    <row r="756" spans="4:32" ht="15.75">
      <c r="D756" s="88"/>
      <c r="E756" s="88"/>
      <c r="F756" s="88"/>
      <c r="G756" s="88"/>
      <c r="H756" s="88"/>
      <c r="AF756" s="105"/>
    </row>
    <row r="757" spans="4:32" ht="15.75">
      <c r="D757" s="88"/>
      <c r="E757" s="88"/>
      <c r="F757" s="88"/>
      <c r="G757" s="88"/>
      <c r="H757" s="88"/>
      <c r="AF757" s="105"/>
    </row>
    <row r="758" spans="4:32" ht="15.75">
      <c r="D758" s="88"/>
      <c r="E758" s="88"/>
      <c r="F758" s="88"/>
      <c r="G758" s="88"/>
      <c r="H758" s="88"/>
      <c r="AF758" s="105"/>
    </row>
    <row r="759" spans="4:32" ht="15.75">
      <c r="D759" s="88"/>
      <c r="E759" s="88"/>
      <c r="F759" s="88"/>
      <c r="G759" s="88"/>
      <c r="H759" s="88"/>
      <c r="AF759" s="105"/>
    </row>
    <row r="760" spans="4:32" ht="15.75">
      <c r="D760" s="88"/>
      <c r="E760" s="88"/>
      <c r="F760" s="88"/>
      <c r="G760" s="88"/>
      <c r="H760" s="88"/>
      <c r="AF760" s="105"/>
    </row>
    <row r="761" spans="4:32" ht="15.75">
      <c r="D761" s="88"/>
      <c r="E761" s="88"/>
      <c r="F761" s="88"/>
      <c r="G761" s="88"/>
      <c r="H761" s="88"/>
      <c r="AF761" s="105"/>
    </row>
    <row r="762" spans="4:32" ht="15.75">
      <c r="D762" s="88"/>
      <c r="E762" s="88"/>
      <c r="F762" s="88"/>
      <c r="G762" s="88"/>
      <c r="H762" s="88"/>
      <c r="AF762" s="105"/>
    </row>
    <row r="763" spans="4:32" ht="15.75">
      <c r="D763" s="88"/>
      <c r="E763" s="88"/>
      <c r="F763" s="88"/>
      <c r="G763" s="88"/>
      <c r="H763" s="88"/>
      <c r="AF763" s="105"/>
    </row>
    <row r="764" spans="4:32" ht="15.75">
      <c r="D764" s="88"/>
      <c r="E764" s="88"/>
      <c r="F764" s="88"/>
      <c r="G764" s="88"/>
      <c r="H764" s="88"/>
      <c r="AF764" s="105"/>
    </row>
    <row r="765" spans="4:32" ht="15.75">
      <c r="D765" s="88"/>
      <c r="E765" s="88"/>
      <c r="F765" s="88"/>
      <c r="G765" s="88"/>
      <c r="H765" s="88"/>
      <c r="AF765" s="105"/>
    </row>
    <row r="766" spans="4:32" ht="15.75">
      <c r="D766" s="88"/>
      <c r="E766" s="88"/>
      <c r="F766" s="88"/>
      <c r="G766" s="88"/>
      <c r="H766" s="88"/>
      <c r="AF766" s="105"/>
    </row>
    <row r="767" spans="4:32" ht="15.75">
      <c r="D767" s="88"/>
      <c r="E767" s="88"/>
      <c r="F767" s="88"/>
      <c r="G767" s="88"/>
      <c r="H767" s="88"/>
      <c r="AF767" s="105"/>
    </row>
    <row r="768" spans="4:32" ht="15.75">
      <c r="D768" s="88"/>
      <c r="E768" s="88"/>
      <c r="F768" s="88"/>
      <c r="G768" s="88"/>
      <c r="H768" s="88"/>
      <c r="AF768" s="105"/>
    </row>
    <row r="769" spans="4:32" ht="15.75">
      <c r="D769" s="88"/>
      <c r="E769" s="88"/>
      <c r="F769" s="88"/>
      <c r="G769" s="88"/>
      <c r="H769" s="88"/>
      <c r="AF769" s="105"/>
    </row>
    <row r="770" spans="4:32" ht="15.75">
      <c r="D770" s="88"/>
      <c r="E770" s="88"/>
      <c r="F770" s="88"/>
      <c r="G770" s="88"/>
      <c r="H770" s="88"/>
      <c r="AF770" s="105"/>
    </row>
    <row r="771" spans="4:32" ht="15.75">
      <c r="D771" s="88"/>
      <c r="E771" s="88"/>
      <c r="F771" s="88"/>
      <c r="G771" s="88"/>
      <c r="H771" s="88"/>
      <c r="AF771" s="105"/>
    </row>
    <row r="772" spans="4:32" ht="15.75">
      <c r="D772" s="88"/>
      <c r="E772" s="88"/>
      <c r="F772" s="88"/>
      <c r="G772" s="88"/>
      <c r="H772" s="88"/>
      <c r="AF772" s="105"/>
    </row>
    <row r="773" spans="4:32" ht="15.75">
      <c r="D773" s="88"/>
      <c r="E773" s="88"/>
      <c r="F773" s="88"/>
      <c r="G773" s="88"/>
      <c r="H773" s="88"/>
      <c r="AF773" s="105"/>
    </row>
    <row r="774" spans="4:32" ht="15.75">
      <c r="D774" s="88"/>
      <c r="E774" s="88"/>
      <c r="F774" s="88"/>
      <c r="G774" s="88"/>
      <c r="H774" s="88"/>
      <c r="AF774" s="105"/>
    </row>
    <row r="775" spans="4:32" ht="15.75">
      <c r="D775" s="88"/>
      <c r="E775" s="88"/>
      <c r="F775" s="88"/>
      <c r="G775" s="88"/>
      <c r="H775" s="88"/>
      <c r="AF775" s="105"/>
    </row>
    <row r="776" spans="4:32" ht="15.75">
      <c r="D776" s="88"/>
      <c r="E776" s="88"/>
      <c r="F776" s="88"/>
      <c r="G776" s="88"/>
      <c r="H776" s="88"/>
      <c r="AF776" s="105"/>
    </row>
    <row r="777" spans="4:32" ht="15.75">
      <c r="D777" s="88"/>
      <c r="E777" s="88"/>
      <c r="F777" s="88"/>
      <c r="G777" s="88"/>
      <c r="H777" s="88"/>
      <c r="AF777" s="105"/>
    </row>
    <row r="778" spans="4:32" ht="15.75">
      <c r="D778" s="88"/>
      <c r="E778" s="88"/>
      <c r="F778" s="88"/>
      <c r="G778" s="88"/>
      <c r="H778" s="88"/>
      <c r="AF778" s="105"/>
    </row>
    <row r="779" spans="4:32" ht="15.75">
      <c r="D779" s="88"/>
      <c r="E779" s="88"/>
      <c r="F779" s="88"/>
      <c r="G779" s="88"/>
      <c r="H779" s="88"/>
      <c r="AF779" s="105"/>
    </row>
    <row r="780" spans="4:32" ht="15.75">
      <c r="D780" s="88"/>
      <c r="E780" s="88"/>
      <c r="F780" s="88"/>
      <c r="G780" s="88"/>
      <c r="H780" s="88"/>
      <c r="AF780" s="105"/>
    </row>
    <row r="781" spans="4:32" ht="15.75">
      <c r="D781" s="88"/>
      <c r="E781" s="88"/>
      <c r="F781" s="88"/>
      <c r="G781" s="88"/>
      <c r="H781" s="88"/>
      <c r="AF781" s="105"/>
    </row>
    <row r="782" spans="4:32" ht="15.75">
      <c r="D782" s="88"/>
      <c r="E782" s="88"/>
      <c r="F782" s="88"/>
      <c r="G782" s="88"/>
      <c r="H782" s="88"/>
      <c r="AF782" s="105"/>
    </row>
    <row r="783" spans="4:32" ht="15.75">
      <c r="D783" s="88"/>
      <c r="E783" s="88"/>
      <c r="F783" s="88"/>
      <c r="G783" s="88"/>
      <c r="H783" s="88"/>
      <c r="AF783" s="105"/>
    </row>
    <row r="784" spans="4:32" ht="15.75">
      <c r="D784" s="88"/>
      <c r="E784" s="88"/>
      <c r="F784" s="88"/>
      <c r="G784" s="88"/>
      <c r="H784" s="88"/>
      <c r="AF784" s="105"/>
    </row>
    <row r="785" spans="4:32" ht="15.75">
      <c r="D785" s="88"/>
      <c r="E785" s="88"/>
      <c r="F785" s="88"/>
      <c r="G785" s="88"/>
      <c r="H785" s="88"/>
      <c r="AF785" s="105"/>
    </row>
    <row r="786" spans="4:32" ht="15.75">
      <c r="D786" s="88"/>
      <c r="E786" s="88"/>
      <c r="F786" s="88"/>
      <c r="G786" s="88"/>
      <c r="H786" s="88"/>
      <c r="AF786" s="105"/>
    </row>
    <row r="787" spans="4:32" ht="15.75">
      <c r="D787" s="88"/>
      <c r="E787" s="88"/>
      <c r="F787" s="88"/>
      <c r="G787" s="88"/>
      <c r="H787" s="88"/>
      <c r="AF787" s="105"/>
    </row>
    <row r="788" spans="4:32" ht="15.75">
      <c r="D788" s="88"/>
      <c r="E788" s="88"/>
      <c r="F788" s="88"/>
      <c r="G788" s="88"/>
      <c r="H788" s="88"/>
      <c r="AF788" s="105"/>
    </row>
    <row r="789" spans="4:32" ht="15.75">
      <c r="D789" s="88"/>
      <c r="E789" s="88"/>
      <c r="F789" s="88"/>
      <c r="G789" s="88"/>
      <c r="H789" s="88"/>
      <c r="AF789" s="105"/>
    </row>
    <row r="790" spans="4:32" ht="15.75">
      <c r="D790" s="88"/>
      <c r="E790" s="88"/>
      <c r="F790" s="88"/>
      <c r="G790" s="88"/>
      <c r="H790" s="88"/>
      <c r="AF790" s="105"/>
    </row>
    <row r="791" spans="4:32" ht="15.75">
      <c r="D791" s="88"/>
      <c r="E791" s="88"/>
      <c r="F791" s="88"/>
      <c r="G791" s="88"/>
      <c r="H791" s="88"/>
      <c r="AF791" s="105"/>
    </row>
    <row r="792" spans="4:32" ht="15.75">
      <c r="D792" s="88"/>
      <c r="E792" s="88"/>
      <c r="F792" s="88"/>
      <c r="G792" s="88"/>
      <c r="H792" s="88"/>
      <c r="AF792" s="105"/>
    </row>
    <row r="793" spans="4:32" ht="15.75">
      <c r="D793" s="88"/>
      <c r="E793" s="88"/>
      <c r="F793" s="88"/>
      <c r="G793" s="88"/>
      <c r="H793" s="88"/>
      <c r="AF793" s="105"/>
    </row>
    <row r="794" spans="4:32" ht="15.75">
      <c r="D794" s="88"/>
      <c r="E794" s="88"/>
      <c r="F794" s="88"/>
      <c r="G794" s="88"/>
      <c r="H794" s="88"/>
      <c r="AF794" s="105"/>
    </row>
    <row r="795" spans="4:32" ht="15.75">
      <c r="D795" s="88"/>
      <c r="E795" s="88"/>
      <c r="F795" s="88"/>
      <c r="G795" s="88"/>
      <c r="H795" s="88"/>
      <c r="AF795" s="105"/>
    </row>
    <row r="796" spans="4:32" ht="15.75">
      <c r="D796" s="88"/>
      <c r="E796" s="88"/>
      <c r="F796" s="88"/>
      <c r="G796" s="88"/>
      <c r="H796" s="88"/>
      <c r="AF796" s="105"/>
    </row>
    <row r="797" spans="4:32" ht="15.75">
      <c r="D797" s="88"/>
      <c r="E797" s="88"/>
      <c r="F797" s="88"/>
      <c r="G797" s="88"/>
      <c r="H797" s="88"/>
      <c r="AF797" s="105"/>
    </row>
    <row r="798" spans="4:32" ht="15.75">
      <c r="D798" s="88"/>
      <c r="E798" s="88"/>
      <c r="F798" s="88"/>
      <c r="G798" s="88"/>
      <c r="H798" s="88"/>
      <c r="AF798" s="105"/>
    </row>
    <row r="799" spans="4:32" ht="15.75">
      <c r="D799" s="88"/>
      <c r="E799" s="88"/>
      <c r="F799" s="88"/>
      <c r="G799" s="88"/>
      <c r="H799" s="88"/>
      <c r="AF799" s="105"/>
    </row>
    <row r="800" spans="4:32" ht="15.75">
      <c r="D800" s="88"/>
      <c r="E800" s="88"/>
      <c r="F800" s="88"/>
      <c r="G800" s="88"/>
      <c r="H800" s="88"/>
      <c r="AF800" s="105"/>
    </row>
    <row r="801" spans="4:32" ht="15.75">
      <c r="D801" s="88"/>
      <c r="E801" s="88"/>
      <c r="F801" s="88"/>
      <c r="G801" s="88"/>
      <c r="H801" s="88"/>
      <c r="AF801" s="105"/>
    </row>
    <row r="802" spans="4:32" ht="15.75">
      <c r="D802" s="88"/>
      <c r="E802" s="88"/>
      <c r="F802" s="88"/>
      <c r="G802" s="88"/>
      <c r="H802" s="88"/>
      <c r="AF802" s="105"/>
    </row>
    <row r="803" spans="4:32" ht="15.75">
      <c r="D803" s="88"/>
      <c r="E803" s="88"/>
      <c r="F803" s="88"/>
      <c r="G803" s="88"/>
      <c r="H803" s="88"/>
      <c r="AF803" s="105"/>
    </row>
    <row r="804" spans="4:32" ht="15.75">
      <c r="D804" s="88"/>
      <c r="E804" s="88"/>
      <c r="F804" s="88"/>
      <c r="G804" s="88"/>
      <c r="H804" s="88"/>
      <c r="AF804" s="105"/>
    </row>
    <row r="805" spans="4:32" ht="15.75">
      <c r="D805" s="88"/>
      <c r="E805" s="88"/>
      <c r="F805" s="88"/>
      <c r="G805" s="88"/>
      <c r="H805" s="88"/>
      <c r="AF805" s="105"/>
    </row>
    <row r="806" spans="4:32" ht="15.75">
      <c r="D806" s="88"/>
      <c r="E806" s="88"/>
      <c r="F806" s="88"/>
      <c r="G806" s="88"/>
      <c r="H806" s="88"/>
      <c r="AF806" s="105"/>
    </row>
    <row r="807" spans="4:32" ht="15.75">
      <c r="D807" s="88"/>
      <c r="E807" s="88"/>
      <c r="F807" s="88"/>
      <c r="G807" s="88"/>
      <c r="H807" s="88"/>
      <c r="AF807" s="105"/>
    </row>
    <row r="808" spans="4:32" ht="15.75">
      <c r="D808" s="88"/>
      <c r="E808" s="88"/>
      <c r="F808" s="88"/>
      <c r="G808" s="88"/>
      <c r="H808" s="88"/>
      <c r="AF808" s="105"/>
    </row>
    <row r="809" spans="4:32" ht="15.75">
      <c r="D809" s="88"/>
      <c r="E809" s="88"/>
      <c r="F809" s="88"/>
      <c r="G809" s="88"/>
      <c r="H809" s="88"/>
      <c r="AF809" s="105"/>
    </row>
    <row r="810" spans="4:32" ht="15.75">
      <c r="D810" s="88"/>
      <c r="E810" s="88"/>
      <c r="F810" s="88"/>
      <c r="G810" s="88"/>
      <c r="H810" s="88"/>
      <c r="AF810" s="105"/>
    </row>
    <row r="811" spans="4:32" ht="15.75">
      <c r="D811" s="88"/>
      <c r="E811" s="88"/>
      <c r="F811" s="88"/>
      <c r="G811" s="88"/>
      <c r="H811" s="88"/>
      <c r="AF811" s="105"/>
    </row>
    <row r="812" spans="4:32" ht="15.75">
      <c r="D812" s="88"/>
      <c r="E812" s="88"/>
      <c r="F812" s="88"/>
      <c r="G812" s="88"/>
      <c r="H812" s="88"/>
      <c r="AF812" s="105"/>
    </row>
    <row r="813" spans="4:32" ht="15.75">
      <c r="D813" s="88"/>
      <c r="E813" s="88"/>
      <c r="F813" s="88"/>
      <c r="G813" s="88"/>
      <c r="H813" s="88"/>
      <c r="AF813" s="105"/>
    </row>
    <row r="814" spans="4:32" ht="15.75">
      <c r="D814" s="88"/>
      <c r="E814" s="88"/>
      <c r="F814" s="88"/>
      <c r="G814" s="88"/>
      <c r="H814" s="88"/>
      <c r="AF814" s="105"/>
    </row>
    <row r="815" spans="4:32" ht="15.75">
      <c r="D815" s="88"/>
      <c r="E815" s="88"/>
      <c r="F815" s="88"/>
      <c r="G815" s="88"/>
      <c r="H815" s="88"/>
      <c r="AF815" s="105"/>
    </row>
    <row r="816" spans="4:32" ht="15.75">
      <c r="D816" s="88"/>
      <c r="E816" s="88"/>
      <c r="F816" s="88"/>
      <c r="G816" s="88"/>
      <c r="H816" s="88"/>
      <c r="AF816" s="105"/>
    </row>
    <row r="817" spans="4:32" ht="15.75">
      <c r="D817" s="88"/>
      <c r="E817" s="88"/>
      <c r="F817" s="88"/>
      <c r="G817" s="88"/>
      <c r="H817" s="88"/>
      <c r="AF817" s="105"/>
    </row>
    <row r="818" spans="4:32" ht="15.75">
      <c r="D818" s="88"/>
      <c r="E818" s="88"/>
      <c r="F818" s="88"/>
      <c r="G818" s="88"/>
      <c r="H818" s="88"/>
      <c r="AF818" s="105"/>
    </row>
    <row r="819" spans="4:32" ht="15.75">
      <c r="D819" s="88"/>
      <c r="E819" s="88"/>
      <c r="F819" s="88"/>
      <c r="G819" s="88"/>
      <c r="H819" s="88"/>
      <c r="AF819" s="105"/>
    </row>
    <row r="820" spans="4:32" ht="15.75">
      <c r="D820" s="88"/>
      <c r="E820" s="88"/>
      <c r="F820" s="88"/>
      <c r="G820" s="88"/>
      <c r="H820" s="88"/>
      <c r="AF820" s="105"/>
    </row>
    <row r="821" spans="4:32" ht="15.75">
      <c r="D821" s="88"/>
      <c r="E821" s="88"/>
      <c r="F821" s="88"/>
      <c r="G821" s="88"/>
      <c r="H821" s="88"/>
      <c r="AF821" s="105"/>
    </row>
    <row r="822" spans="4:32" ht="15.75">
      <c r="D822" s="88"/>
      <c r="E822" s="88"/>
      <c r="F822" s="88"/>
      <c r="G822" s="88"/>
      <c r="H822" s="88"/>
      <c r="AF822" s="105"/>
    </row>
    <row r="823" spans="4:32" ht="15.75">
      <c r="D823" s="88"/>
      <c r="E823" s="88"/>
      <c r="F823" s="88"/>
      <c r="G823" s="88"/>
      <c r="H823" s="88"/>
      <c r="AF823" s="105"/>
    </row>
    <row r="824" spans="4:32" ht="15.75">
      <c r="D824" s="88"/>
      <c r="E824" s="88"/>
      <c r="F824" s="88"/>
      <c r="G824" s="88"/>
      <c r="H824" s="88"/>
      <c r="AF824" s="105"/>
    </row>
    <row r="825" spans="4:32" ht="15.75">
      <c r="D825" s="88"/>
      <c r="E825" s="88"/>
      <c r="F825" s="88"/>
      <c r="G825" s="88"/>
      <c r="H825" s="88"/>
      <c r="AF825" s="105"/>
    </row>
    <row r="826" spans="4:32" ht="15.75">
      <c r="D826" s="88"/>
      <c r="E826" s="88"/>
      <c r="F826" s="88"/>
      <c r="G826" s="88"/>
      <c r="H826" s="88"/>
      <c r="AF826" s="105"/>
    </row>
    <row r="827" spans="4:32" ht="15.75">
      <c r="D827" s="88"/>
      <c r="E827" s="88"/>
      <c r="F827" s="88"/>
      <c r="G827" s="88"/>
      <c r="H827" s="88"/>
      <c r="AF827" s="105"/>
    </row>
    <row r="828" spans="4:32" ht="15.75">
      <c r="D828" s="88"/>
      <c r="E828" s="88"/>
      <c r="F828" s="88"/>
      <c r="G828" s="88"/>
      <c r="H828" s="88"/>
      <c r="AF828" s="105"/>
    </row>
    <row r="829" spans="4:32" ht="15.75">
      <c r="D829" s="88"/>
      <c r="E829" s="88"/>
      <c r="F829" s="88"/>
      <c r="G829" s="88"/>
      <c r="H829" s="88"/>
      <c r="AF829" s="105"/>
    </row>
    <row r="830" spans="4:32" ht="15.75">
      <c r="D830" s="88"/>
      <c r="E830" s="88"/>
      <c r="F830" s="88"/>
      <c r="G830" s="88"/>
      <c r="H830" s="88"/>
      <c r="AF830" s="105"/>
    </row>
    <row r="831" spans="4:32" ht="15.75">
      <c r="D831" s="88"/>
      <c r="E831" s="88"/>
      <c r="F831" s="88"/>
      <c r="G831" s="88"/>
      <c r="H831" s="88"/>
      <c r="AF831" s="105"/>
    </row>
    <row r="832" spans="4:32" ht="15.75">
      <c r="D832" s="88"/>
      <c r="E832" s="88"/>
      <c r="F832" s="88"/>
      <c r="G832" s="88"/>
      <c r="H832" s="88"/>
      <c r="AF832" s="105"/>
    </row>
    <row r="833" spans="4:32" ht="15.75">
      <c r="D833" s="88"/>
      <c r="E833" s="88"/>
      <c r="F833" s="88"/>
      <c r="G833" s="88"/>
      <c r="H833" s="88"/>
      <c r="AF833" s="105"/>
    </row>
    <row r="834" spans="4:32" ht="15.75">
      <c r="D834" s="88"/>
      <c r="E834" s="88"/>
      <c r="F834" s="88"/>
      <c r="G834" s="88"/>
      <c r="H834" s="88"/>
      <c r="AF834" s="105"/>
    </row>
    <row r="835" spans="4:32" ht="15.75">
      <c r="D835" s="88"/>
      <c r="E835" s="88"/>
      <c r="F835" s="88"/>
      <c r="G835" s="88"/>
      <c r="H835" s="88"/>
      <c r="AF835" s="105"/>
    </row>
    <row r="836" spans="4:32" ht="15.75">
      <c r="D836" s="88"/>
      <c r="E836" s="88"/>
      <c r="F836" s="88"/>
      <c r="G836" s="88"/>
      <c r="H836" s="88"/>
      <c r="AF836" s="105"/>
    </row>
    <row r="837" spans="4:32" ht="15.75">
      <c r="D837" s="88"/>
      <c r="E837" s="88"/>
      <c r="F837" s="88"/>
      <c r="G837" s="88"/>
      <c r="H837" s="88"/>
      <c r="AF837" s="105"/>
    </row>
    <row r="838" spans="4:32" ht="15.75">
      <c r="D838" s="88"/>
      <c r="E838" s="88"/>
      <c r="F838" s="88"/>
      <c r="G838" s="88"/>
      <c r="H838" s="88"/>
      <c r="AF838" s="105"/>
    </row>
    <row r="839" spans="4:32" ht="15.75">
      <c r="D839" s="88"/>
      <c r="E839" s="88"/>
      <c r="F839" s="88"/>
      <c r="G839" s="88"/>
      <c r="H839" s="88"/>
      <c r="AF839" s="105"/>
    </row>
    <row r="840" spans="4:32" ht="15.75">
      <c r="D840" s="88"/>
      <c r="E840" s="88"/>
      <c r="F840" s="88"/>
      <c r="G840" s="88"/>
      <c r="H840" s="88"/>
      <c r="AF840" s="105"/>
    </row>
    <row r="841" spans="4:32" ht="15.75">
      <c r="D841" s="88"/>
      <c r="E841" s="88"/>
      <c r="F841" s="88"/>
      <c r="G841" s="88"/>
      <c r="H841" s="88"/>
      <c r="AF841" s="105"/>
    </row>
    <row r="842" spans="4:32" ht="15.75">
      <c r="D842" s="88"/>
      <c r="E842" s="88"/>
      <c r="F842" s="88"/>
      <c r="G842" s="88"/>
      <c r="H842" s="88"/>
      <c r="AF842" s="105"/>
    </row>
    <row r="843" spans="4:32" ht="15.75">
      <c r="D843" s="88"/>
      <c r="E843" s="88"/>
      <c r="F843" s="88"/>
      <c r="G843" s="88"/>
      <c r="H843" s="88"/>
      <c r="AF843" s="105"/>
    </row>
    <row r="844" spans="4:32" ht="15.75">
      <c r="D844" s="88"/>
      <c r="E844" s="88"/>
      <c r="F844" s="88"/>
      <c r="G844" s="88"/>
      <c r="H844" s="88"/>
      <c r="AF844" s="105"/>
    </row>
    <row r="845" spans="4:32" ht="15.75">
      <c r="D845" s="88"/>
      <c r="E845" s="88"/>
      <c r="F845" s="88"/>
      <c r="G845" s="88"/>
      <c r="H845" s="88"/>
      <c r="AF845" s="105"/>
    </row>
    <row r="846" spans="4:32" ht="15.75">
      <c r="D846" s="88"/>
      <c r="E846" s="88"/>
      <c r="F846" s="88"/>
      <c r="G846" s="88"/>
      <c r="H846" s="88"/>
      <c r="AF846" s="105"/>
    </row>
    <row r="847" spans="4:32" ht="15.75">
      <c r="D847" s="88"/>
      <c r="E847" s="88"/>
      <c r="F847" s="88"/>
      <c r="G847" s="88"/>
      <c r="H847" s="88"/>
      <c r="AF847" s="105"/>
    </row>
    <row r="848" spans="4:32" ht="15.75">
      <c r="D848" s="88"/>
      <c r="E848" s="88"/>
      <c r="F848" s="88"/>
      <c r="G848" s="88"/>
      <c r="H848" s="88"/>
      <c r="AF848" s="105"/>
    </row>
    <row r="849" spans="4:32" ht="15.75">
      <c r="D849" s="88"/>
      <c r="E849" s="88"/>
      <c r="F849" s="88"/>
      <c r="G849" s="88"/>
      <c r="H849" s="88"/>
      <c r="AF849" s="105"/>
    </row>
    <row r="850" spans="4:32" ht="15.75">
      <c r="D850" s="88"/>
      <c r="E850" s="88"/>
      <c r="F850" s="88"/>
      <c r="G850" s="88"/>
      <c r="H850" s="88"/>
      <c r="AF850" s="105"/>
    </row>
    <row r="851" spans="4:32" ht="15.75">
      <c r="D851" s="88"/>
      <c r="E851" s="88"/>
      <c r="F851" s="88"/>
      <c r="G851" s="88"/>
      <c r="H851" s="88"/>
      <c r="AF851" s="105"/>
    </row>
    <row r="852" spans="4:32" ht="15.75">
      <c r="D852" s="88"/>
      <c r="E852" s="88"/>
      <c r="F852" s="88"/>
      <c r="G852" s="88"/>
      <c r="H852" s="88"/>
      <c r="AF852" s="105"/>
    </row>
    <row r="853" spans="4:32" ht="15.75">
      <c r="D853" s="88"/>
      <c r="E853" s="88"/>
      <c r="F853" s="88"/>
      <c r="G853" s="88"/>
      <c r="H853" s="88"/>
      <c r="AF853" s="105"/>
    </row>
    <row r="854" spans="4:32" ht="15.75">
      <c r="D854" s="88"/>
      <c r="E854" s="88"/>
      <c r="F854" s="88"/>
      <c r="G854" s="88"/>
      <c r="H854" s="88"/>
      <c r="AF854" s="105"/>
    </row>
    <row r="855" spans="4:32" ht="15.75">
      <c r="D855" s="88"/>
      <c r="E855" s="88"/>
      <c r="F855" s="88"/>
      <c r="G855" s="88"/>
      <c r="H855" s="88"/>
      <c r="AF855" s="105"/>
    </row>
    <row r="856" spans="4:32" ht="15.75">
      <c r="D856" s="88"/>
      <c r="E856" s="88"/>
      <c r="F856" s="88"/>
      <c r="G856" s="88"/>
      <c r="H856" s="88"/>
      <c r="AF856" s="105"/>
    </row>
    <row r="857" spans="4:32" ht="15.75">
      <c r="D857" s="88"/>
      <c r="E857" s="88"/>
      <c r="F857" s="88"/>
      <c r="G857" s="88"/>
      <c r="H857" s="88"/>
      <c r="AF857" s="105"/>
    </row>
    <row r="858" spans="4:32" ht="15.75">
      <c r="D858" s="88"/>
      <c r="E858" s="88"/>
      <c r="F858" s="88"/>
      <c r="G858" s="88"/>
      <c r="H858" s="88"/>
      <c r="AF858" s="105"/>
    </row>
    <row r="859" spans="4:32" ht="15.75">
      <c r="D859" s="88"/>
      <c r="E859" s="88"/>
      <c r="F859" s="88"/>
      <c r="G859" s="88"/>
      <c r="H859" s="88"/>
      <c r="AF859" s="105"/>
    </row>
    <row r="860" spans="4:32" ht="15.75">
      <c r="D860" s="88"/>
      <c r="E860" s="88"/>
      <c r="F860" s="88"/>
      <c r="G860" s="88"/>
      <c r="H860" s="88"/>
      <c r="AF860" s="105"/>
    </row>
    <row r="861" spans="4:32" ht="15.75">
      <c r="D861" s="88"/>
      <c r="E861" s="88"/>
      <c r="F861" s="88"/>
      <c r="G861" s="88"/>
      <c r="H861" s="88"/>
      <c r="AF861" s="105"/>
    </row>
    <row r="862" spans="4:32" ht="15.75">
      <c r="D862" s="88"/>
      <c r="E862" s="88"/>
      <c r="F862" s="88"/>
      <c r="G862" s="88"/>
      <c r="H862" s="88"/>
      <c r="AF862" s="105"/>
    </row>
    <row r="863" spans="4:32" ht="15.75">
      <c r="D863" s="88"/>
      <c r="E863" s="88"/>
      <c r="F863" s="88"/>
      <c r="G863" s="88"/>
      <c r="H863" s="88"/>
      <c r="AF863" s="105"/>
    </row>
    <row r="864" spans="4:32" ht="15.75">
      <c r="D864" s="88"/>
      <c r="E864" s="88"/>
      <c r="F864" s="88"/>
      <c r="G864" s="88"/>
      <c r="H864" s="88"/>
      <c r="AF864" s="105"/>
    </row>
    <row r="865" spans="4:32" ht="15.75">
      <c r="D865" s="88"/>
      <c r="E865" s="88"/>
      <c r="F865" s="88"/>
      <c r="G865" s="88"/>
      <c r="H865" s="88"/>
      <c r="AF865" s="105"/>
    </row>
    <row r="866" spans="4:32" ht="15.75">
      <c r="D866" s="88"/>
      <c r="E866" s="88"/>
      <c r="F866" s="88"/>
      <c r="G866" s="88"/>
      <c r="H866" s="88"/>
      <c r="AF866" s="105"/>
    </row>
    <row r="867" spans="4:32" ht="15.75">
      <c r="D867" s="88"/>
      <c r="E867" s="88"/>
      <c r="F867" s="88"/>
      <c r="G867" s="88"/>
      <c r="H867" s="88"/>
      <c r="AF867" s="105"/>
    </row>
    <row r="868" spans="4:32" ht="15.75">
      <c r="D868" s="88"/>
      <c r="E868" s="88"/>
      <c r="F868" s="88"/>
      <c r="G868" s="88"/>
      <c r="H868" s="88"/>
      <c r="AF868" s="105"/>
    </row>
    <row r="869" spans="4:32" ht="15.75">
      <c r="D869" s="88"/>
      <c r="E869" s="88"/>
      <c r="F869" s="88"/>
      <c r="G869" s="88"/>
      <c r="H869" s="88"/>
      <c r="AF869" s="105"/>
    </row>
    <row r="870" spans="4:32" ht="15.75">
      <c r="D870" s="88"/>
      <c r="E870" s="88"/>
      <c r="F870" s="88"/>
      <c r="G870" s="88"/>
      <c r="H870" s="88"/>
      <c r="AF870" s="105"/>
    </row>
    <row r="871" spans="4:32" ht="15.75">
      <c r="D871" s="88"/>
      <c r="E871" s="88"/>
      <c r="F871" s="88"/>
      <c r="G871" s="88"/>
      <c r="H871" s="88"/>
      <c r="AF871" s="105"/>
    </row>
    <row r="872" spans="4:32" ht="15.75">
      <c r="D872" s="88"/>
      <c r="E872" s="88"/>
      <c r="F872" s="88"/>
      <c r="G872" s="88"/>
      <c r="H872" s="88"/>
      <c r="AF872" s="105"/>
    </row>
    <row r="873" spans="4:32" ht="15.75">
      <c r="D873" s="88"/>
      <c r="E873" s="88"/>
      <c r="F873" s="88"/>
      <c r="G873" s="88"/>
      <c r="H873" s="88"/>
      <c r="AF873" s="105"/>
    </row>
    <row r="874" spans="4:32" ht="15.75">
      <c r="D874" s="88"/>
      <c r="E874" s="88"/>
      <c r="F874" s="88"/>
      <c r="G874" s="88"/>
      <c r="H874" s="88"/>
      <c r="AF874" s="105"/>
    </row>
    <row r="875" spans="4:32" ht="15.75">
      <c r="D875" s="88"/>
      <c r="E875" s="88"/>
      <c r="F875" s="88"/>
      <c r="G875" s="88"/>
      <c r="H875" s="88"/>
      <c r="AF875" s="105"/>
    </row>
    <row r="876" spans="4:32" ht="15.75">
      <c r="D876" s="88"/>
      <c r="E876" s="88"/>
      <c r="F876" s="88"/>
      <c r="G876" s="88"/>
      <c r="H876" s="88"/>
      <c r="AF876" s="105"/>
    </row>
    <row r="877" spans="4:32" ht="15.75">
      <c r="D877" s="88"/>
      <c r="E877" s="88"/>
      <c r="F877" s="88"/>
      <c r="G877" s="88"/>
      <c r="H877" s="88"/>
      <c r="AF877" s="105"/>
    </row>
    <row r="878" spans="4:32" ht="15.75">
      <c r="D878" s="88"/>
      <c r="E878" s="88"/>
      <c r="F878" s="88"/>
      <c r="G878" s="88"/>
      <c r="H878" s="88"/>
      <c r="AF878" s="105"/>
    </row>
    <row r="879" spans="4:32" ht="15.75">
      <c r="D879" s="88"/>
      <c r="E879" s="88"/>
      <c r="F879" s="88"/>
      <c r="G879" s="88"/>
      <c r="H879" s="88"/>
      <c r="AF879" s="105"/>
    </row>
    <row r="880" spans="4:32" ht="15.75">
      <c r="D880" s="88"/>
      <c r="E880" s="88"/>
      <c r="F880" s="88"/>
      <c r="G880" s="88"/>
      <c r="H880" s="88"/>
      <c r="AF880" s="105"/>
    </row>
    <row r="881" spans="4:32" ht="15.75">
      <c r="D881" s="88"/>
      <c r="E881" s="88"/>
      <c r="F881" s="88"/>
      <c r="G881" s="88"/>
      <c r="H881" s="88"/>
      <c r="AF881" s="105"/>
    </row>
    <row r="882" spans="4:32" ht="15.75">
      <c r="D882" s="88"/>
      <c r="E882" s="88"/>
      <c r="F882" s="88"/>
      <c r="G882" s="88"/>
      <c r="H882" s="88"/>
      <c r="AF882" s="105"/>
    </row>
    <row r="883" spans="4:32" ht="15.75">
      <c r="D883" s="88"/>
      <c r="E883" s="88"/>
      <c r="F883" s="88"/>
      <c r="G883" s="88"/>
      <c r="H883" s="88"/>
      <c r="AF883" s="105"/>
    </row>
    <row r="884" spans="4:32" ht="15.75">
      <c r="D884" s="88"/>
      <c r="E884" s="88"/>
      <c r="F884" s="88"/>
      <c r="G884" s="88"/>
      <c r="H884" s="88"/>
      <c r="AF884" s="105"/>
    </row>
    <row r="885" spans="4:32" ht="15.75">
      <c r="D885" s="88"/>
      <c r="E885" s="88"/>
      <c r="F885" s="88"/>
      <c r="G885" s="88"/>
      <c r="H885" s="88"/>
      <c r="AF885" s="105"/>
    </row>
    <row r="886" spans="4:32" ht="15.75">
      <c r="D886" s="88"/>
      <c r="E886" s="88"/>
      <c r="F886" s="88"/>
      <c r="G886" s="88"/>
      <c r="H886" s="88"/>
      <c r="AF886" s="105"/>
    </row>
    <row r="887" spans="4:32" ht="15.75">
      <c r="D887" s="88"/>
      <c r="E887" s="88"/>
      <c r="F887" s="88"/>
      <c r="G887" s="88"/>
      <c r="H887" s="88"/>
      <c r="AF887" s="105"/>
    </row>
    <row r="888" spans="4:32" ht="15.75">
      <c r="D888" s="88"/>
      <c r="E888" s="88"/>
      <c r="F888" s="88"/>
      <c r="G888" s="88"/>
      <c r="H888" s="88"/>
      <c r="AF888" s="105"/>
    </row>
    <row r="889" spans="4:32" ht="15.75">
      <c r="D889" s="88"/>
      <c r="E889" s="88"/>
      <c r="F889" s="88"/>
      <c r="G889" s="88"/>
      <c r="H889" s="88"/>
      <c r="AF889" s="105"/>
    </row>
    <row r="890" spans="4:32" ht="15.75">
      <c r="D890" s="88"/>
      <c r="E890" s="88"/>
      <c r="F890" s="88"/>
      <c r="G890" s="88"/>
      <c r="H890" s="88"/>
      <c r="AF890" s="105"/>
    </row>
    <row r="891" spans="4:32" ht="15.75">
      <c r="D891" s="88"/>
      <c r="E891" s="88"/>
      <c r="F891" s="88"/>
      <c r="G891" s="88"/>
      <c r="H891" s="88"/>
      <c r="AF891" s="105"/>
    </row>
    <row r="892" spans="4:32" ht="15.75">
      <c r="D892" s="88"/>
      <c r="E892" s="88"/>
      <c r="F892" s="88"/>
      <c r="G892" s="88"/>
      <c r="H892" s="88"/>
      <c r="AF892" s="105"/>
    </row>
    <row r="893" spans="4:32" ht="15.75">
      <c r="D893" s="88"/>
      <c r="E893" s="88"/>
      <c r="F893" s="88"/>
      <c r="G893" s="88"/>
      <c r="H893" s="88"/>
      <c r="AF893" s="105"/>
    </row>
    <row r="894" spans="4:32" ht="15.75">
      <c r="D894" s="88"/>
      <c r="E894" s="88"/>
      <c r="F894" s="88"/>
      <c r="G894" s="88"/>
      <c r="H894" s="88"/>
      <c r="AF894" s="105"/>
    </row>
    <row r="895" spans="4:32" ht="15.75">
      <c r="D895" s="88"/>
      <c r="E895" s="88"/>
      <c r="F895" s="88"/>
      <c r="G895" s="88"/>
      <c r="H895" s="88"/>
      <c r="AF895" s="105"/>
    </row>
    <row r="896" spans="4:32" ht="15.75">
      <c r="D896" s="88"/>
      <c r="E896" s="88"/>
      <c r="F896" s="88"/>
      <c r="G896" s="88"/>
      <c r="H896" s="88"/>
      <c r="AF896" s="105"/>
    </row>
    <row r="897" spans="4:32" ht="15.75">
      <c r="D897" s="88"/>
      <c r="E897" s="88"/>
      <c r="F897" s="88"/>
      <c r="G897" s="88"/>
      <c r="H897" s="88"/>
      <c r="AF897" s="105"/>
    </row>
    <row r="898" spans="4:32" ht="15.75">
      <c r="D898" s="88"/>
      <c r="E898" s="88"/>
      <c r="F898" s="88"/>
      <c r="G898" s="88"/>
      <c r="H898" s="88"/>
      <c r="AF898" s="105"/>
    </row>
    <row r="899" spans="4:32" ht="15.75">
      <c r="D899" s="88"/>
      <c r="E899" s="88"/>
      <c r="F899" s="88"/>
      <c r="G899" s="88"/>
      <c r="H899" s="88"/>
      <c r="AF899" s="105"/>
    </row>
    <row r="900" spans="4:32" ht="15.75">
      <c r="D900" s="88"/>
      <c r="E900" s="88"/>
      <c r="F900" s="88"/>
      <c r="G900" s="88"/>
      <c r="H900" s="88"/>
      <c r="AF900" s="105"/>
    </row>
    <row r="901" spans="4:32" ht="15.75">
      <c r="D901" s="88"/>
      <c r="E901" s="88"/>
      <c r="F901" s="88"/>
      <c r="G901" s="88"/>
      <c r="H901" s="88"/>
      <c r="AF901" s="105"/>
    </row>
    <row r="902" spans="4:32" ht="15.75">
      <c r="D902" s="88"/>
      <c r="E902" s="88"/>
      <c r="F902" s="88"/>
      <c r="G902" s="88"/>
      <c r="H902" s="88"/>
      <c r="AF902" s="105"/>
    </row>
    <row r="903" spans="4:32" ht="15.75">
      <c r="D903" s="88"/>
      <c r="E903" s="88"/>
      <c r="F903" s="88"/>
      <c r="G903" s="88"/>
      <c r="H903" s="88"/>
      <c r="AF903" s="105"/>
    </row>
    <row r="904" spans="4:32" ht="15.75">
      <c r="D904" s="88"/>
      <c r="E904" s="88"/>
      <c r="F904" s="88"/>
      <c r="G904" s="88"/>
      <c r="H904" s="88"/>
      <c r="AF904" s="105"/>
    </row>
    <row r="905" spans="4:32" ht="15.75">
      <c r="D905" s="88"/>
      <c r="E905" s="88"/>
      <c r="F905" s="88"/>
      <c r="G905" s="88"/>
      <c r="H905" s="88"/>
      <c r="AF905" s="105"/>
    </row>
    <row r="906" spans="4:32" ht="15.75">
      <c r="D906" s="88"/>
      <c r="E906" s="88"/>
      <c r="F906" s="88"/>
      <c r="G906" s="88"/>
      <c r="H906" s="88"/>
      <c r="AF906" s="105"/>
    </row>
    <row r="907" spans="4:32" ht="15.75">
      <c r="D907" s="88"/>
      <c r="E907" s="88"/>
      <c r="F907" s="88"/>
      <c r="G907" s="88"/>
      <c r="H907" s="88"/>
      <c r="AF907" s="105"/>
    </row>
    <row r="908" spans="4:32" ht="15.75">
      <c r="D908" s="88"/>
      <c r="E908" s="88"/>
      <c r="F908" s="88"/>
      <c r="G908" s="88"/>
      <c r="H908" s="88"/>
      <c r="AF908" s="105"/>
    </row>
    <row r="909" spans="4:32" ht="15.75">
      <c r="D909" s="88"/>
      <c r="E909" s="88"/>
      <c r="F909" s="88"/>
      <c r="G909" s="88"/>
      <c r="H909" s="88"/>
      <c r="AF909" s="105"/>
    </row>
    <row r="910" spans="4:32" ht="15.75">
      <c r="D910" s="88"/>
      <c r="E910" s="88"/>
      <c r="F910" s="88"/>
      <c r="G910" s="88"/>
      <c r="H910" s="88"/>
      <c r="AF910" s="105"/>
    </row>
    <row r="911" spans="4:32" ht="15.75">
      <c r="D911" s="88"/>
      <c r="E911" s="88"/>
      <c r="F911" s="88"/>
      <c r="G911" s="88"/>
      <c r="H911" s="88"/>
      <c r="AF911" s="105"/>
    </row>
    <row r="912" spans="4:32" ht="15.75">
      <c r="D912" s="88"/>
      <c r="E912" s="88"/>
      <c r="F912" s="88"/>
      <c r="G912" s="88"/>
      <c r="H912" s="88"/>
      <c r="AF912" s="105"/>
    </row>
    <row r="913" spans="4:32" ht="15.75">
      <c r="D913" s="88"/>
      <c r="E913" s="88"/>
      <c r="F913" s="88"/>
      <c r="G913" s="88"/>
      <c r="H913" s="88"/>
      <c r="AF913" s="105"/>
    </row>
    <row r="914" spans="4:32" ht="15.75">
      <c r="D914" s="88"/>
      <c r="E914" s="88"/>
      <c r="F914" s="88"/>
      <c r="G914" s="88"/>
      <c r="H914" s="88"/>
      <c r="AF914" s="105"/>
    </row>
    <row r="915" spans="4:32" ht="15.75">
      <c r="D915" s="88"/>
      <c r="E915" s="88"/>
      <c r="F915" s="88"/>
      <c r="G915" s="88"/>
      <c r="H915" s="88"/>
      <c r="AF915" s="105"/>
    </row>
    <row r="916" spans="4:32" ht="15.75">
      <c r="D916" s="88"/>
      <c r="E916" s="88"/>
      <c r="F916" s="88"/>
      <c r="G916" s="88"/>
      <c r="H916" s="88"/>
      <c r="AF916" s="105"/>
    </row>
    <row r="917" spans="4:32" ht="15.75">
      <c r="D917" s="88"/>
      <c r="E917" s="88"/>
      <c r="F917" s="88"/>
      <c r="G917" s="88"/>
      <c r="H917" s="88"/>
      <c r="AF917" s="105"/>
    </row>
    <row r="918" spans="4:32" ht="15.75">
      <c r="D918" s="88"/>
      <c r="E918" s="88"/>
      <c r="F918" s="88"/>
      <c r="G918" s="88"/>
      <c r="H918" s="88"/>
      <c r="AF918" s="105"/>
    </row>
    <row r="919" spans="4:32" ht="15.75">
      <c r="D919" s="88"/>
      <c r="E919" s="88"/>
      <c r="F919" s="88"/>
      <c r="G919" s="88"/>
      <c r="H919" s="88"/>
      <c r="AF919" s="105"/>
    </row>
    <row r="920" spans="4:32" ht="15.75">
      <c r="D920" s="88"/>
      <c r="E920" s="88"/>
      <c r="F920" s="88"/>
      <c r="G920" s="88"/>
      <c r="H920" s="88"/>
      <c r="AF920" s="105"/>
    </row>
    <row r="921" spans="4:32" ht="15.75">
      <c r="D921" s="88"/>
      <c r="E921" s="88"/>
      <c r="F921" s="88"/>
      <c r="G921" s="88"/>
      <c r="H921" s="88"/>
      <c r="AF921" s="105"/>
    </row>
    <row r="922" spans="4:32" ht="15.75">
      <c r="D922" s="88"/>
      <c r="E922" s="88"/>
      <c r="F922" s="88"/>
      <c r="G922" s="88"/>
      <c r="H922" s="88"/>
      <c r="AF922" s="105"/>
    </row>
    <row r="923" spans="4:32" ht="15.75">
      <c r="D923" s="88"/>
      <c r="E923" s="88"/>
      <c r="F923" s="88"/>
      <c r="G923" s="88"/>
      <c r="H923" s="88"/>
      <c r="AF923" s="105"/>
    </row>
    <row r="924" spans="4:32" ht="15.75">
      <c r="D924" s="88"/>
      <c r="E924" s="88"/>
      <c r="F924" s="88"/>
      <c r="G924" s="88"/>
      <c r="H924" s="88"/>
      <c r="AF924" s="105"/>
    </row>
    <row r="925" spans="4:32" ht="15.75">
      <c r="D925" s="88"/>
      <c r="E925" s="88"/>
      <c r="F925" s="88"/>
      <c r="G925" s="88"/>
      <c r="H925" s="88"/>
      <c r="AF925" s="105"/>
    </row>
    <row r="926" spans="4:32" ht="15.75">
      <c r="D926" s="88"/>
      <c r="E926" s="88"/>
      <c r="F926" s="88"/>
      <c r="G926" s="88"/>
      <c r="H926" s="88"/>
      <c r="AF926" s="105"/>
    </row>
    <row r="927" spans="4:32" ht="15.75">
      <c r="D927" s="88"/>
      <c r="E927" s="88"/>
      <c r="F927" s="88"/>
      <c r="G927" s="88"/>
      <c r="H927" s="88"/>
      <c r="AF927" s="105"/>
    </row>
    <row r="928" spans="4:32" ht="15.75">
      <c r="D928" s="88"/>
      <c r="E928" s="88"/>
      <c r="F928" s="88"/>
      <c r="G928" s="88"/>
      <c r="H928" s="88"/>
      <c r="AF928" s="105"/>
    </row>
    <row r="929" spans="4:32" ht="15.75">
      <c r="D929" s="88"/>
      <c r="E929" s="88"/>
      <c r="F929" s="88"/>
      <c r="G929" s="88"/>
      <c r="H929" s="88"/>
      <c r="AF929" s="105"/>
    </row>
    <row r="930" spans="4:32" ht="15.75">
      <c r="D930" s="88"/>
      <c r="E930" s="88"/>
      <c r="F930" s="88"/>
      <c r="G930" s="88"/>
      <c r="H930" s="88"/>
      <c r="AF930" s="105"/>
    </row>
    <row r="931" spans="4:32" ht="15.75">
      <c r="D931" s="88"/>
      <c r="E931" s="88"/>
      <c r="F931" s="88"/>
      <c r="G931" s="88"/>
      <c r="H931" s="88"/>
      <c r="AF931" s="105"/>
    </row>
    <row r="932" spans="4:32" ht="15.75">
      <c r="D932" s="88"/>
      <c r="E932" s="88"/>
      <c r="F932" s="88"/>
      <c r="G932" s="88"/>
      <c r="H932" s="88"/>
      <c r="AF932" s="105"/>
    </row>
    <row r="933" spans="4:32" ht="15.75">
      <c r="D933" s="88"/>
      <c r="E933" s="88"/>
      <c r="F933" s="88"/>
      <c r="G933" s="88"/>
      <c r="H933" s="88"/>
      <c r="AF933" s="105"/>
    </row>
    <row r="934" spans="4:32" ht="15.75">
      <c r="D934" s="88"/>
      <c r="E934" s="88"/>
      <c r="F934" s="88"/>
      <c r="G934" s="88"/>
      <c r="H934" s="88"/>
      <c r="AF934" s="105"/>
    </row>
    <row r="935" spans="4:32" ht="15.75">
      <c r="D935" s="88"/>
      <c r="E935" s="88"/>
      <c r="F935" s="88"/>
      <c r="G935" s="88"/>
      <c r="H935" s="88"/>
      <c r="AF935" s="105"/>
    </row>
    <row r="936" spans="4:32" ht="15.75">
      <c r="D936" s="88"/>
      <c r="E936" s="88"/>
      <c r="F936" s="88"/>
      <c r="G936" s="88"/>
      <c r="H936" s="88"/>
      <c r="AF936" s="105"/>
    </row>
    <row r="937" spans="4:32" ht="15.75">
      <c r="D937" s="88"/>
      <c r="E937" s="88"/>
      <c r="F937" s="88"/>
      <c r="G937" s="88"/>
      <c r="H937" s="88"/>
      <c r="AF937" s="105"/>
    </row>
    <row r="938" spans="4:32" ht="15.75">
      <c r="D938" s="88"/>
      <c r="E938" s="88"/>
      <c r="F938" s="88"/>
      <c r="G938" s="88"/>
      <c r="H938" s="88"/>
      <c r="AF938" s="105"/>
    </row>
    <row r="939" spans="4:32" ht="15.75">
      <c r="D939" s="88"/>
      <c r="E939" s="88"/>
      <c r="F939" s="88"/>
      <c r="G939" s="88"/>
      <c r="H939" s="88"/>
      <c r="AF939" s="105"/>
    </row>
    <row r="940" spans="4:32" ht="15.75">
      <c r="D940" s="88"/>
      <c r="E940" s="88"/>
      <c r="F940" s="88"/>
      <c r="G940" s="88"/>
      <c r="H940" s="88"/>
      <c r="AF940" s="105"/>
    </row>
    <row r="941" spans="4:32" ht="15.75">
      <c r="D941" s="88"/>
      <c r="E941" s="88"/>
      <c r="F941" s="88"/>
      <c r="G941" s="88"/>
      <c r="H941" s="88"/>
      <c r="AF941" s="105"/>
    </row>
    <row r="942" spans="4:32" ht="15.75">
      <c r="D942" s="88"/>
      <c r="E942" s="88"/>
      <c r="F942" s="88"/>
      <c r="G942" s="88"/>
      <c r="H942" s="88"/>
      <c r="AF942" s="105"/>
    </row>
    <row r="943" spans="4:32" ht="15.75">
      <c r="D943" s="88"/>
      <c r="E943" s="88"/>
      <c r="F943" s="88"/>
      <c r="G943" s="88"/>
      <c r="H943" s="88"/>
      <c r="AF943" s="105"/>
    </row>
    <row r="944" spans="4:32" ht="15.75">
      <c r="D944" s="88"/>
      <c r="E944" s="88"/>
      <c r="F944" s="88"/>
      <c r="G944" s="88"/>
      <c r="H944" s="88"/>
      <c r="AF944" s="105"/>
    </row>
    <row r="945" spans="4:32" ht="15.75">
      <c r="D945" s="88"/>
      <c r="E945" s="88"/>
      <c r="F945" s="88"/>
      <c r="G945" s="88"/>
      <c r="H945" s="88"/>
      <c r="AF945" s="105"/>
    </row>
    <row r="946" spans="4:32" ht="15.75">
      <c r="D946" s="88"/>
      <c r="E946" s="88"/>
      <c r="F946" s="88"/>
      <c r="G946" s="88"/>
      <c r="H946" s="88"/>
      <c r="AF946" s="105"/>
    </row>
    <row r="947" spans="4:32" ht="15.75">
      <c r="D947" s="88"/>
      <c r="E947" s="88"/>
      <c r="F947" s="88"/>
      <c r="G947" s="88"/>
      <c r="H947" s="88"/>
      <c r="AF947" s="105"/>
    </row>
    <row r="948" spans="4:32" ht="15.75">
      <c r="D948" s="88"/>
      <c r="E948" s="88"/>
      <c r="F948" s="88"/>
      <c r="G948" s="88"/>
      <c r="H948" s="88"/>
      <c r="AF948" s="105"/>
    </row>
    <row r="949" spans="4:32" ht="15.75">
      <c r="D949" s="88"/>
      <c r="E949" s="88"/>
      <c r="F949" s="88"/>
      <c r="G949" s="88"/>
      <c r="H949" s="88"/>
      <c r="AF949" s="105"/>
    </row>
    <row r="950" spans="4:32" ht="15.75">
      <c r="D950" s="88"/>
      <c r="E950" s="88"/>
      <c r="F950" s="88"/>
      <c r="G950" s="88"/>
      <c r="H950" s="88"/>
      <c r="AF950" s="105"/>
    </row>
    <row r="951" spans="4:32" ht="15.75">
      <c r="D951" s="88"/>
      <c r="E951" s="88"/>
      <c r="F951" s="88"/>
      <c r="G951" s="88"/>
      <c r="H951" s="88"/>
      <c r="AF951" s="105"/>
    </row>
    <row r="952" spans="4:32" ht="15.75">
      <c r="D952" s="88"/>
      <c r="E952" s="88"/>
      <c r="F952" s="88"/>
      <c r="G952" s="88"/>
      <c r="H952" s="88"/>
      <c r="AF952" s="105"/>
    </row>
    <row r="953" spans="4:32" ht="15.75">
      <c r="D953" s="88"/>
      <c r="E953" s="88"/>
      <c r="F953" s="88"/>
      <c r="G953" s="88"/>
      <c r="H953" s="88"/>
      <c r="AF953" s="105"/>
    </row>
    <row r="954" spans="4:32" ht="15.75">
      <c r="D954" s="88"/>
      <c r="E954" s="88"/>
      <c r="F954" s="88"/>
      <c r="G954" s="88"/>
      <c r="H954" s="88"/>
      <c r="AF954" s="105"/>
    </row>
    <row r="955" spans="4:32" ht="15.75">
      <c r="D955" s="88"/>
      <c r="E955" s="88"/>
      <c r="F955" s="88"/>
      <c r="G955" s="88"/>
      <c r="H955" s="88"/>
      <c r="AF955" s="105"/>
    </row>
    <row r="956" spans="4:32" ht="15.75">
      <c r="D956" s="88"/>
      <c r="E956" s="88"/>
      <c r="F956" s="88"/>
      <c r="G956" s="88"/>
      <c r="H956" s="88"/>
      <c r="AF956" s="105"/>
    </row>
    <row r="957" spans="4:32" ht="15.75">
      <c r="D957" s="88"/>
      <c r="E957" s="88"/>
      <c r="F957" s="88"/>
      <c r="G957" s="88"/>
      <c r="H957" s="88"/>
      <c r="AF957" s="105"/>
    </row>
    <row r="958" spans="4:32" ht="15.75">
      <c r="D958" s="88"/>
      <c r="E958" s="88"/>
      <c r="F958" s="88"/>
      <c r="G958" s="88"/>
      <c r="H958" s="88"/>
      <c r="AF958" s="105"/>
    </row>
    <row r="959" spans="4:32" ht="15.75">
      <c r="D959" s="88"/>
      <c r="E959" s="88"/>
      <c r="F959" s="88"/>
      <c r="G959" s="88"/>
      <c r="H959" s="88"/>
      <c r="AF959" s="105"/>
    </row>
  </sheetData>
  <mergeCells count="35">
    <mergeCell ref="D4:H4"/>
    <mergeCell ref="D5:H5"/>
    <mergeCell ref="D6:H6"/>
    <mergeCell ref="D7:H7"/>
    <mergeCell ref="D13:H13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S33:AD33"/>
    <mergeCell ref="S34:AD34"/>
    <mergeCell ref="D127:G127"/>
    <mergeCell ref="I127:T127"/>
    <mergeCell ref="D14:H14"/>
    <mergeCell ref="D15:H15"/>
    <mergeCell ref="D133:G133"/>
    <mergeCell ref="D23:H23"/>
    <mergeCell ref="D24:H24"/>
    <mergeCell ref="D25:H25"/>
    <mergeCell ref="D26:H26"/>
    <mergeCell ref="D27:H27"/>
    <mergeCell ref="D28:H28"/>
    <mergeCell ref="D29:H29"/>
    <mergeCell ref="D128:G128"/>
    <mergeCell ref="D129:G129"/>
    <mergeCell ref="D130:G130"/>
    <mergeCell ref="D131:G131"/>
    <mergeCell ref="D132:G132"/>
    <mergeCell ref="D30:H30"/>
  </mergeCells>
  <printOptions gridLines="1"/>
  <pageMargins left="0.31496062992125984" right="0.31496062992125984" top="0" bottom="0.74803149606299213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ErrorMessage="1">
          <x14:formula1>
            <xm:f>Hoja3!$O$3:$O$7</xm:f>
          </x14:formula1>
          <xm:sqref>D127</xm:sqref>
        </x14:dataValidation>
        <x14:dataValidation type="list" allowBlank="1" showErrorMessage="1">
          <x14:formula1>
            <xm:f>Hoja3!$P$3:$P$6</xm:f>
          </x14:formula1>
          <xm:sqref>D128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  <x14:dataValidation type="list" allowBlank="1" showErrorMessage="1">
          <x14:formula1>
            <xm:f>Hoja3!$M$3:$M$23</xm:f>
          </x14:formula1>
          <xm:sqref>D26</xm:sqref>
        </x14:dataValidation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Hoja3!$J$3:$J$8</xm:f>
          </x14:formula1>
          <xm:sqref>D23</xm:sqref>
        </x14:dataValidation>
        <x14:dataValidation type="list" allowBlank="1" showErrorMessage="1">
          <x14:formula1>
            <xm:f>Hoja3!$N$3:$N$94</xm:f>
          </x14:formula1>
          <xm:sqref>D27</xm:sqref>
        </x14:dataValidation>
        <x14:dataValidation type="list" allowBlank="1" showErrorMessage="1">
          <x14:formula1>
            <xm:f>Hoja3!$R$4:$R$99</xm:f>
          </x14:formula1>
          <xm:sqref>B53 B55 B58</xm:sqref>
        </x14:dataValidation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Hoja3!$R$3:$R$99</xm:f>
          </x14:formula1>
          <xm:sqref>B35 D129</xm:sqref>
        </x14:dataValidation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Hoja3!$K$3:$K$29</xm:f>
          </x14:formula1>
          <xm:sqref>D24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Hoja3!$Q$3:$Q$5</xm:f>
          </x14:formula1>
          <xm:sqref>D131</xm:sqref>
        </x14:dataValidation>
        <x14:dataValidation type="list" allowBlank="1" showErrorMessage="1">
          <x14:formula1>
            <xm:f>Hoja3!$E$3:$E$6</xm:f>
          </x14:formula1>
          <xm:sqref>D17</xm:sqref>
        </x14:dataValidation>
        <x14:dataValidation type="list" allowBlank="1" showErrorMessage="1">
          <x14:formula1>
            <xm:f>Hoja3!$L$3:$L$8</xm:f>
          </x14:formula1>
          <xm:sqref>D25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2" max="2" width="45" customWidth="1"/>
    <col min="3" max="3" width="39.140625" customWidth="1"/>
  </cols>
  <sheetData>
    <row r="1" spans="1:26" ht="15" customHeight="1">
      <c r="A1" s="145" t="s">
        <v>404</v>
      </c>
      <c r="B1" s="146" t="s">
        <v>43</v>
      </c>
      <c r="C1" s="147" t="s">
        <v>44</v>
      </c>
      <c r="D1" s="148" t="s">
        <v>53</v>
      </c>
      <c r="E1" s="148" t="s">
        <v>71</v>
      </c>
      <c r="F1" s="149" t="s">
        <v>55</v>
      </c>
      <c r="G1" s="150" t="s">
        <v>405</v>
      </c>
      <c r="H1" s="150" t="s">
        <v>406</v>
      </c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 ht="15" customHeight="1">
      <c r="A2" s="149"/>
      <c r="B2" s="146" t="s">
        <v>74</v>
      </c>
      <c r="C2" s="147" t="s">
        <v>75</v>
      </c>
      <c r="D2" s="148" t="s">
        <v>338</v>
      </c>
      <c r="E2" s="148">
        <v>22787</v>
      </c>
      <c r="F2" s="149">
        <v>37731</v>
      </c>
      <c r="G2" s="151" t="s">
        <v>407</v>
      </c>
      <c r="H2" s="152" t="b">
        <v>1</v>
      </c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26" ht="15" customHeight="1">
      <c r="A3" s="149"/>
      <c r="B3" s="146" t="s">
        <v>88</v>
      </c>
      <c r="C3" s="147" t="s">
        <v>89</v>
      </c>
      <c r="D3" s="148" t="s">
        <v>338</v>
      </c>
      <c r="E3" s="148">
        <v>0</v>
      </c>
      <c r="F3" s="149">
        <v>1503807</v>
      </c>
      <c r="G3" s="151" t="s">
        <v>407</v>
      </c>
      <c r="H3" s="153" t="b">
        <v>0</v>
      </c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26" ht="15" customHeight="1">
      <c r="A4" s="149"/>
      <c r="B4" s="146" t="s">
        <v>99</v>
      </c>
      <c r="C4" s="147" t="s">
        <v>100</v>
      </c>
      <c r="D4" s="148" t="s">
        <v>84</v>
      </c>
      <c r="E4" s="148"/>
      <c r="F4" s="149">
        <v>0.9</v>
      </c>
      <c r="G4" s="151" t="s">
        <v>407</v>
      </c>
      <c r="H4" s="154" t="b">
        <v>0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26" ht="15" customHeight="1">
      <c r="A5" s="149" t="s">
        <v>74</v>
      </c>
      <c r="B5" s="146" t="s">
        <v>109</v>
      </c>
      <c r="C5" s="147" t="s">
        <v>110</v>
      </c>
      <c r="D5" s="148" t="s">
        <v>84</v>
      </c>
      <c r="E5" s="148">
        <v>463</v>
      </c>
      <c r="F5" s="149">
        <v>7450</v>
      </c>
      <c r="G5" s="151" t="s">
        <v>407</v>
      </c>
      <c r="H5" s="155" t="b">
        <v>1</v>
      </c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</row>
    <row r="6" spans="1:26" ht="15" customHeight="1">
      <c r="A6" s="149" t="s">
        <v>88</v>
      </c>
      <c r="B6" s="146" t="s">
        <v>119</v>
      </c>
      <c r="C6" s="147" t="s">
        <v>120</v>
      </c>
      <c r="D6" s="148" t="s">
        <v>84</v>
      </c>
      <c r="E6" s="148">
        <v>153</v>
      </c>
      <c r="F6" s="149">
        <v>640</v>
      </c>
      <c r="G6" s="151" t="s">
        <v>407</v>
      </c>
      <c r="H6" s="152" t="b">
        <v>1</v>
      </c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</row>
    <row r="7" spans="1:26" ht="15" customHeight="1">
      <c r="A7" s="149" t="s">
        <v>128</v>
      </c>
      <c r="B7" s="146" t="s">
        <v>129</v>
      </c>
      <c r="C7" s="147" t="s">
        <v>130</v>
      </c>
      <c r="D7" s="148" t="s">
        <v>84</v>
      </c>
      <c r="E7" s="148">
        <v>3448</v>
      </c>
      <c r="F7" s="149">
        <v>5000</v>
      </c>
      <c r="G7" s="151" t="s">
        <v>407</v>
      </c>
      <c r="H7" s="155" t="b">
        <v>1</v>
      </c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</row>
    <row r="8" spans="1:26" ht="15" customHeight="1">
      <c r="A8" s="149" t="s">
        <v>74</v>
      </c>
      <c r="B8" s="146" t="s">
        <v>138</v>
      </c>
      <c r="C8" s="147" t="s">
        <v>139</v>
      </c>
      <c r="D8" s="148" t="s">
        <v>84</v>
      </c>
      <c r="E8" s="148">
        <v>7578</v>
      </c>
      <c r="F8" s="149">
        <v>8791</v>
      </c>
      <c r="G8" s="151" t="s">
        <v>407</v>
      </c>
      <c r="H8" s="152" t="b">
        <v>1</v>
      </c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ht="15" customHeight="1">
      <c r="A9" s="149" t="s">
        <v>88</v>
      </c>
      <c r="B9" s="146" t="s">
        <v>146</v>
      </c>
      <c r="C9" s="147" t="s">
        <v>147</v>
      </c>
      <c r="D9" s="148" t="s">
        <v>84</v>
      </c>
      <c r="E9" s="148">
        <v>0</v>
      </c>
      <c r="F9" s="149">
        <v>1190350</v>
      </c>
      <c r="G9" s="151" t="s">
        <v>407</v>
      </c>
      <c r="H9" s="155" t="b">
        <v>1</v>
      </c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</row>
    <row r="10" spans="1:26" ht="15" customHeight="1">
      <c r="A10" s="149" t="s">
        <v>88</v>
      </c>
      <c r="B10" s="146" t="s">
        <v>155</v>
      </c>
      <c r="C10" s="147" t="s">
        <v>156</v>
      </c>
      <c r="D10" s="148" t="s">
        <v>84</v>
      </c>
      <c r="E10" s="148">
        <v>6573</v>
      </c>
      <c r="F10" s="149">
        <v>26292</v>
      </c>
      <c r="G10" s="151" t="s">
        <v>407</v>
      </c>
      <c r="H10" s="152" t="b">
        <v>1</v>
      </c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</row>
    <row r="11" spans="1:26" ht="15" customHeight="1">
      <c r="A11" s="149" t="s">
        <v>88</v>
      </c>
      <c r="B11" s="146" t="s">
        <v>162</v>
      </c>
      <c r="C11" s="147" t="s">
        <v>163</v>
      </c>
      <c r="D11" s="148" t="s">
        <v>84</v>
      </c>
      <c r="E11" s="148">
        <v>1005</v>
      </c>
      <c r="F11" s="149">
        <v>4020</v>
      </c>
      <c r="G11" s="151" t="s">
        <v>407</v>
      </c>
      <c r="H11" s="155" t="b">
        <v>1</v>
      </c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</row>
    <row r="12" spans="1:26" ht="15" customHeight="1">
      <c r="A12" s="149" t="s">
        <v>128</v>
      </c>
      <c r="B12" s="146" t="s">
        <v>167</v>
      </c>
      <c r="C12" s="147" t="s">
        <v>168</v>
      </c>
      <c r="D12" s="148" t="s">
        <v>84</v>
      </c>
      <c r="E12" s="148">
        <v>1940</v>
      </c>
      <c r="F12" s="149">
        <v>6000</v>
      </c>
      <c r="G12" s="151" t="s">
        <v>407</v>
      </c>
      <c r="H12" s="152" t="b">
        <v>1</v>
      </c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</row>
    <row r="13" spans="1:26" ht="15" customHeight="1">
      <c r="A13" s="149" t="s">
        <v>74</v>
      </c>
      <c r="B13" s="146" t="s">
        <v>176</v>
      </c>
      <c r="C13" s="147" t="s">
        <v>177</v>
      </c>
      <c r="D13" s="148" t="s">
        <v>183</v>
      </c>
      <c r="E13" s="148">
        <v>2292</v>
      </c>
      <c r="F13" s="149">
        <v>850</v>
      </c>
      <c r="G13" s="156">
        <f>E13/3</f>
        <v>764</v>
      </c>
      <c r="H13" s="155" t="b">
        <v>1</v>
      </c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</row>
    <row r="14" spans="1:26" ht="15" customHeight="1">
      <c r="A14" s="149" t="s">
        <v>88</v>
      </c>
      <c r="B14" s="146" t="s">
        <v>186</v>
      </c>
      <c r="C14" s="147" t="s">
        <v>187</v>
      </c>
      <c r="D14" s="148" t="s">
        <v>84</v>
      </c>
      <c r="E14" s="148">
        <v>4149</v>
      </c>
      <c r="F14" s="149">
        <v>15000</v>
      </c>
      <c r="G14" s="151" t="s">
        <v>407</v>
      </c>
      <c r="H14" s="152" t="b">
        <v>1</v>
      </c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</row>
    <row r="15" spans="1:26" ht="15" customHeight="1">
      <c r="A15" s="149" t="s">
        <v>88</v>
      </c>
      <c r="B15" s="146" t="s">
        <v>193</v>
      </c>
      <c r="C15" s="147" t="s">
        <v>194</v>
      </c>
      <c r="D15" s="148" t="s">
        <v>84</v>
      </c>
      <c r="E15" s="148">
        <v>6869</v>
      </c>
      <c r="F15" s="149">
        <v>29000</v>
      </c>
      <c r="G15" s="151" t="s">
        <v>407</v>
      </c>
      <c r="H15" s="155" t="b">
        <v>1</v>
      </c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</row>
    <row r="16" spans="1:26" ht="15" customHeight="1">
      <c r="A16" s="149" t="s">
        <v>74</v>
      </c>
      <c r="B16" s="146" t="s">
        <v>202</v>
      </c>
      <c r="C16" s="147" t="s">
        <v>203</v>
      </c>
      <c r="D16" s="148" t="s">
        <v>183</v>
      </c>
      <c r="E16" s="148">
        <v>1530</v>
      </c>
      <c r="F16" s="149">
        <v>500</v>
      </c>
      <c r="G16" s="156">
        <f>E16/3</f>
        <v>510</v>
      </c>
      <c r="H16" s="152" t="b">
        <v>1</v>
      </c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</row>
    <row r="17" spans="1:26" ht="15" customHeight="1">
      <c r="A17" s="149" t="s">
        <v>88</v>
      </c>
      <c r="B17" s="146" t="s">
        <v>209</v>
      </c>
      <c r="C17" s="147" t="s">
        <v>210</v>
      </c>
      <c r="D17" s="148" t="s">
        <v>84</v>
      </c>
      <c r="E17" s="148">
        <v>65280</v>
      </c>
      <c r="F17" s="149">
        <v>224400</v>
      </c>
      <c r="G17" s="151" t="s">
        <v>407</v>
      </c>
      <c r="H17" s="155" t="b">
        <v>1</v>
      </c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</row>
    <row r="18" spans="1:26" ht="15" customHeight="1">
      <c r="A18" s="149" t="s">
        <v>74</v>
      </c>
      <c r="B18" s="146" t="s">
        <v>216</v>
      </c>
      <c r="C18" s="157" t="s">
        <v>217</v>
      </c>
      <c r="D18" s="148" t="s">
        <v>183</v>
      </c>
      <c r="E18" s="148">
        <v>5082</v>
      </c>
      <c r="F18" s="149">
        <v>1300</v>
      </c>
      <c r="G18" s="156">
        <f t="shared" ref="G18:G19" si="0">E18/3</f>
        <v>1694</v>
      </c>
      <c r="H18" s="152" t="b">
        <v>1</v>
      </c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15" customHeight="1">
      <c r="A19" s="149" t="s">
        <v>88</v>
      </c>
      <c r="B19" s="146" t="s">
        <v>224</v>
      </c>
      <c r="C19" s="157" t="s">
        <v>225</v>
      </c>
      <c r="D19" s="148" t="s">
        <v>183</v>
      </c>
      <c r="E19" s="148">
        <v>876</v>
      </c>
      <c r="F19" s="149">
        <v>260</v>
      </c>
      <c r="G19" s="156">
        <f t="shared" si="0"/>
        <v>292</v>
      </c>
      <c r="H19" s="155" t="b">
        <v>1</v>
      </c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</row>
    <row r="20" spans="1:26" ht="15" customHeight="1">
      <c r="A20" s="149" t="s">
        <v>74</v>
      </c>
      <c r="B20" s="146" t="s">
        <v>232</v>
      </c>
      <c r="C20" s="147" t="s">
        <v>233</v>
      </c>
      <c r="D20" s="148" t="s">
        <v>84</v>
      </c>
      <c r="E20" s="148">
        <v>0</v>
      </c>
      <c r="F20" s="149">
        <v>2030</v>
      </c>
      <c r="G20" s="151" t="s">
        <v>407</v>
      </c>
      <c r="H20" s="152" t="b">
        <v>1</v>
      </c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</row>
    <row r="21" spans="1:26" ht="15" customHeight="1">
      <c r="A21" s="149" t="s">
        <v>88</v>
      </c>
      <c r="B21" s="146" t="s">
        <v>241</v>
      </c>
      <c r="C21" s="147" t="s">
        <v>242</v>
      </c>
      <c r="D21" s="148" t="s">
        <v>84</v>
      </c>
      <c r="E21" s="148">
        <v>297</v>
      </c>
      <c r="F21" s="149">
        <v>1188</v>
      </c>
      <c r="G21" s="151" t="s">
        <v>407</v>
      </c>
      <c r="H21" s="155" t="b">
        <v>1</v>
      </c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</row>
    <row r="22" spans="1:26" ht="15" customHeight="1">
      <c r="A22" s="149" t="s">
        <v>74</v>
      </c>
      <c r="B22" s="146" t="s">
        <v>249</v>
      </c>
      <c r="C22" s="147" t="s">
        <v>250</v>
      </c>
      <c r="D22" s="148" t="s">
        <v>84</v>
      </c>
      <c r="E22" s="148">
        <v>33</v>
      </c>
      <c r="F22" s="149">
        <v>5000</v>
      </c>
      <c r="G22" s="151" t="s">
        <v>407</v>
      </c>
      <c r="H22" s="152" t="b">
        <v>1</v>
      </c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ht="15" customHeight="1">
      <c r="A23" s="149" t="s">
        <v>88</v>
      </c>
      <c r="B23" s="146" t="s">
        <v>256</v>
      </c>
      <c r="C23" s="147" t="s">
        <v>257</v>
      </c>
      <c r="D23" s="148" t="s">
        <v>84</v>
      </c>
      <c r="E23" s="148">
        <v>4</v>
      </c>
      <c r="F23" s="149">
        <v>7</v>
      </c>
      <c r="G23" s="151" t="s">
        <v>407</v>
      </c>
      <c r="H23" s="155" t="b">
        <v>1</v>
      </c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</row>
    <row r="24" spans="1:26" ht="15" customHeight="1">
      <c r="A24" s="149" t="s">
        <v>88</v>
      </c>
      <c r="B24" s="146" t="s">
        <v>265</v>
      </c>
      <c r="C24" s="147" t="s">
        <v>266</v>
      </c>
      <c r="D24" s="148" t="s">
        <v>84</v>
      </c>
      <c r="E24" s="148">
        <v>280</v>
      </c>
      <c r="F24" s="149">
        <v>1100</v>
      </c>
      <c r="G24" s="151" t="s">
        <v>407</v>
      </c>
      <c r="H24" s="152" t="b">
        <v>1</v>
      </c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</row>
    <row r="25" spans="1:26" ht="15" customHeight="1">
      <c r="A25" s="149" t="s">
        <v>74</v>
      </c>
      <c r="B25" s="146" t="s">
        <v>274</v>
      </c>
      <c r="C25" s="147" t="s">
        <v>275</v>
      </c>
      <c r="D25" s="148" t="s">
        <v>84</v>
      </c>
      <c r="E25" s="148">
        <v>178</v>
      </c>
      <c r="F25" s="149">
        <v>700</v>
      </c>
      <c r="G25" s="151" t="s">
        <v>407</v>
      </c>
      <c r="H25" s="155" t="b">
        <v>1</v>
      </c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</row>
    <row r="26" spans="1:26" ht="15" customHeight="1">
      <c r="A26" s="149" t="s">
        <v>88</v>
      </c>
      <c r="B26" s="146" t="s">
        <v>283</v>
      </c>
      <c r="C26" s="147" t="s">
        <v>284</v>
      </c>
      <c r="D26" s="148" t="s">
        <v>84</v>
      </c>
      <c r="E26" s="148">
        <v>96</v>
      </c>
      <c r="F26" s="149">
        <v>400</v>
      </c>
      <c r="G26" s="151" t="s">
        <v>407</v>
      </c>
      <c r="H26" s="152" t="b">
        <v>1</v>
      </c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</row>
    <row r="27" spans="1:26" ht="15" customHeight="1">
      <c r="A27" s="149"/>
      <c r="B27" s="146" t="s">
        <v>293</v>
      </c>
      <c r="C27" s="147" t="s">
        <v>294</v>
      </c>
      <c r="D27" s="148" t="s">
        <v>84</v>
      </c>
      <c r="E27" s="148">
        <v>3</v>
      </c>
      <c r="F27" s="149">
        <v>12</v>
      </c>
      <c r="G27" s="151" t="s">
        <v>407</v>
      </c>
      <c r="H27" s="155" t="b">
        <v>1</v>
      </c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</row>
    <row r="28" spans="1:26" ht="15" customHeight="1">
      <c r="A28" s="149" t="s">
        <v>74</v>
      </c>
      <c r="B28" s="146" t="s">
        <v>302</v>
      </c>
      <c r="C28" s="147" t="s">
        <v>303</v>
      </c>
      <c r="D28" s="148" t="s">
        <v>183</v>
      </c>
      <c r="E28" s="148">
        <v>243</v>
      </c>
      <c r="F28" s="149">
        <v>110</v>
      </c>
      <c r="G28" s="156">
        <f t="shared" ref="G28:G29" si="1">E28/3</f>
        <v>81</v>
      </c>
      <c r="H28" s="152" t="b">
        <v>1</v>
      </c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</row>
    <row r="29" spans="1:26" ht="15" customHeight="1">
      <c r="A29" s="149" t="s">
        <v>88</v>
      </c>
      <c r="B29" s="146" t="s">
        <v>310</v>
      </c>
      <c r="C29" s="147" t="s">
        <v>311</v>
      </c>
      <c r="D29" s="148" t="s">
        <v>183</v>
      </c>
      <c r="E29" s="148">
        <v>526</v>
      </c>
      <c r="F29" s="149">
        <v>150</v>
      </c>
      <c r="G29" s="156">
        <f t="shared" si="1"/>
        <v>175.33333333333334</v>
      </c>
      <c r="H29" s="155" t="b">
        <v>1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</row>
    <row r="30" spans="1:26" ht="15" customHeight="1">
      <c r="A30" s="149"/>
      <c r="B30" s="146"/>
      <c r="C30" s="147"/>
      <c r="D30" s="148"/>
      <c r="E30" s="148"/>
      <c r="F30" s="149"/>
      <c r="G30" s="156"/>
      <c r="H30" s="156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</row>
    <row r="31" spans="1:26" ht="18.75">
      <c r="A31" s="149"/>
      <c r="B31" s="146"/>
      <c r="C31" s="147"/>
      <c r="D31" s="148"/>
      <c r="E31" s="148"/>
      <c r="F31" s="149"/>
      <c r="G31" s="158"/>
      <c r="H31" s="158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</row>
    <row r="32" spans="1:26" ht="18.75">
      <c r="A32" s="149"/>
      <c r="B32" s="146"/>
      <c r="C32" s="147"/>
      <c r="D32" s="148"/>
      <c r="E32" s="148"/>
      <c r="F32" s="149"/>
      <c r="G32" s="156"/>
      <c r="H32" s="156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</row>
    <row r="33" spans="1:26" ht="18.75">
      <c r="A33" s="149"/>
      <c r="B33" s="146"/>
      <c r="C33" s="147"/>
      <c r="D33" s="148"/>
      <c r="E33" s="148"/>
      <c r="F33" s="149"/>
      <c r="G33" s="158"/>
      <c r="H33" s="158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</row>
    <row r="34" spans="1:26" ht="18.75">
      <c r="A34" s="149"/>
      <c r="B34" s="146"/>
      <c r="C34" s="147"/>
      <c r="D34" s="148"/>
      <c r="E34" s="148"/>
      <c r="F34" s="149"/>
      <c r="G34" s="156"/>
      <c r="H34" s="156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</row>
    <row r="35" spans="1:26" ht="18.75">
      <c r="A35" s="149"/>
      <c r="B35" s="146"/>
      <c r="C35" s="147"/>
      <c r="D35" s="148"/>
      <c r="E35" s="148"/>
      <c r="F35" s="149"/>
      <c r="G35" s="158"/>
      <c r="H35" s="158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</row>
    <row r="36" spans="1:26" ht="18.75">
      <c r="A36" s="149"/>
      <c r="B36" s="146"/>
      <c r="C36" s="147"/>
      <c r="D36" s="148"/>
      <c r="E36" s="148"/>
      <c r="F36" s="149"/>
      <c r="G36" s="156"/>
      <c r="H36" s="156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1:26" ht="18.75">
      <c r="A37" s="149"/>
      <c r="B37" s="146"/>
      <c r="C37" s="147"/>
      <c r="D37" s="148"/>
      <c r="E37" s="148"/>
      <c r="F37" s="149"/>
      <c r="G37" s="158"/>
      <c r="H37" s="158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</row>
    <row r="38" spans="1:26" ht="18.75">
      <c r="A38" s="149"/>
      <c r="B38" s="146"/>
      <c r="C38" s="147"/>
      <c r="D38" s="148"/>
      <c r="E38" s="148"/>
      <c r="F38" s="149"/>
      <c r="G38" s="156"/>
      <c r="H38" s="156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</row>
    <row r="39" spans="1:26" ht="18.75">
      <c r="A39" s="149"/>
      <c r="B39" s="146"/>
      <c r="C39" s="147"/>
      <c r="D39" s="148"/>
      <c r="E39" s="148"/>
      <c r="F39" s="149"/>
      <c r="G39" s="158"/>
      <c r="H39" s="158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</row>
    <row r="40" spans="1:26" ht="18.75">
      <c r="A40" s="149"/>
      <c r="B40" s="146"/>
      <c r="C40" s="147"/>
      <c r="D40" s="148"/>
      <c r="E40" s="148"/>
      <c r="F40" s="149"/>
      <c r="G40" s="156"/>
      <c r="H40" s="156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</row>
    <row r="41" spans="1:26" ht="18.75">
      <c r="A41" s="149"/>
      <c r="B41" s="146"/>
      <c r="C41" s="147"/>
      <c r="D41" s="148"/>
      <c r="E41" s="148"/>
      <c r="F41" s="149"/>
      <c r="G41" s="158"/>
      <c r="H41" s="158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</row>
    <row r="42" spans="1:26" ht="18.75">
      <c r="A42" s="149"/>
      <c r="B42" s="146"/>
      <c r="C42" s="147"/>
      <c r="D42" s="148"/>
      <c r="E42" s="148"/>
      <c r="F42" s="149"/>
      <c r="G42" s="156"/>
      <c r="H42" s="156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</row>
    <row r="43" spans="1:26" ht="18.75">
      <c r="A43" s="149"/>
      <c r="B43" s="146"/>
      <c r="C43" s="147"/>
      <c r="D43" s="148"/>
      <c r="E43" s="148"/>
      <c r="F43" s="149"/>
      <c r="G43" s="158"/>
      <c r="H43" s="158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</row>
    <row r="44" spans="1:26" ht="18.75">
      <c r="A44" s="149"/>
      <c r="B44" s="146"/>
      <c r="C44" s="147"/>
      <c r="D44" s="148"/>
      <c r="E44" s="148"/>
      <c r="F44" s="149"/>
      <c r="G44" s="156"/>
      <c r="H44" s="156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</row>
    <row r="45" spans="1:26" ht="18.75">
      <c r="A45" s="149"/>
      <c r="B45" s="146"/>
      <c r="C45" s="147"/>
      <c r="D45" s="148"/>
      <c r="E45" s="148"/>
      <c r="F45" s="149"/>
      <c r="G45" s="158"/>
      <c r="H45" s="158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</row>
    <row r="46" spans="1:26" ht="18.75">
      <c r="A46" s="149"/>
      <c r="B46" s="146"/>
      <c r="C46" s="147"/>
      <c r="D46" s="148"/>
      <c r="E46" s="148"/>
      <c r="F46" s="149"/>
      <c r="G46" s="156"/>
      <c r="H46" s="156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</row>
    <row r="47" spans="1:26" ht="18.75">
      <c r="A47" s="149"/>
      <c r="B47" s="146"/>
      <c r="C47" s="147"/>
      <c r="D47" s="148"/>
      <c r="E47" s="148"/>
      <c r="F47" s="149"/>
      <c r="G47" s="158"/>
      <c r="H47" s="158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</row>
    <row r="48" spans="1:26" ht="18.75">
      <c r="A48" s="149"/>
      <c r="B48" s="146"/>
      <c r="C48" s="147"/>
      <c r="D48" s="148"/>
      <c r="E48" s="148"/>
      <c r="F48" s="149"/>
      <c r="G48" s="156"/>
      <c r="H48" s="156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</row>
    <row r="49" spans="1:26" ht="18.75">
      <c r="A49" s="149"/>
      <c r="B49" s="146"/>
      <c r="C49" s="147"/>
      <c r="D49" s="148"/>
      <c r="E49" s="148"/>
      <c r="F49" s="149"/>
      <c r="G49" s="158"/>
      <c r="H49" s="158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</row>
    <row r="50" spans="1:26" ht="18.75">
      <c r="A50" s="149"/>
      <c r="B50" s="146"/>
      <c r="C50" s="147"/>
      <c r="D50" s="148"/>
      <c r="E50" s="148"/>
      <c r="F50" s="149"/>
      <c r="G50" s="156"/>
      <c r="H50" s="156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ht="18.75">
      <c r="A51" s="149"/>
      <c r="B51" s="146"/>
      <c r="C51" s="147"/>
      <c r="D51" s="148"/>
      <c r="E51" s="148"/>
      <c r="F51" s="149"/>
      <c r="G51" s="158"/>
      <c r="H51" s="158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</row>
    <row r="52" spans="1:26" ht="18.75">
      <c r="A52" s="149"/>
      <c r="B52" s="146"/>
      <c r="C52" s="147"/>
      <c r="D52" s="148"/>
      <c r="E52" s="148"/>
      <c r="F52" s="149"/>
      <c r="G52" s="156"/>
      <c r="H52" s="156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</row>
    <row r="53" spans="1:26" ht="18.75">
      <c r="A53" s="149"/>
      <c r="B53" s="146"/>
      <c r="C53" s="147"/>
      <c r="D53" s="148"/>
      <c r="E53" s="148"/>
      <c r="F53" s="149"/>
      <c r="G53" s="158"/>
      <c r="H53" s="158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</row>
    <row r="54" spans="1:26" ht="18.75">
      <c r="A54" s="149"/>
      <c r="B54" s="146"/>
      <c r="C54" s="147"/>
      <c r="D54" s="148"/>
      <c r="E54" s="148"/>
      <c r="F54" s="149"/>
      <c r="G54" s="156"/>
      <c r="H54" s="156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</row>
    <row r="55" spans="1:26" ht="18.75">
      <c r="A55" s="149"/>
      <c r="B55" s="146"/>
      <c r="C55" s="147"/>
      <c r="D55" s="148"/>
      <c r="E55" s="148"/>
      <c r="F55" s="149"/>
      <c r="G55" s="158"/>
      <c r="H55" s="158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</row>
    <row r="56" spans="1:26" ht="18.75">
      <c r="A56" s="149"/>
      <c r="B56" s="146"/>
      <c r="C56" s="147"/>
      <c r="D56" s="148"/>
      <c r="E56" s="148"/>
      <c r="F56" s="149"/>
      <c r="G56" s="156"/>
      <c r="H56" s="156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</row>
    <row r="57" spans="1:26" ht="18.75">
      <c r="A57" s="149"/>
      <c r="B57" s="146"/>
      <c r="C57" s="147"/>
      <c r="D57" s="148"/>
      <c r="E57" s="148"/>
      <c r="F57" s="149"/>
      <c r="G57" s="158"/>
      <c r="H57" s="158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</row>
    <row r="58" spans="1:26" ht="18.75">
      <c r="A58" s="149"/>
      <c r="B58" s="146"/>
      <c r="C58" s="147"/>
      <c r="D58" s="148"/>
      <c r="E58" s="148"/>
      <c r="F58" s="149"/>
      <c r="G58" s="156"/>
      <c r="H58" s="156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</row>
    <row r="59" spans="1:26" ht="18.75">
      <c r="A59" s="149"/>
      <c r="B59" s="146"/>
      <c r="C59" s="147"/>
      <c r="D59" s="148"/>
      <c r="E59" s="148"/>
      <c r="F59" s="149"/>
      <c r="G59" s="158"/>
      <c r="H59" s="158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</row>
    <row r="60" spans="1:26" ht="18.75">
      <c r="A60" s="149"/>
      <c r="B60" s="146"/>
      <c r="C60" s="147"/>
      <c r="D60" s="148"/>
      <c r="E60" s="148"/>
      <c r="F60" s="149"/>
      <c r="G60" s="156"/>
      <c r="H60" s="156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</row>
    <row r="61" spans="1:26" ht="18.75">
      <c r="A61" s="149"/>
      <c r="B61" s="146"/>
      <c r="C61" s="147"/>
      <c r="D61" s="148"/>
      <c r="E61" s="148"/>
      <c r="F61" s="149"/>
      <c r="G61" s="158"/>
      <c r="H61" s="158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</row>
    <row r="62" spans="1:26" ht="18.75">
      <c r="A62" s="149"/>
      <c r="B62" s="146"/>
      <c r="C62" s="147"/>
      <c r="D62" s="148"/>
      <c r="E62" s="148"/>
      <c r="F62" s="149"/>
      <c r="G62" s="156"/>
      <c r="H62" s="156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</row>
    <row r="63" spans="1:26" ht="18.75">
      <c r="A63" s="149"/>
      <c r="B63" s="146"/>
      <c r="C63" s="147"/>
      <c r="D63" s="148"/>
      <c r="E63" s="148"/>
      <c r="F63" s="149"/>
      <c r="G63" s="158"/>
      <c r="H63" s="158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</row>
    <row r="64" spans="1:26" ht="18.75">
      <c r="A64" s="149"/>
      <c r="B64" s="146"/>
      <c r="C64" s="147"/>
      <c r="D64" s="148"/>
      <c r="E64" s="148"/>
      <c r="F64" s="149"/>
      <c r="G64" s="156"/>
      <c r="H64" s="156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1:26" ht="18.75">
      <c r="A65" s="149"/>
      <c r="B65" s="146"/>
      <c r="C65" s="147"/>
      <c r="D65" s="148"/>
      <c r="E65" s="148"/>
      <c r="F65" s="149"/>
      <c r="G65" s="158"/>
      <c r="H65" s="158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</row>
    <row r="66" spans="1:26" ht="18.75">
      <c r="A66" s="149"/>
      <c r="B66" s="146"/>
      <c r="C66" s="147"/>
      <c r="D66" s="148"/>
      <c r="E66" s="148"/>
      <c r="F66" s="149"/>
      <c r="G66" s="156"/>
      <c r="H66" s="156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</row>
    <row r="67" spans="1:26" ht="18.75">
      <c r="A67" s="149"/>
      <c r="B67" s="146"/>
      <c r="C67" s="147"/>
      <c r="D67" s="148"/>
      <c r="E67" s="148"/>
      <c r="F67" s="149"/>
      <c r="G67" s="158"/>
      <c r="H67" s="158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</row>
    <row r="68" spans="1:26" ht="18.75">
      <c r="A68" s="149"/>
      <c r="B68" s="146"/>
      <c r="C68" s="147"/>
      <c r="D68" s="148"/>
      <c r="E68" s="148"/>
      <c r="F68" s="149"/>
      <c r="G68" s="156"/>
      <c r="H68" s="156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</row>
    <row r="69" spans="1:26" ht="18.75">
      <c r="A69" s="149"/>
      <c r="B69" s="146"/>
      <c r="C69" s="147"/>
      <c r="D69" s="148"/>
      <c r="E69" s="148"/>
      <c r="F69" s="149"/>
      <c r="G69" s="158"/>
      <c r="H69" s="158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</row>
    <row r="70" spans="1:26" ht="18.75">
      <c r="A70" s="149"/>
      <c r="B70" s="146"/>
      <c r="C70" s="147"/>
      <c r="D70" s="148"/>
      <c r="E70" s="148"/>
      <c r="F70" s="149"/>
      <c r="G70" s="156"/>
      <c r="H70" s="156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</row>
    <row r="71" spans="1:26" ht="18.75">
      <c r="A71" s="149"/>
      <c r="B71" s="146"/>
      <c r="C71" s="147"/>
      <c r="D71" s="148"/>
      <c r="E71" s="148"/>
      <c r="F71" s="149"/>
      <c r="G71" s="158"/>
      <c r="H71" s="158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</row>
    <row r="72" spans="1:26" ht="18.75">
      <c r="A72" s="149"/>
      <c r="B72" s="146"/>
      <c r="C72" s="147"/>
      <c r="D72" s="148"/>
      <c r="E72" s="148"/>
      <c r="F72" s="149"/>
      <c r="G72" s="156"/>
      <c r="H72" s="156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</row>
    <row r="73" spans="1:26" ht="18.75">
      <c r="A73" s="149"/>
      <c r="B73" s="146"/>
      <c r="C73" s="147"/>
      <c r="D73" s="148"/>
      <c r="E73" s="148"/>
      <c r="F73" s="149"/>
      <c r="G73" s="158"/>
      <c r="H73" s="158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</row>
    <row r="74" spans="1:26" ht="18.75">
      <c r="A74" s="149"/>
      <c r="B74" s="146"/>
      <c r="C74" s="147"/>
      <c r="D74" s="148"/>
      <c r="E74" s="148"/>
      <c r="F74" s="149"/>
      <c r="G74" s="156"/>
      <c r="H74" s="156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</row>
    <row r="75" spans="1:26" ht="18.75">
      <c r="A75" s="149"/>
      <c r="B75" s="146"/>
      <c r="C75" s="147"/>
      <c r="D75" s="148"/>
      <c r="E75" s="148"/>
      <c r="F75" s="149"/>
      <c r="G75" s="158"/>
      <c r="H75" s="158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</row>
    <row r="76" spans="1:26" ht="18.75">
      <c r="A76" s="149"/>
      <c r="B76" s="146"/>
      <c r="C76" s="147"/>
      <c r="D76" s="148"/>
      <c r="E76" s="148"/>
      <c r="F76" s="149"/>
      <c r="G76" s="156"/>
      <c r="H76" s="156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</row>
    <row r="77" spans="1:26" ht="18.75">
      <c r="A77" s="149"/>
      <c r="B77" s="146"/>
      <c r="C77" s="147"/>
      <c r="D77" s="148"/>
      <c r="E77" s="148"/>
      <c r="F77" s="149"/>
      <c r="G77" s="158"/>
      <c r="H77" s="158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</row>
    <row r="78" spans="1:26" ht="18.75">
      <c r="A78" s="149"/>
      <c r="B78" s="146"/>
      <c r="C78" s="147"/>
      <c r="D78" s="148"/>
      <c r="E78" s="148"/>
      <c r="F78" s="149"/>
      <c r="G78" s="156"/>
      <c r="H78" s="156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</row>
    <row r="79" spans="1:26" ht="18.75">
      <c r="A79" s="149"/>
      <c r="B79" s="146"/>
      <c r="C79" s="147"/>
      <c r="D79" s="148"/>
      <c r="E79" s="148"/>
      <c r="F79" s="149"/>
      <c r="G79" s="158"/>
      <c r="H79" s="158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</row>
    <row r="80" spans="1:26" ht="18.75">
      <c r="A80" s="149"/>
      <c r="B80" s="146"/>
      <c r="C80" s="147"/>
      <c r="D80" s="148"/>
      <c r="E80" s="148"/>
      <c r="F80" s="149"/>
      <c r="G80" s="156"/>
      <c r="H80" s="156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</row>
    <row r="81" spans="1:26" ht="18.75">
      <c r="A81" s="149"/>
      <c r="B81" s="146"/>
      <c r="C81" s="147"/>
      <c r="D81" s="148"/>
      <c r="E81" s="148"/>
      <c r="F81" s="149"/>
      <c r="G81" s="158"/>
      <c r="H81" s="158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</row>
    <row r="82" spans="1:26" ht="18.75">
      <c r="A82" s="149"/>
      <c r="B82" s="146"/>
      <c r="C82" s="147"/>
      <c r="D82" s="148"/>
      <c r="E82" s="148"/>
      <c r="F82" s="149"/>
      <c r="G82" s="156"/>
      <c r="H82" s="156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</row>
    <row r="83" spans="1:26" ht="18.75">
      <c r="A83" s="149"/>
      <c r="B83" s="146"/>
      <c r="C83" s="147"/>
      <c r="D83" s="148"/>
      <c r="E83" s="148"/>
      <c r="F83" s="149"/>
      <c r="G83" s="158"/>
      <c r="H83" s="158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</row>
    <row r="84" spans="1:26" ht="18.75">
      <c r="A84" s="149"/>
      <c r="B84" s="146"/>
      <c r="C84" s="147"/>
      <c r="D84" s="148"/>
      <c r="E84" s="148"/>
      <c r="F84" s="149"/>
      <c r="G84" s="156"/>
      <c r="H84" s="156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</row>
    <row r="85" spans="1:26" ht="18.75">
      <c r="A85" s="149"/>
      <c r="B85" s="146"/>
      <c r="C85" s="147"/>
      <c r="D85" s="148"/>
      <c r="E85" s="148"/>
      <c r="F85" s="149"/>
      <c r="G85" s="158"/>
      <c r="H85" s="158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</row>
    <row r="86" spans="1:26" ht="18.75">
      <c r="A86" s="149"/>
      <c r="B86" s="146"/>
      <c r="C86" s="147"/>
      <c r="D86" s="148"/>
      <c r="E86" s="148"/>
      <c r="F86" s="149"/>
      <c r="G86" s="156"/>
      <c r="H86" s="156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</row>
    <row r="87" spans="1:26" ht="18.75">
      <c r="A87" s="149"/>
      <c r="B87" s="146"/>
      <c r="C87" s="147"/>
      <c r="D87" s="148"/>
      <c r="E87" s="148"/>
      <c r="F87" s="149"/>
      <c r="G87" s="158"/>
      <c r="H87" s="158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</row>
    <row r="88" spans="1:26" ht="18.75">
      <c r="A88" s="149"/>
      <c r="B88" s="146"/>
      <c r="C88" s="147"/>
      <c r="D88" s="148"/>
      <c r="E88" s="148"/>
      <c r="F88" s="149"/>
      <c r="G88" s="156"/>
      <c r="H88" s="156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</row>
    <row r="89" spans="1:26" ht="18.75">
      <c r="A89" s="149"/>
      <c r="B89" s="146"/>
      <c r="C89" s="147"/>
      <c r="D89" s="148"/>
      <c r="E89" s="148"/>
      <c r="F89" s="149"/>
      <c r="G89" s="158"/>
      <c r="H89" s="158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</row>
    <row r="90" spans="1:26" ht="18.75">
      <c r="A90" s="149"/>
      <c r="B90" s="146"/>
      <c r="C90" s="147"/>
      <c r="D90" s="148"/>
      <c r="E90" s="148"/>
      <c r="F90" s="149"/>
      <c r="G90" s="156"/>
      <c r="H90" s="156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</row>
    <row r="91" spans="1:26" ht="18.75">
      <c r="A91" s="149"/>
      <c r="B91" s="146"/>
      <c r="C91" s="147"/>
      <c r="D91" s="148"/>
      <c r="E91" s="148"/>
      <c r="F91" s="149"/>
      <c r="G91" s="158"/>
      <c r="H91" s="158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</row>
    <row r="92" spans="1:26" ht="18.75">
      <c r="A92" s="149"/>
      <c r="B92" s="146"/>
      <c r="C92" s="147"/>
      <c r="D92" s="148"/>
      <c r="E92" s="148"/>
      <c r="F92" s="149"/>
      <c r="G92" s="156"/>
      <c r="H92" s="156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26" ht="18.75">
      <c r="A93" s="149"/>
      <c r="B93" s="146"/>
      <c r="C93" s="147"/>
      <c r="D93" s="148"/>
      <c r="E93" s="148"/>
      <c r="F93" s="149"/>
      <c r="G93" s="158"/>
      <c r="H93" s="158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</row>
    <row r="94" spans="1:26" ht="18.75">
      <c r="A94" s="149"/>
      <c r="B94" s="146"/>
      <c r="C94" s="147"/>
      <c r="D94" s="148"/>
      <c r="E94" s="148"/>
      <c r="F94" s="149"/>
      <c r="G94" s="156"/>
      <c r="H94" s="156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</row>
    <row r="95" spans="1:26" ht="18.75">
      <c r="A95" s="149"/>
      <c r="B95" s="146"/>
      <c r="C95" s="147"/>
      <c r="D95" s="148"/>
      <c r="E95" s="148"/>
      <c r="F95" s="149"/>
      <c r="G95" s="158"/>
      <c r="H95" s="158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</row>
    <row r="96" spans="1:26" ht="18.75">
      <c r="A96" s="149"/>
      <c r="B96" s="146"/>
      <c r="C96" s="147"/>
      <c r="D96" s="148"/>
      <c r="E96" s="148"/>
      <c r="F96" s="149"/>
      <c r="G96" s="156"/>
      <c r="H96" s="156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</row>
    <row r="97" spans="1:26" ht="18.75">
      <c r="A97" s="149"/>
      <c r="B97" s="146"/>
      <c r="C97" s="147"/>
      <c r="D97" s="148"/>
      <c r="E97" s="148"/>
      <c r="F97" s="149"/>
      <c r="G97" s="158"/>
      <c r="H97" s="158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</row>
    <row r="98" spans="1:26" ht="18.75">
      <c r="A98" s="149"/>
      <c r="B98" s="146"/>
      <c r="C98" s="147"/>
      <c r="D98" s="148"/>
      <c r="E98" s="148"/>
      <c r="F98" s="149"/>
      <c r="G98" s="156"/>
      <c r="H98" s="156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</row>
    <row r="99" spans="1:26" ht="18.75">
      <c r="A99" s="149"/>
      <c r="B99" s="146"/>
      <c r="C99" s="147"/>
      <c r="D99" s="148"/>
      <c r="E99" s="148"/>
      <c r="F99" s="149"/>
      <c r="G99" s="158"/>
      <c r="H99" s="158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</row>
    <row r="100" spans="1:26" ht="18.75">
      <c r="A100" s="149"/>
      <c r="B100" s="146"/>
      <c r="C100" s="147"/>
      <c r="D100" s="148"/>
      <c r="E100" s="148"/>
      <c r="F100" s="149"/>
      <c r="G100" s="156"/>
      <c r="H100" s="156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</row>
    <row r="101" spans="1:26" ht="18.75">
      <c r="A101" s="149"/>
      <c r="B101" s="146"/>
      <c r="C101" s="147"/>
      <c r="D101" s="148"/>
      <c r="E101" s="148"/>
      <c r="F101" s="149"/>
      <c r="G101" s="158"/>
      <c r="H101" s="158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</row>
    <row r="102" spans="1:26" ht="18.75">
      <c r="A102" s="149"/>
      <c r="B102" s="146"/>
      <c r="C102" s="147"/>
      <c r="D102" s="148"/>
      <c r="E102" s="148"/>
      <c r="F102" s="149"/>
      <c r="G102" s="156"/>
      <c r="H102" s="156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</row>
    <row r="103" spans="1:26" ht="18.75">
      <c r="A103" s="149"/>
      <c r="B103" s="146"/>
      <c r="C103" s="147"/>
      <c r="D103" s="148"/>
      <c r="E103" s="148"/>
      <c r="F103" s="149"/>
      <c r="G103" s="158"/>
      <c r="H103" s="158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</row>
    <row r="104" spans="1:26" ht="18.75">
      <c r="A104" s="149"/>
      <c r="B104" s="146"/>
      <c r="C104" s="147"/>
      <c r="D104" s="148"/>
      <c r="E104" s="148"/>
      <c r="F104" s="149"/>
      <c r="G104" s="156"/>
      <c r="H104" s="156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</row>
    <row r="105" spans="1:26" ht="18.75">
      <c r="A105" s="149"/>
      <c r="B105" s="146"/>
      <c r="C105" s="147"/>
      <c r="D105" s="148"/>
      <c r="E105" s="148"/>
      <c r="F105" s="149"/>
      <c r="G105" s="158"/>
      <c r="H105" s="158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</row>
    <row r="106" spans="1:26" ht="18.75">
      <c r="A106" s="149"/>
      <c r="B106" s="146"/>
      <c r="C106" s="147"/>
      <c r="D106" s="148"/>
      <c r="E106" s="148"/>
      <c r="F106" s="149"/>
      <c r="G106" s="156"/>
      <c r="H106" s="156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ht="18.75">
      <c r="A107" s="149"/>
      <c r="B107" s="146"/>
      <c r="C107" s="147"/>
      <c r="D107" s="148"/>
      <c r="E107" s="148"/>
      <c r="F107" s="149"/>
      <c r="G107" s="158"/>
      <c r="H107" s="158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</row>
    <row r="108" spans="1:26" ht="18.75">
      <c r="A108" s="149"/>
      <c r="B108" s="146"/>
      <c r="C108" s="147"/>
      <c r="D108" s="148"/>
      <c r="E108" s="148"/>
      <c r="F108" s="149"/>
      <c r="G108" s="156"/>
      <c r="H108" s="156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</row>
    <row r="109" spans="1:26" ht="18.75">
      <c r="A109" s="149"/>
      <c r="B109" s="146"/>
      <c r="C109" s="147"/>
      <c r="D109" s="148"/>
      <c r="E109" s="148"/>
      <c r="F109" s="149"/>
      <c r="G109" s="158"/>
      <c r="H109" s="158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</row>
    <row r="110" spans="1:26" ht="18.75">
      <c r="A110" s="149"/>
      <c r="B110" s="146"/>
      <c r="C110" s="147"/>
      <c r="D110" s="148"/>
      <c r="E110" s="148"/>
      <c r="F110" s="149"/>
      <c r="G110" s="156"/>
      <c r="H110" s="156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</row>
    <row r="111" spans="1:26" ht="18.75">
      <c r="A111" s="149"/>
      <c r="B111" s="146"/>
      <c r="C111" s="147"/>
      <c r="D111" s="148"/>
      <c r="E111" s="148"/>
      <c r="F111" s="149"/>
      <c r="G111" s="158"/>
      <c r="H111" s="158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</row>
    <row r="112" spans="1:26" ht="18.75">
      <c r="A112" s="149"/>
      <c r="B112" s="146"/>
      <c r="C112" s="147"/>
      <c r="D112" s="148"/>
      <c r="E112" s="148"/>
      <c r="F112" s="149"/>
      <c r="G112" s="156"/>
      <c r="H112" s="156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</row>
    <row r="113" spans="1:26" ht="18.75">
      <c r="A113" s="149"/>
      <c r="B113" s="146"/>
      <c r="C113" s="147"/>
      <c r="D113" s="148"/>
      <c r="E113" s="148"/>
      <c r="F113" s="149"/>
      <c r="G113" s="158"/>
      <c r="H113" s="158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</row>
    <row r="114" spans="1:26" ht="18.75">
      <c r="A114" s="149"/>
      <c r="B114" s="146"/>
      <c r="C114" s="147"/>
      <c r="D114" s="148"/>
      <c r="E114" s="148"/>
      <c r="F114" s="149"/>
      <c r="G114" s="156"/>
      <c r="H114" s="156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</row>
    <row r="115" spans="1:26" ht="18.75">
      <c r="A115" s="149"/>
      <c r="B115" s="146"/>
      <c r="C115" s="147"/>
      <c r="D115" s="148"/>
      <c r="E115" s="148"/>
      <c r="F115" s="149"/>
      <c r="G115" s="158"/>
      <c r="H115" s="158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</row>
    <row r="116" spans="1:26" ht="18.75">
      <c r="A116" s="149"/>
      <c r="B116" s="146"/>
      <c r="C116" s="147"/>
      <c r="D116" s="148"/>
      <c r="E116" s="148"/>
      <c r="F116" s="149"/>
      <c r="G116" s="156"/>
      <c r="H116" s="156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</row>
    <row r="117" spans="1:26" ht="18.75">
      <c r="A117" s="149"/>
      <c r="B117" s="146"/>
      <c r="C117" s="147"/>
      <c r="D117" s="148"/>
      <c r="E117" s="148"/>
      <c r="F117" s="149"/>
      <c r="G117" s="158"/>
      <c r="H117" s="158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</row>
    <row r="118" spans="1:26" ht="18.75">
      <c r="A118" s="149"/>
      <c r="B118" s="146"/>
      <c r="C118" s="147"/>
      <c r="D118" s="148"/>
      <c r="E118" s="148"/>
      <c r="F118" s="149"/>
      <c r="G118" s="156"/>
      <c r="H118" s="156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</row>
    <row r="119" spans="1:26" ht="18.75">
      <c r="A119" s="149"/>
      <c r="B119" s="146"/>
      <c r="C119" s="147"/>
      <c r="D119" s="148"/>
      <c r="E119" s="148"/>
      <c r="F119" s="149"/>
      <c r="G119" s="158"/>
      <c r="H119" s="158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</row>
    <row r="120" spans="1:26" ht="18.75">
      <c r="A120" s="149"/>
      <c r="B120" s="146"/>
      <c r="C120" s="147"/>
      <c r="D120" s="148"/>
      <c r="E120" s="148"/>
      <c r="F120" s="149"/>
      <c r="G120" s="156"/>
      <c r="H120" s="156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ht="18.75">
      <c r="A121" s="149"/>
      <c r="B121" s="146"/>
      <c r="C121" s="147"/>
      <c r="D121" s="148"/>
      <c r="E121" s="148"/>
      <c r="F121" s="149"/>
      <c r="G121" s="158"/>
      <c r="H121" s="158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</row>
    <row r="122" spans="1:26" ht="18.75">
      <c r="A122" s="149"/>
      <c r="B122" s="146"/>
      <c r="C122" s="147"/>
      <c r="D122" s="148"/>
      <c r="E122" s="148"/>
      <c r="F122" s="149"/>
      <c r="G122" s="156"/>
      <c r="H122" s="156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</row>
    <row r="123" spans="1:26" ht="18.75">
      <c r="A123" s="149"/>
      <c r="B123" s="146"/>
      <c r="C123" s="147"/>
      <c r="D123" s="148"/>
      <c r="E123" s="148"/>
      <c r="F123" s="149"/>
      <c r="G123" s="158"/>
      <c r="H123" s="158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</row>
    <row r="124" spans="1:26" ht="18.75">
      <c r="A124" s="149"/>
      <c r="B124" s="146"/>
      <c r="C124" s="147"/>
      <c r="D124" s="148"/>
      <c r="E124" s="148"/>
      <c r="F124" s="149"/>
      <c r="G124" s="156"/>
      <c r="H124" s="156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</row>
    <row r="125" spans="1:26" ht="18.75">
      <c r="A125" s="149"/>
      <c r="B125" s="146"/>
      <c r="C125" s="147"/>
      <c r="D125" s="148"/>
      <c r="E125" s="148"/>
      <c r="F125" s="149"/>
      <c r="G125" s="158"/>
      <c r="H125" s="158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</row>
    <row r="126" spans="1:26" ht="18.75">
      <c r="A126" s="149"/>
      <c r="B126" s="146"/>
      <c r="C126" s="147"/>
      <c r="D126" s="148"/>
      <c r="E126" s="148"/>
      <c r="F126" s="149"/>
      <c r="G126" s="156"/>
      <c r="H126" s="156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</row>
    <row r="127" spans="1:26" ht="18.75">
      <c r="A127" s="149"/>
      <c r="B127" s="146"/>
      <c r="C127" s="147"/>
      <c r="D127" s="148"/>
      <c r="E127" s="148"/>
      <c r="F127" s="149"/>
      <c r="G127" s="158"/>
      <c r="H127" s="158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</row>
    <row r="128" spans="1:26" ht="18.75">
      <c r="A128" s="149"/>
      <c r="B128" s="146"/>
      <c r="C128" s="147"/>
      <c r="D128" s="148"/>
      <c r="E128" s="148"/>
      <c r="F128" s="149"/>
      <c r="G128" s="156"/>
      <c r="H128" s="156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</row>
    <row r="129" spans="1:26" ht="18.75">
      <c r="A129" s="149"/>
      <c r="B129" s="146"/>
      <c r="C129" s="147"/>
      <c r="D129" s="148"/>
      <c r="E129" s="148"/>
      <c r="F129" s="149"/>
      <c r="G129" s="158"/>
      <c r="H129" s="158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</row>
    <row r="130" spans="1:26" ht="18.75">
      <c r="A130" s="149"/>
      <c r="B130" s="146"/>
      <c r="C130" s="147"/>
      <c r="D130" s="148"/>
      <c r="E130" s="148"/>
      <c r="F130" s="149"/>
      <c r="G130" s="156"/>
      <c r="H130" s="156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</row>
    <row r="131" spans="1:26" ht="18.75">
      <c r="A131" s="149"/>
      <c r="B131" s="146"/>
      <c r="C131" s="147"/>
      <c r="D131" s="148"/>
      <c r="E131" s="148"/>
      <c r="F131" s="149"/>
      <c r="G131" s="158"/>
      <c r="H131" s="158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</row>
    <row r="132" spans="1:26" ht="18.75">
      <c r="A132" s="149"/>
      <c r="B132" s="146"/>
      <c r="C132" s="147"/>
      <c r="D132" s="148"/>
      <c r="E132" s="148"/>
      <c r="F132" s="149"/>
      <c r="G132" s="156"/>
      <c r="H132" s="156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</row>
    <row r="133" spans="1:26" ht="18.75">
      <c r="A133" s="149"/>
      <c r="B133" s="146"/>
      <c r="C133" s="147"/>
      <c r="D133" s="148"/>
      <c r="E133" s="148"/>
      <c r="F133" s="149"/>
      <c r="G133" s="158"/>
      <c r="H133" s="158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</row>
    <row r="134" spans="1:26" ht="18.75">
      <c r="A134" s="149"/>
      <c r="B134" s="146"/>
      <c r="C134" s="147"/>
      <c r="D134" s="148"/>
      <c r="E134" s="148"/>
      <c r="F134" s="149"/>
      <c r="G134" s="156"/>
      <c r="H134" s="156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</row>
    <row r="135" spans="1:26" ht="18.75">
      <c r="A135" s="149"/>
      <c r="B135" s="146"/>
      <c r="C135" s="147"/>
      <c r="D135" s="148"/>
      <c r="E135" s="148"/>
      <c r="F135" s="149"/>
      <c r="G135" s="158"/>
      <c r="H135" s="158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</row>
    <row r="136" spans="1:26" ht="18.75">
      <c r="A136" s="149"/>
      <c r="B136" s="146"/>
      <c r="C136" s="147"/>
      <c r="D136" s="148"/>
      <c r="E136" s="148"/>
      <c r="F136" s="149"/>
      <c r="G136" s="156"/>
      <c r="H136" s="156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</row>
    <row r="137" spans="1:26" ht="18.75">
      <c r="A137" s="149"/>
      <c r="B137" s="146"/>
      <c r="C137" s="147"/>
      <c r="D137" s="148"/>
      <c r="E137" s="148"/>
      <c r="F137" s="149"/>
      <c r="G137" s="158"/>
      <c r="H137" s="158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</row>
    <row r="138" spans="1:26" ht="18.75">
      <c r="A138" s="149"/>
      <c r="B138" s="146"/>
      <c r="C138" s="147"/>
      <c r="D138" s="148"/>
      <c r="E138" s="148"/>
      <c r="F138" s="149"/>
      <c r="G138" s="156"/>
      <c r="H138" s="156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</row>
    <row r="139" spans="1:26" ht="18.75">
      <c r="A139" s="149"/>
      <c r="B139" s="146"/>
      <c r="C139" s="147"/>
      <c r="D139" s="148"/>
      <c r="E139" s="148"/>
      <c r="F139" s="149"/>
      <c r="G139" s="158"/>
      <c r="H139" s="158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</row>
    <row r="140" spans="1:26" ht="18.75">
      <c r="A140" s="149"/>
      <c r="B140" s="146"/>
      <c r="C140" s="147"/>
      <c r="D140" s="148"/>
      <c r="E140" s="148"/>
      <c r="F140" s="149"/>
      <c r="G140" s="156"/>
      <c r="H140" s="156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</row>
    <row r="141" spans="1:26" ht="18.75">
      <c r="A141" s="149"/>
      <c r="B141" s="146"/>
      <c r="C141" s="147"/>
      <c r="D141" s="148"/>
      <c r="E141" s="148"/>
      <c r="F141" s="149"/>
      <c r="G141" s="158"/>
      <c r="H141" s="158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</row>
    <row r="142" spans="1:26" ht="18.75">
      <c r="A142" s="149"/>
      <c r="B142" s="146"/>
      <c r="C142" s="147"/>
      <c r="D142" s="148"/>
      <c r="E142" s="148"/>
      <c r="F142" s="149"/>
      <c r="G142" s="156"/>
      <c r="H142" s="156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</row>
    <row r="143" spans="1:26" ht="18.75">
      <c r="A143" s="149"/>
      <c r="B143" s="146"/>
      <c r="C143" s="147"/>
      <c r="D143" s="148"/>
      <c r="E143" s="148"/>
      <c r="F143" s="149"/>
      <c r="G143" s="158"/>
      <c r="H143" s="158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</row>
    <row r="144" spans="1:26" ht="18.75">
      <c r="A144" s="149"/>
      <c r="B144" s="146"/>
      <c r="C144" s="147"/>
      <c r="D144" s="148"/>
      <c r="E144" s="148"/>
      <c r="F144" s="149"/>
      <c r="G144" s="156"/>
      <c r="H144" s="156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</row>
    <row r="145" spans="1:26" ht="18.75">
      <c r="A145" s="149"/>
      <c r="B145" s="146"/>
      <c r="C145" s="147"/>
      <c r="D145" s="148"/>
      <c r="E145" s="148"/>
      <c r="F145" s="149"/>
      <c r="G145" s="158"/>
      <c r="H145" s="158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</row>
    <row r="146" spans="1:26" ht="18.75">
      <c r="A146" s="149"/>
      <c r="B146" s="146"/>
      <c r="C146" s="147"/>
      <c r="D146" s="148"/>
      <c r="E146" s="148"/>
      <c r="F146" s="149"/>
      <c r="G146" s="156"/>
      <c r="H146" s="156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</row>
    <row r="147" spans="1:26" ht="18.75">
      <c r="A147" s="149"/>
      <c r="B147" s="146"/>
      <c r="C147" s="147"/>
      <c r="D147" s="148"/>
      <c r="E147" s="148"/>
      <c r="F147" s="149"/>
      <c r="G147" s="158"/>
      <c r="H147" s="158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</row>
    <row r="148" spans="1:26" ht="18.75">
      <c r="A148" s="149"/>
      <c r="B148" s="146"/>
      <c r="C148" s="147"/>
      <c r="D148" s="148"/>
      <c r="E148" s="148"/>
      <c r="F148" s="149"/>
      <c r="G148" s="156"/>
      <c r="H148" s="156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</row>
    <row r="149" spans="1:26" ht="18.75">
      <c r="A149" s="149"/>
      <c r="B149" s="146"/>
      <c r="C149" s="147"/>
      <c r="D149" s="148"/>
      <c r="E149" s="148"/>
      <c r="F149" s="149"/>
      <c r="G149" s="158"/>
      <c r="H149" s="158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</row>
    <row r="150" spans="1:26" ht="18.75">
      <c r="A150" s="149"/>
      <c r="B150" s="146"/>
      <c r="C150" s="147"/>
      <c r="D150" s="148"/>
      <c r="E150" s="148"/>
      <c r="F150" s="149"/>
      <c r="G150" s="156"/>
      <c r="H150" s="156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</row>
    <row r="151" spans="1:26" ht="18.75">
      <c r="A151" s="149"/>
      <c r="B151" s="146"/>
      <c r="C151" s="147"/>
      <c r="D151" s="148"/>
      <c r="E151" s="148"/>
      <c r="F151" s="149"/>
      <c r="G151" s="158"/>
      <c r="H151" s="158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</row>
    <row r="152" spans="1:26" ht="18.75">
      <c r="A152" s="149"/>
      <c r="B152" s="146"/>
      <c r="C152" s="147"/>
      <c r="D152" s="148"/>
      <c r="E152" s="148"/>
      <c r="F152" s="149"/>
      <c r="G152" s="156"/>
      <c r="H152" s="156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</row>
    <row r="153" spans="1:26" ht="18.75">
      <c r="A153" s="149"/>
      <c r="B153" s="146"/>
      <c r="C153" s="147"/>
      <c r="D153" s="148"/>
      <c r="E153" s="148"/>
      <c r="F153" s="149"/>
      <c r="G153" s="158"/>
      <c r="H153" s="158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</row>
    <row r="154" spans="1:26" ht="18.75">
      <c r="A154" s="149"/>
      <c r="B154" s="146"/>
      <c r="C154" s="147"/>
      <c r="D154" s="148"/>
      <c r="E154" s="148"/>
      <c r="F154" s="149"/>
      <c r="G154" s="156"/>
      <c r="H154" s="156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</row>
    <row r="155" spans="1:26" ht="18.75">
      <c r="A155" s="149"/>
      <c r="B155" s="146"/>
      <c r="C155" s="147"/>
      <c r="D155" s="148"/>
      <c r="E155" s="148"/>
      <c r="F155" s="149"/>
      <c r="G155" s="158"/>
      <c r="H155" s="158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</row>
    <row r="156" spans="1:26" ht="18.75">
      <c r="A156" s="149"/>
      <c r="B156" s="146"/>
      <c r="C156" s="147"/>
      <c r="D156" s="148"/>
      <c r="E156" s="148"/>
      <c r="F156" s="149"/>
      <c r="G156" s="156"/>
      <c r="H156" s="156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</row>
    <row r="157" spans="1:26" ht="18.75">
      <c r="A157" s="149"/>
      <c r="B157" s="146"/>
      <c r="C157" s="147"/>
      <c r="D157" s="148"/>
      <c r="E157" s="148"/>
      <c r="F157" s="149"/>
      <c r="G157" s="158"/>
      <c r="H157" s="158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</row>
    <row r="158" spans="1:26" ht="18.75">
      <c r="A158" s="149"/>
      <c r="B158" s="146"/>
      <c r="C158" s="147"/>
      <c r="D158" s="148"/>
      <c r="E158" s="148"/>
      <c r="F158" s="149"/>
      <c r="G158" s="156"/>
      <c r="H158" s="156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</row>
    <row r="159" spans="1:26" ht="18.75">
      <c r="A159" s="149"/>
      <c r="B159" s="146"/>
      <c r="C159" s="147"/>
      <c r="D159" s="148"/>
      <c r="E159" s="148"/>
      <c r="F159" s="149"/>
      <c r="G159" s="158"/>
      <c r="H159" s="158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</row>
    <row r="160" spans="1:26" ht="18.75">
      <c r="A160" s="149"/>
      <c r="B160" s="146"/>
      <c r="C160" s="147"/>
      <c r="D160" s="148"/>
      <c r="E160" s="148"/>
      <c r="F160" s="149"/>
      <c r="G160" s="156"/>
      <c r="H160" s="156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</row>
    <row r="161" spans="1:26" ht="18.75">
      <c r="A161" s="149"/>
      <c r="B161" s="146"/>
      <c r="C161" s="147"/>
      <c r="D161" s="148"/>
      <c r="E161" s="148"/>
      <c r="F161" s="149"/>
      <c r="G161" s="158"/>
      <c r="H161" s="158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</row>
    <row r="162" spans="1:26" ht="18.75">
      <c r="A162" s="149"/>
      <c r="B162" s="146"/>
      <c r="C162" s="147"/>
      <c r="D162" s="148"/>
      <c r="E162" s="148"/>
      <c r="F162" s="149"/>
      <c r="G162" s="156"/>
      <c r="H162" s="156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</row>
    <row r="163" spans="1:26" ht="18.75">
      <c r="A163" s="149"/>
      <c r="B163" s="146"/>
      <c r="C163" s="147"/>
      <c r="D163" s="148"/>
      <c r="E163" s="148"/>
      <c r="F163" s="149"/>
      <c r="G163" s="158"/>
      <c r="H163" s="158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</row>
    <row r="164" spans="1:26" ht="18.75">
      <c r="A164" s="149"/>
      <c r="B164" s="146"/>
      <c r="C164" s="147"/>
      <c r="D164" s="148"/>
      <c r="E164" s="148"/>
      <c r="F164" s="149"/>
      <c r="G164" s="156"/>
      <c r="H164" s="156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</row>
    <row r="165" spans="1:26" ht="18.75">
      <c r="A165" s="149"/>
      <c r="B165" s="146"/>
      <c r="C165" s="147"/>
      <c r="D165" s="148"/>
      <c r="E165" s="148"/>
      <c r="F165" s="149"/>
      <c r="G165" s="158"/>
      <c r="H165" s="158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</row>
    <row r="166" spans="1:26" ht="18.75">
      <c r="A166" s="149"/>
      <c r="B166" s="146"/>
      <c r="C166" s="147"/>
      <c r="D166" s="148"/>
      <c r="E166" s="148"/>
      <c r="F166" s="149"/>
      <c r="G166" s="156"/>
      <c r="H166" s="156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</row>
    <row r="167" spans="1:26" ht="18.75">
      <c r="A167" s="149"/>
      <c r="B167" s="146"/>
      <c r="C167" s="147"/>
      <c r="D167" s="148"/>
      <c r="E167" s="148"/>
      <c r="F167" s="149"/>
      <c r="G167" s="158"/>
      <c r="H167" s="158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</row>
    <row r="168" spans="1:26" ht="18.75">
      <c r="A168" s="149"/>
      <c r="B168" s="146"/>
      <c r="C168" s="147"/>
      <c r="D168" s="148"/>
      <c r="E168" s="148"/>
      <c r="F168" s="149"/>
      <c r="G168" s="156"/>
      <c r="H168" s="156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</row>
    <row r="169" spans="1:26" ht="18.75">
      <c r="A169" s="149"/>
      <c r="B169" s="146"/>
      <c r="C169" s="147"/>
      <c r="D169" s="148"/>
      <c r="E169" s="148"/>
      <c r="F169" s="149"/>
      <c r="G169" s="158"/>
      <c r="H169" s="158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</row>
    <row r="170" spans="1:26" ht="18.75">
      <c r="A170" s="149"/>
      <c r="B170" s="146"/>
      <c r="C170" s="147"/>
      <c r="D170" s="148"/>
      <c r="E170" s="148"/>
      <c r="F170" s="149"/>
      <c r="G170" s="156"/>
      <c r="H170" s="156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</row>
    <row r="171" spans="1:26" ht="18.75">
      <c r="A171" s="149"/>
      <c r="B171" s="146"/>
      <c r="C171" s="147"/>
      <c r="D171" s="148"/>
      <c r="E171" s="148"/>
      <c r="F171" s="149"/>
      <c r="G171" s="158"/>
      <c r="H171" s="158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</row>
    <row r="172" spans="1:26" ht="18.75">
      <c r="A172" s="149"/>
      <c r="B172" s="146"/>
      <c r="C172" s="147"/>
      <c r="D172" s="148"/>
      <c r="E172" s="148"/>
      <c r="F172" s="149"/>
      <c r="G172" s="156"/>
      <c r="H172" s="156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</row>
    <row r="173" spans="1:26" ht="18.75">
      <c r="A173" s="149"/>
      <c r="B173" s="146"/>
      <c r="C173" s="147"/>
      <c r="D173" s="148"/>
      <c r="E173" s="148"/>
      <c r="F173" s="149"/>
      <c r="G173" s="158"/>
      <c r="H173" s="158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</row>
    <row r="174" spans="1:26" ht="18.75">
      <c r="A174" s="149"/>
      <c r="B174" s="146"/>
      <c r="C174" s="147"/>
      <c r="D174" s="148"/>
      <c r="E174" s="148"/>
      <c r="F174" s="149"/>
      <c r="G174" s="156"/>
      <c r="H174" s="156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</row>
    <row r="175" spans="1:26" ht="18.75">
      <c r="A175" s="149"/>
      <c r="B175" s="146"/>
      <c r="C175" s="147"/>
      <c r="D175" s="148"/>
      <c r="E175" s="148"/>
      <c r="F175" s="149"/>
      <c r="G175" s="158"/>
      <c r="H175" s="158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</row>
    <row r="176" spans="1:26" ht="18.75">
      <c r="A176" s="149"/>
      <c r="B176" s="146"/>
      <c r="C176" s="147"/>
      <c r="D176" s="148"/>
      <c r="E176" s="148"/>
      <c r="F176" s="149"/>
      <c r="G176" s="156"/>
      <c r="H176" s="156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</row>
    <row r="177" spans="1:26" ht="18.75">
      <c r="A177" s="149"/>
      <c r="B177" s="146"/>
      <c r="C177" s="147"/>
      <c r="D177" s="148"/>
      <c r="E177" s="148"/>
      <c r="F177" s="149"/>
      <c r="G177" s="158"/>
      <c r="H177" s="158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</row>
    <row r="178" spans="1:26" ht="18.75">
      <c r="A178" s="149"/>
      <c r="B178" s="146"/>
      <c r="C178" s="147"/>
      <c r="D178" s="148"/>
      <c r="E178" s="148"/>
      <c r="F178" s="149"/>
      <c r="G178" s="156"/>
      <c r="H178" s="156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</row>
    <row r="179" spans="1:26" ht="18.75">
      <c r="A179" s="149"/>
      <c r="B179" s="146"/>
      <c r="C179" s="147"/>
      <c r="D179" s="148"/>
      <c r="E179" s="148"/>
      <c r="F179" s="149"/>
      <c r="G179" s="158"/>
      <c r="H179" s="158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</row>
    <row r="180" spans="1:26" ht="18.75">
      <c r="A180" s="149"/>
      <c r="B180" s="146"/>
      <c r="C180" s="147"/>
      <c r="D180" s="148"/>
      <c r="E180" s="148"/>
      <c r="F180" s="149"/>
      <c r="G180" s="156"/>
      <c r="H180" s="156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</row>
    <row r="181" spans="1:26" ht="18.75">
      <c r="A181" s="149"/>
      <c r="B181" s="146"/>
      <c r="C181" s="147"/>
      <c r="D181" s="148"/>
      <c r="E181" s="148"/>
      <c r="F181" s="149"/>
      <c r="G181" s="158"/>
      <c r="H181" s="158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</row>
    <row r="182" spans="1:26" ht="18.75">
      <c r="A182" s="149"/>
      <c r="B182" s="146"/>
      <c r="C182" s="147"/>
      <c r="D182" s="148"/>
      <c r="E182" s="148"/>
      <c r="F182" s="149"/>
      <c r="G182" s="156"/>
      <c r="H182" s="156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</row>
    <row r="183" spans="1:26" ht="18.75">
      <c r="A183" s="149"/>
      <c r="B183" s="146"/>
      <c r="C183" s="147"/>
      <c r="D183" s="148"/>
      <c r="E183" s="148"/>
      <c r="F183" s="149"/>
      <c r="G183" s="158"/>
      <c r="H183" s="158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</row>
    <row r="184" spans="1:26" ht="18.75">
      <c r="A184" s="149"/>
      <c r="B184" s="146"/>
      <c r="C184" s="147"/>
      <c r="D184" s="148"/>
      <c r="E184" s="148"/>
      <c r="F184" s="149"/>
      <c r="G184" s="156"/>
      <c r="H184" s="156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</row>
    <row r="185" spans="1:26" ht="18.75">
      <c r="A185" s="149"/>
      <c r="B185" s="146"/>
      <c r="C185" s="147"/>
      <c r="D185" s="148"/>
      <c r="E185" s="148"/>
      <c r="F185" s="149"/>
      <c r="G185" s="158"/>
      <c r="H185" s="158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</row>
    <row r="186" spans="1:26" ht="18.75">
      <c r="A186" s="149"/>
      <c r="B186" s="146"/>
      <c r="C186" s="147"/>
      <c r="D186" s="148"/>
      <c r="E186" s="148"/>
      <c r="F186" s="149"/>
      <c r="G186" s="156"/>
      <c r="H186" s="156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</row>
    <row r="187" spans="1:26" ht="18.75">
      <c r="A187" s="149"/>
      <c r="B187" s="146"/>
      <c r="C187" s="147"/>
      <c r="D187" s="148"/>
      <c r="E187" s="148"/>
      <c r="F187" s="149"/>
      <c r="G187" s="158"/>
      <c r="H187" s="158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</row>
    <row r="188" spans="1:26" ht="18.75">
      <c r="A188" s="149"/>
      <c r="B188" s="146"/>
      <c r="C188" s="147"/>
      <c r="D188" s="148"/>
      <c r="E188" s="148"/>
      <c r="F188" s="149"/>
      <c r="G188" s="156"/>
      <c r="H188" s="156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</row>
    <row r="189" spans="1:26" ht="18.75">
      <c r="A189" s="149"/>
      <c r="B189" s="146"/>
      <c r="C189" s="147"/>
      <c r="D189" s="148"/>
      <c r="E189" s="148"/>
      <c r="F189" s="149"/>
      <c r="G189" s="158"/>
      <c r="H189" s="158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</row>
    <row r="190" spans="1:26" ht="18.75">
      <c r="A190" s="149"/>
      <c r="B190" s="146"/>
      <c r="C190" s="147"/>
      <c r="D190" s="148"/>
      <c r="E190" s="148"/>
      <c r="F190" s="149"/>
      <c r="G190" s="156"/>
      <c r="H190" s="156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</row>
    <row r="191" spans="1:26" ht="18.75">
      <c r="A191" s="149"/>
      <c r="B191" s="146"/>
      <c r="C191" s="147"/>
      <c r="D191" s="148"/>
      <c r="E191" s="148"/>
      <c r="F191" s="149"/>
      <c r="G191" s="158"/>
      <c r="H191" s="158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</row>
    <row r="192" spans="1:26" ht="18.75">
      <c r="A192" s="149"/>
      <c r="B192" s="146"/>
      <c r="C192" s="147"/>
      <c r="D192" s="148"/>
      <c r="E192" s="148"/>
      <c r="F192" s="149"/>
      <c r="G192" s="156"/>
      <c r="H192" s="156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</row>
    <row r="193" spans="1:26" ht="18.75">
      <c r="A193" s="149"/>
      <c r="B193" s="146"/>
      <c r="C193" s="147"/>
      <c r="D193" s="148"/>
      <c r="E193" s="148"/>
      <c r="F193" s="149"/>
      <c r="G193" s="158"/>
      <c r="H193" s="158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</row>
    <row r="194" spans="1:26" ht="18.75">
      <c r="A194" s="149"/>
      <c r="B194" s="146"/>
      <c r="C194" s="147"/>
      <c r="D194" s="148"/>
      <c r="E194" s="148"/>
      <c r="F194" s="149"/>
      <c r="G194" s="156"/>
      <c r="H194" s="156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</row>
    <row r="195" spans="1:26" ht="18.75">
      <c r="A195" s="149"/>
      <c r="B195" s="146"/>
      <c r="C195" s="147"/>
      <c r="D195" s="148"/>
      <c r="E195" s="148"/>
      <c r="F195" s="149"/>
      <c r="G195" s="158"/>
      <c r="H195" s="158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</row>
    <row r="196" spans="1:26" ht="18.75">
      <c r="A196" s="149"/>
      <c r="B196" s="146"/>
      <c r="C196" s="147"/>
      <c r="D196" s="148"/>
      <c r="E196" s="148"/>
      <c r="F196" s="149"/>
      <c r="G196" s="156"/>
      <c r="H196" s="156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</row>
    <row r="197" spans="1:26" ht="18.75">
      <c r="A197" s="149"/>
      <c r="B197" s="146"/>
      <c r="C197" s="147"/>
      <c r="D197" s="148"/>
      <c r="E197" s="148"/>
      <c r="F197" s="149"/>
      <c r="G197" s="158"/>
      <c r="H197" s="158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</row>
    <row r="198" spans="1:26" ht="18.75">
      <c r="A198" s="149"/>
      <c r="B198" s="146"/>
      <c r="C198" s="147"/>
      <c r="D198" s="148"/>
      <c r="E198" s="148"/>
      <c r="F198" s="149"/>
      <c r="G198" s="156"/>
      <c r="H198" s="156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</row>
    <row r="199" spans="1:26" ht="18.75">
      <c r="A199" s="149"/>
      <c r="B199" s="146"/>
      <c r="C199" s="147"/>
      <c r="D199" s="148"/>
      <c r="E199" s="148"/>
      <c r="F199" s="149"/>
      <c r="G199" s="158"/>
      <c r="H199" s="158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</row>
    <row r="200" spans="1:26" ht="18.75">
      <c r="A200" s="149"/>
      <c r="B200" s="146"/>
      <c r="C200" s="147"/>
      <c r="D200" s="148"/>
      <c r="E200" s="148"/>
      <c r="F200" s="149"/>
      <c r="G200" s="156"/>
      <c r="H200" s="156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</row>
    <row r="201" spans="1:26" ht="18.75">
      <c r="A201" s="149"/>
      <c r="B201" s="146"/>
      <c r="C201" s="147"/>
      <c r="D201" s="148"/>
      <c r="E201" s="148"/>
      <c r="F201" s="149"/>
      <c r="G201" s="158"/>
      <c r="H201" s="158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</row>
    <row r="202" spans="1:26" ht="18.75">
      <c r="A202" s="149"/>
      <c r="B202" s="146"/>
      <c r="C202" s="147"/>
      <c r="D202" s="148"/>
      <c r="E202" s="148"/>
      <c r="F202" s="149"/>
      <c r="G202" s="156"/>
      <c r="H202" s="156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</row>
    <row r="203" spans="1:26" ht="18.75">
      <c r="A203" s="149"/>
      <c r="B203" s="146"/>
      <c r="C203" s="147"/>
      <c r="D203" s="148"/>
      <c r="E203" s="148"/>
      <c r="F203" s="149"/>
      <c r="G203" s="158"/>
      <c r="H203" s="158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</row>
    <row r="204" spans="1:26" ht="18.75">
      <c r="A204" s="149"/>
      <c r="B204" s="146"/>
      <c r="C204" s="147"/>
      <c r="D204" s="148"/>
      <c r="E204" s="148"/>
      <c r="F204" s="149"/>
      <c r="G204" s="156"/>
      <c r="H204" s="156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</row>
    <row r="205" spans="1:26" ht="18.75">
      <c r="A205" s="149"/>
      <c r="B205" s="146"/>
      <c r="C205" s="147"/>
      <c r="D205" s="148"/>
      <c r="E205" s="148"/>
      <c r="F205" s="149"/>
      <c r="G205" s="158"/>
      <c r="H205" s="158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</row>
    <row r="206" spans="1:26" ht="18.75">
      <c r="A206" s="149"/>
      <c r="B206" s="146"/>
      <c r="C206" s="147"/>
      <c r="D206" s="148"/>
      <c r="E206" s="148"/>
      <c r="F206" s="149"/>
      <c r="G206" s="156"/>
      <c r="H206" s="156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</row>
    <row r="207" spans="1:26" ht="18.75">
      <c r="A207" s="149"/>
      <c r="B207" s="146"/>
      <c r="C207" s="147"/>
      <c r="D207" s="148"/>
      <c r="E207" s="148"/>
      <c r="F207" s="149"/>
      <c r="G207" s="158"/>
      <c r="H207" s="158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</row>
    <row r="208" spans="1:26" ht="18.75">
      <c r="A208" s="149"/>
      <c r="B208" s="146"/>
      <c r="C208" s="147"/>
      <c r="D208" s="148"/>
      <c r="E208" s="148"/>
      <c r="F208" s="149"/>
      <c r="G208" s="156"/>
      <c r="H208" s="156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</row>
    <row r="209" spans="1:26" ht="18.75">
      <c r="A209" s="149"/>
      <c r="B209" s="146"/>
      <c r="C209" s="147"/>
      <c r="D209" s="148"/>
      <c r="E209" s="148"/>
      <c r="F209" s="149"/>
      <c r="G209" s="158"/>
      <c r="H209" s="158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</row>
    <row r="210" spans="1:26" ht="18.75">
      <c r="A210" s="149"/>
      <c r="B210" s="146"/>
      <c r="C210" s="147"/>
      <c r="D210" s="148"/>
      <c r="E210" s="148"/>
      <c r="F210" s="149"/>
      <c r="G210" s="156"/>
      <c r="H210" s="156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</row>
    <row r="211" spans="1:26" ht="18.75">
      <c r="A211" s="149"/>
      <c r="B211" s="146"/>
      <c r="C211" s="147"/>
      <c r="D211" s="148"/>
      <c r="E211" s="148"/>
      <c r="F211" s="149"/>
      <c r="G211" s="158"/>
      <c r="H211" s="158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</row>
    <row r="212" spans="1:26" ht="18.75">
      <c r="A212" s="149"/>
      <c r="B212" s="146"/>
      <c r="C212" s="147"/>
      <c r="D212" s="148"/>
      <c r="E212" s="148"/>
      <c r="F212" s="149"/>
      <c r="G212" s="156"/>
      <c r="H212" s="156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</row>
    <row r="213" spans="1:26" ht="18.75">
      <c r="A213" s="149"/>
      <c r="B213" s="146"/>
      <c r="C213" s="147"/>
      <c r="D213" s="148"/>
      <c r="E213" s="148"/>
      <c r="F213" s="149"/>
      <c r="G213" s="158"/>
      <c r="H213" s="158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</row>
    <row r="214" spans="1:26" ht="18.75">
      <c r="A214" s="149"/>
      <c r="B214" s="146"/>
      <c r="C214" s="147"/>
      <c r="D214" s="148"/>
      <c r="E214" s="148"/>
      <c r="F214" s="149"/>
      <c r="G214" s="156"/>
      <c r="H214" s="156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</row>
    <row r="215" spans="1:26" ht="18.75">
      <c r="A215" s="149"/>
      <c r="B215" s="146"/>
      <c r="C215" s="147"/>
      <c r="D215" s="148"/>
      <c r="E215" s="148"/>
      <c r="F215" s="149"/>
      <c r="G215" s="158"/>
      <c r="H215" s="158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</row>
    <row r="216" spans="1:26" ht="18.75">
      <c r="A216" s="149"/>
      <c r="B216" s="146"/>
      <c r="C216" s="147"/>
      <c r="D216" s="148"/>
      <c r="E216" s="148"/>
      <c r="F216" s="149"/>
      <c r="G216" s="156"/>
      <c r="H216" s="156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</row>
    <row r="217" spans="1:26" ht="18.75">
      <c r="A217" s="149"/>
      <c r="B217" s="146"/>
      <c r="C217" s="147"/>
      <c r="D217" s="148"/>
      <c r="E217" s="148"/>
      <c r="F217" s="149"/>
      <c r="G217" s="158"/>
      <c r="H217" s="158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</row>
    <row r="218" spans="1:26" ht="18.75">
      <c r="A218" s="149"/>
      <c r="B218" s="146"/>
      <c r="C218" s="147"/>
      <c r="D218" s="148"/>
      <c r="E218" s="148"/>
      <c r="F218" s="149"/>
      <c r="G218" s="156"/>
      <c r="H218" s="156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</row>
    <row r="219" spans="1:26" ht="18.75">
      <c r="A219" s="149"/>
      <c r="B219" s="146"/>
      <c r="C219" s="147"/>
      <c r="D219" s="148"/>
      <c r="E219" s="148"/>
      <c r="F219" s="149"/>
      <c r="G219" s="158"/>
      <c r="H219" s="158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</row>
    <row r="220" spans="1:26" ht="18.75">
      <c r="A220" s="149"/>
      <c r="B220" s="146"/>
      <c r="C220" s="147"/>
      <c r="D220" s="148"/>
      <c r="E220" s="148"/>
      <c r="F220" s="149"/>
      <c r="G220" s="156"/>
      <c r="H220" s="156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</row>
    <row r="221" spans="1:26" ht="18.75">
      <c r="A221" s="149"/>
      <c r="B221" s="146"/>
      <c r="C221" s="147"/>
      <c r="D221" s="148"/>
      <c r="E221" s="148"/>
      <c r="F221" s="149"/>
      <c r="G221" s="158"/>
      <c r="H221" s="158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</row>
    <row r="222" spans="1:26" ht="18.75">
      <c r="A222" s="149"/>
      <c r="B222" s="146"/>
      <c r="C222" s="147"/>
      <c r="D222" s="148"/>
      <c r="E222" s="148"/>
      <c r="F222" s="149"/>
      <c r="G222" s="156"/>
      <c r="H222" s="156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</row>
    <row r="223" spans="1:26" ht="18.75">
      <c r="A223" s="149"/>
      <c r="B223" s="146"/>
      <c r="C223" s="147"/>
      <c r="D223" s="148"/>
      <c r="E223" s="148"/>
      <c r="F223" s="149"/>
      <c r="G223" s="158"/>
      <c r="H223" s="158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</row>
    <row r="224" spans="1:26" ht="18.75">
      <c r="A224" s="149"/>
      <c r="B224" s="146"/>
      <c r="C224" s="147"/>
      <c r="D224" s="148"/>
      <c r="E224" s="148"/>
      <c r="F224" s="149"/>
      <c r="G224" s="156"/>
      <c r="H224" s="156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</row>
    <row r="225" spans="1:26" ht="18.75">
      <c r="A225" s="149"/>
      <c r="B225" s="146"/>
      <c r="C225" s="147"/>
      <c r="D225" s="148"/>
      <c r="E225" s="148"/>
      <c r="F225" s="149"/>
      <c r="G225" s="158"/>
      <c r="H225" s="158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</row>
    <row r="226" spans="1:26" ht="18.75">
      <c r="A226" s="149"/>
      <c r="B226" s="146"/>
      <c r="C226" s="147"/>
      <c r="D226" s="148"/>
      <c r="E226" s="148"/>
      <c r="F226" s="149"/>
      <c r="G226" s="156"/>
      <c r="H226" s="156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</row>
    <row r="227" spans="1:26" ht="18.75">
      <c r="A227" s="149"/>
      <c r="B227" s="146"/>
      <c r="C227" s="147"/>
      <c r="D227" s="148"/>
      <c r="E227" s="148"/>
      <c r="F227" s="149"/>
      <c r="G227" s="158"/>
      <c r="H227" s="158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</row>
    <row r="228" spans="1:26" ht="18.75">
      <c r="A228" s="149"/>
      <c r="B228" s="146"/>
      <c r="C228" s="147"/>
      <c r="D228" s="148"/>
      <c r="E228" s="148"/>
      <c r="F228" s="149"/>
      <c r="G228" s="156"/>
      <c r="H228" s="156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</row>
    <row r="229" spans="1:26" ht="18.75">
      <c r="A229" s="149"/>
      <c r="B229" s="146"/>
      <c r="C229" s="147"/>
      <c r="D229" s="148"/>
      <c r="E229" s="148"/>
      <c r="F229" s="149"/>
      <c r="G229" s="158"/>
      <c r="H229" s="158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</row>
    <row r="230" spans="1:26" ht="18.75">
      <c r="A230" s="149"/>
      <c r="B230" s="146"/>
      <c r="C230" s="147"/>
      <c r="D230" s="148"/>
      <c r="E230" s="148"/>
      <c r="F230" s="149"/>
      <c r="G230" s="156"/>
      <c r="H230" s="156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</row>
    <row r="231" spans="1:26" ht="18.75">
      <c r="A231" s="149"/>
      <c r="B231" s="146"/>
      <c r="C231" s="147"/>
      <c r="D231" s="148"/>
      <c r="E231" s="148"/>
      <c r="F231" s="149"/>
      <c r="G231" s="158"/>
      <c r="H231" s="158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</row>
    <row r="232" spans="1:26" ht="18.75">
      <c r="A232" s="149"/>
      <c r="B232" s="146"/>
      <c r="C232" s="147"/>
      <c r="D232" s="148"/>
      <c r="E232" s="148"/>
      <c r="F232" s="149"/>
      <c r="G232" s="156"/>
      <c r="H232" s="156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</row>
    <row r="233" spans="1:26" ht="18.75">
      <c r="A233" s="149"/>
      <c r="B233" s="146"/>
      <c r="C233" s="147"/>
      <c r="D233" s="148"/>
      <c r="E233" s="148"/>
      <c r="F233" s="149"/>
      <c r="G233" s="158"/>
      <c r="H233" s="158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</row>
    <row r="234" spans="1:26" ht="18.75">
      <c r="A234" s="149"/>
      <c r="B234" s="146"/>
      <c r="C234" s="147"/>
      <c r="D234" s="148"/>
      <c r="E234" s="148"/>
      <c r="F234" s="149"/>
      <c r="G234" s="156"/>
      <c r="H234" s="156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</row>
    <row r="235" spans="1:26" ht="18.75">
      <c r="A235" s="149"/>
      <c r="B235" s="146"/>
      <c r="C235" s="147"/>
      <c r="D235" s="148"/>
      <c r="E235" s="148"/>
      <c r="F235" s="149"/>
      <c r="G235" s="158"/>
      <c r="H235" s="158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</row>
    <row r="236" spans="1:26" ht="18.75">
      <c r="A236" s="149"/>
      <c r="B236" s="146"/>
      <c r="C236" s="147"/>
      <c r="D236" s="148"/>
      <c r="E236" s="148"/>
      <c r="F236" s="149"/>
      <c r="G236" s="156"/>
      <c r="H236" s="156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</row>
    <row r="237" spans="1:26" ht="18.75">
      <c r="A237" s="149"/>
      <c r="B237" s="146"/>
      <c r="C237" s="147"/>
      <c r="D237" s="148"/>
      <c r="E237" s="148"/>
      <c r="F237" s="149"/>
      <c r="G237" s="158"/>
      <c r="H237" s="158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</row>
    <row r="238" spans="1:26" ht="18.75">
      <c r="A238" s="149"/>
      <c r="B238" s="146"/>
      <c r="C238" s="147"/>
      <c r="D238" s="148"/>
      <c r="E238" s="148"/>
      <c r="F238" s="149"/>
      <c r="G238" s="156"/>
      <c r="H238" s="156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</row>
    <row r="239" spans="1:26" ht="18.75">
      <c r="A239" s="149"/>
      <c r="B239" s="146"/>
      <c r="C239" s="147"/>
      <c r="D239" s="148"/>
      <c r="E239" s="148"/>
      <c r="F239" s="149"/>
      <c r="G239" s="158"/>
      <c r="H239" s="158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</row>
    <row r="240" spans="1:26" ht="18.75">
      <c r="A240" s="149"/>
      <c r="B240" s="146"/>
      <c r="C240" s="147"/>
      <c r="D240" s="148"/>
      <c r="E240" s="148"/>
      <c r="F240" s="149"/>
      <c r="G240" s="156"/>
      <c r="H240" s="156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</row>
    <row r="241" spans="1:26" ht="18.75">
      <c r="A241" s="149"/>
      <c r="B241" s="146"/>
      <c r="C241" s="147"/>
      <c r="D241" s="148"/>
      <c r="E241" s="148"/>
      <c r="F241" s="149"/>
      <c r="G241" s="158"/>
      <c r="H241" s="158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</row>
    <row r="242" spans="1:26" ht="18.75">
      <c r="A242" s="149"/>
      <c r="B242" s="146"/>
      <c r="C242" s="147"/>
      <c r="D242" s="148"/>
      <c r="E242" s="148"/>
      <c r="F242" s="149"/>
      <c r="G242" s="156"/>
      <c r="H242" s="156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</row>
    <row r="243" spans="1:26" ht="18.75">
      <c r="A243" s="149"/>
      <c r="B243" s="146"/>
      <c r="C243" s="147"/>
      <c r="D243" s="148"/>
      <c r="E243" s="148"/>
      <c r="F243" s="149"/>
      <c r="G243" s="158"/>
      <c r="H243" s="158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</row>
    <row r="244" spans="1:26" ht="18.75">
      <c r="A244" s="149"/>
      <c r="B244" s="146"/>
      <c r="C244" s="147"/>
      <c r="D244" s="148"/>
      <c r="E244" s="148"/>
      <c r="F244" s="149"/>
      <c r="G244" s="156"/>
      <c r="H244" s="156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</row>
    <row r="245" spans="1:26" ht="18.75">
      <c r="A245" s="149"/>
      <c r="B245" s="146"/>
      <c r="C245" s="147"/>
      <c r="D245" s="148"/>
      <c r="E245" s="148"/>
      <c r="F245" s="149"/>
      <c r="G245" s="158"/>
      <c r="H245" s="158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</row>
    <row r="246" spans="1:26" ht="18.75">
      <c r="A246" s="149"/>
      <c r="B246" s="146"/>
      <c r="C246" s="147"/>
      <c r="D246" s="148"/>
      <c r="E246" s="148"/>
      <c r="F246" s="149"/>
      <c r="G246" s="156"/>
      <c r="H246" s="156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</row>
    <row r="247" spans="1:26" ht="18.75">
      <c r="A247" s="149"/>
      <c r="B247" s="146"/>
      <c r="C247" s="147"/>
      <c r="D247" s="148"/>
      <c r="E247" s="148"/>
      <c r="F247" s="149"/>
      <c r="G247" s="158"/>
      <c r="H247" s="158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</row>
    <row r="248" spans="1:26" ht="18.75">
      <c r="A248" s="149"/>
      <c r="B248" s="146"/>
      <c r="C248" s="147"/>
      <c r="D248" s="148"/>
      <c r="E248" s="148"/>
      <c r="F248" s="149"/>
      <c r="G248" s="156"/>
      <c r="H248" s="156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</row>
    <row r="249" spans="1:26" ht="18.75">
      <c r="A249" s="149"/>
      <c r="B249" s="146"/>
      <c r="C249" s="147"/>
      <c r="D249" s="148"/>
      <c r="E249" s="148"/>
      <c r="F249" s="149"/>
      <c r="G249" s="158"/>
      <c r="H249" s="158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</row>
    <row r="250" spans="1:26" ht="18.75">
      <c r="A250" s="149"/>
      <c r="B250" s="146"/>
      <c r="C250" s="147"/>
      <c r="D250" s="148"/>
      <c r="E250" s="148"/>
      <c r="F250" s="149"/>
      <c r="G250" s="156"/>
      <c r="H250" s="156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</row>
    <row r="251" spans="1:26" ht="18.75">
      <c r="A251" s="149"/>
      <c r="B251" s="146"/>
      <c r="C251" s="147"/>
      <c r="D251" s="148"/>
      <c r="E251" s="148"/>
      <c r="F251" s="149"/>
      <c r="G251" s="158"/>
      <c r="H251" s="158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</row>
    <row r="252" spans="1:26" ht="18.75">
      <c r="A252" s="149"/>
      <c r="B252" s="146"/>
      <c r="C252" s="147"/>
      <c r="D252" s="148"/>
      <c r="E252" s="148"/>
      <c r="F252" s="149"/>
      <c r="G252" s="156"/>
      <c r="H252" s="156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</row>
    <row r="253" spans="1:26" ht="18.75">
      <c r="A253" s="149"/>
      <c r="B253" s="146"/>
      <c r="C253" s="147"/>
      <c r="D253" s="148"/>
      <c r="E253" s="148"/>
      <c r="F253" s="149"/>
      <c r="G253" s="158"/>
      <c r="H253" s="158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</row>
    <row r="254" spans="1:26" ht="18.75">
      <c r="A254" s="149"/>
      <c r="B254" s="146"/>
      <c r="C254" s="147"/>
      <c r="D254" s="148"/>
      <c r="E254" s="148"/>
      <c r="F254" s="149"/>
      <c r="G254" s="156"/>
      <c r="H254" s="156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</row>
    <row r="255" spans="1:26" ht="18.75">
      <c r="A255" s="149"/>
      <c r="B255" s="146"/>
      <c r="C255" s="147"/>
      <c r="D255" s="148"/>
      <c r="E255" s="148"/>
      <c r="F255" s="149"/>
      <c r="G255" s="158"/>
      <c r="H255" s="158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</row>
    <row r="256" spans="1:26" ht="18.75">
      <c r="A256" s="149"/>
      <c r="B256" s="146"/>
      <c r="C256" s="147"/>
      <c r="D256" s="148"/>
      <c r="E256" s="148"/>
      <c r="F256" s="149"/>
      <c r="G256" s="156"/>
      <c r="H256" s="156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</row>
    <row r="257" spans="1:26" ht="18.75">
      <c r="A257" s="149"/>
      <c r="B257" s="146"/>
      <c r="C257" s="147"/>
      <c r="D257" s="148"/>
      <c r="E257" s="148"/>
      <c r="F257" s="149"/>
      <c r="G257" s="158"/>
      <c r="H257" s="158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</row>
    <row r="258" spans="1:26" ht="18.75">
      <c r="A258" s="149"/>
      <c r="B258" s="146"/>
      <c r="C258" s="147"/>
      <c r="D258" s="148"/>
      <c r="E258" s="148"/>
      <c r="F258" s="149"/>
      <c r="G258" s="156"/>
      <c r="H258" s="156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</row>
    <row r="259" spans="1:26" ht="18.75">
      <c r="A259" s="149"/>
      <c r="B259" s="146"/>
      <c r="C259" s="147"/>
      <c r="D259" s="148"/>
      <c r="E259" s="148"/>
      <c r="F259" s="149"/>
      <c r="G259" s="158"/>
      <c r="H259" s="158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</row>
    <row r="260" spans="1:26" ht="18.75">
      <c r="A260" s="149"/>
      <c r="B260" s="146"/>
      <c r="C260" s="147"/>
      <c r="D260" s="148"/>
      <c r="E260" s="148"/>
      <c r="F260" s="149"/>
      <c r="G260" s="156"/>
      <c r="H260" s="156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</row>
    <row r="261" spans="1:26" ht="18.75">
      <c r="A261" s="149"/>
      <c r="B261" s="146"/>
      <c r="C261" s="147"/>
      <c r="D261" s="148"/>
      <c r="E261" s="148"/>
      <c r="F261" s="149"/>
      <c r="G261" s="158"/>
      <c r="H261" s="158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</row>
    <row r="262" spans="1:26" ht="18.75">
      <c r="A262" s="149"/>
      <c r="B262" s="146"/>
      <c r="C262" s="147"/>
      <c r="D262" s="148"/>
      <c r="E262" s="148"/>
      <c r="F262" s="149"/>
      <c r="G262" s="156"/>
      <c r="H262" s="156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</row>
    <row r="263" spans="1:26" ht="18.75">
      <c r="A263" s="149"/>
      <c r="B263" s="146"/>
      <c r="C263" s="147"/>
      <c r="D263" s="148"/>
      <c r="E263" s="148"/>
      <c r="F263" s="149"/>
      <c r="G263" s="158"/>
      <c r="H263" s="158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</row>
    <row r="264" spans="1:26" ht="18.75">
      <c r="A264" s="149"/>
      <c r="B264" s="146"/>
      <c r="C264" s="147"/>
      <c r="D264" s="148"/>
      <c r="E264" s="148"/>
      <c r="F264" s="149"/>
      <c r="G264" s="156"/>
      <c r="H264" s="156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</row>
    <row r="265" spans="1:26" ht="18.75">
      <c r="A265" s="149"/>
      <c r="B265" s="146"/>
      <c r="C265" s="147"/>
      <c r="D265" s="148"/>
      <c r="E265" s="148"/>
      <c r="F265" s="149"/>
      <c r="G265" s="158"/>
      <c r="H265" s="158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</row>
    <row r="266" spans="1:26" ht="18.75">
      <c r="A266" s="149"/>
      <c r="B266" s="146"/>
      <c r="C266" s="147"/>
      <c r="D266" s="148"/>
      <c r="E266" s="148"/>
      <c r="F266" s="149"/>
      <c r="G266" s="156"/>
      <c r="H266" s="156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</row>
    <row r="267" spans="1:26" ht="18.75">
      <c r="A267" s="149"/>
      <c r="B267" s="146"/>
      <c r="C267" s="147"/>
      <c r="D267" s="148"/>
      <c r="E267" s="148"/>
      <c r="F267" s="149"/>
      <c r="G267" s="158"/>
      <c r="H267" s="158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</row>
    <row r="268" spans="1:26" ht="18.75">
      <c r="A268" s="149"/>
      <c r="B268" s="146"/>
      <c r="C268" s="147"/>
      <c r="D268" s="148"/>
      <c r="E268" s="148"/>
      <c r="F268" s="149"/>
      <c r="G268" s="156"/>
      <c r="H268" s="156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</row>
    <row r="269" spans="1:26" ht="18.75">
      <c r="A269" s="149"/>
      <c r="B269" s="146"/>
      <c r="C269" s="147"/>
      <c r="D269" s="148"/>
      <c r="E269" s="148"/>
      <c r="F269" s="149"/>
      <c r="G269" s="158"/>
      <c r="H269" s="158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</row>
    <row r="270" spans="1:26" ht="18.75">
      <c r="A270" s="149"/>
      <c r="B270" s="146"/>
      <c r="C270" s="147"/>
      <c r="D270" s="148"/>
      <c r="E270" s="148"/>
      <c r="F270" s="149"/>
      <c r="G270" s="156"/>
      <c r="H270" s="156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</row>
    <row r="271" spans="1:26" ht="18.75">
      <c r="A271" s="149"/>
      <c r="B271" s="146"/>
      <c r="C271" s="147"/>
      <c r="D271" s="148"/>
      <c r="E271" s="148"/>
      <c r="F271" s="149"/>
      <c r="G271" s="158"/>
      <c r="H271" s="158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</row>
    <row r="272" spans="1:26" ht="18.75">
      <c r="A272" s="149"/>
      <c r="B272" s="146"/>
      <c r="C272" s="147"/>
      <c r="D272" s="148"/>
      <c r="E272" s="148"/>
      <c r="F272" s="149"/>
      <c r="G272" s="156"/>
      <c r="H272" s="156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</row>
    <row r="273" spans="1:26" ht="18.75">
      <c r="A273" s="149"/>
      <c r="B273" s="146"/>
      <c r="C273" s="147"/>
      <c r="D273" s="148"/>
      <c r="E273" s="148"/>
      <c r="F273" s="149"/>
      <c r="G273" s="158"/>
      <c r="H273" s="158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</row>
    <row r="274" spans="1:26" ht="18.75">
      <c r="A274" s="149"/>
      <c r="B274" s="146"/>
      <c r="C274" s="147"/>
      <c r="D274" s="148"/>
      <c r="E274" s="148"/>
      <c r="F274" s="149"/>
      <c r="G274" s="156"/>
      <c r="H274" s="156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</row>
    <row r="275" spans="1:26" ht="18.75">
      <c r="A275" s="149"/>
      <c r="B275" s="146"/>
      <c r="C275" s="147"/>
      <c r="D275" s="148"/>
      <c r="E275" s="148"/>
      <c r="F275" s="149"/>
      <c r="G275" s="158"/>
      <c r="H275" s="158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</row>
    <row r="276" spans="1:26" ht="18.75">
      <c r="A276" s="149"/>
      <c r="B276" s="146"/>
      <c r="C276" s="147"/>
      <c r="D276" s="148"/>
      <c r="E276" s="148"/>
      <c r="F276" s="149"/>
      <c r="G276" s="156"/>
      <c r="H276" s="156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</row>
    <row r="277" spans="1:26" ht="18.75">
      <c r="A277" s="149"/>
      <c r="B277" s="146"/>
      <c r="C277" s="147"/>
      <c r="D277" s="148"/>
      <c r="E277" s="148"/>
      <c r="F277" s="149"/>
      <c r="G277" s="158"/>
      <c r="H277" s="158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</row>
    <row r="278" spans="1:26" ht="18.75">
      <c r="A278" s="149"/>
      <c r="B278" s="146"/>
      <c r="C278" s="147"/>
      <c r="D278" s="148"/>
      <c r="E278" s="148"/>
      <c r="F278" s="149"/>
      <c r="G278" s="156"/>
      <c r="H278" s="156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</row>
    <row r="279" spans="1:26" ht="18.75">
      <c r="A279" s="149"/>
      <c r="B279" s="146"/>
      <c r="C279" s="147"/>
      <c r="D279" s="148"/>
      <c r="E279" s="148"/>
      <c r="F279" s="149"/>
      <c r="G279" s="158"/>
      <c r="H279" s="158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</row>
    <row r="280" spans="1:26" ht="18.75">
      <c r="A280" s="149"/>
      <c r="B280" s="146"/>
      <c r="C280" s="147"/>
      <c r="D280" s="148"/>
      <c r="E280" s="148"/>
      <c r="F280" s="149"/>
      <c r="G280" s="156"/>
      <c r="H280" s="156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</row>
    <row r="281" spans="1:26" ht="18.75">
      <c r="A281" s="149"/>
      <c r="B281" s="146"/>
      <c r="C281" s="147"/>
      <c r="D281" s="148"/>
      <c r="E281" s="148"/>
      <c r="F281" s="149"/>
      <c r="G281" s="158"/>
      <c r="H281" s="158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</row>
    <row r="282" spans="1:26" ht="18.75">
      <c r="A282" s="149"/>
      <c r="B282" s="146"/>
      <c r="C282" s="147"/>
      <c r="D282" s="148"/>
      <c r="E282" s="148"/>
      <c r="F282" s="149"/>
      <c r="G282" s="156"/>
      <c r="H282" s="156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</row>
    <row r="283" spans="1:26" ht="18.75">
      <c r="A283" s="149"/>
      <c r="B283" s="146"/>
      <c r="C283" s="147"/>
      <c r="D283" s="148"/>
      <c r="E283" s="148"/>
      <c r="F283" s="149"/>
      <c r="G283" s="158"/>
      <c r="H283" s="158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</row>
    <row r="284" spans="1:26" ht="18.75">
      <c r="A284" s="149"/>
      <c r="B284" s="146"/>
      <c r="C284" s="147"/>
      <c r="D284" s="148"/>
      <c r="E284" s="148"/>
      <c r="F284" s="149"/>
      <c r="G284" s="156"/>
      <c r="H284" s="156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</row>
    <row r="285" spans="1:26" ht="18.75">
      <c r="A285" s="149"/>
      <c r="B285" s="146"/>
      <c r="C285" s="147"/>
      <c r="D285" s="148"/>
      <c r="E285" s="148"/>
      <c r="F285" s="149"/>
      <c r="G285" s="158"/>
      <c r="H285" s="158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</row>
    <row r="286" spans="1:26" ht="18.75">
      <c r="A286" s="149"/>
      <c r="B286" s="146"/>
      <c r="C286" s="147"/>
      <c r="D286" s="148"/>
      <c r="E286" s="148"/>
      <c r="F286" s="149"/>
      <c r="G286" s="156"/>
      <c r="H286" s="156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</row>
    <row r="287" spans="1:26" ht="18.75">
      <c r="A287" s="149"/>
      <c r="B287" s="146"/>
      <c r="C287" s="147"/>
      <c r="D287" s="148"/>
      <c r="E287" s="148"/>
      <c r="F287" s="149"/>
      <c r="G287" s="158"/>
      <c r="H287" s="158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</row>
    <row r="288" spans="1:26" ht="18.75">
      <c r="A288" s="149"/>
      <c r="B288" s="146"/>
      <c r="C288" s="147"/>
      <c r="D288" s="148"/>
      <c r="E288" s="148"/>
      <c r="F288" s="149"/>
      <c r="G288" s="156"/>
      <c r="H288" s="156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</row>
    <row r="289" spans="1:26" ht="18.75">
      <c r="A289" s="149"/>
      <c r="B289" s="146"/>
      <c r="C289" s="147"/>
      <c r="D289" s="148"/>
      <c r="E289" s="148"/>
      <c r="F289" s="149"/>
      <c r="G289" s="158"/>
      <c r="H289" s="158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</row>
    <row r="290" spans="1:26" ht="18.75">
      <c r="A290" s="149"/>
      <c r="B290" s="146"/>
      <c r="C290" s="147"/>
      <c r="D290" s="148"/>
      <c r="E290" s="148"/>
      <c r="F290" s="149"/>
      <c r="G290" s="156"/>
      <c r="H290" s="156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</row>
    <row r="291" spans="1:26" ht="18.75">
      <c r="A291" s="149"/>
      <c r="B291" s="146"/>
      <c r="C291" s="147"/>
      <c r="D291" s="148"/>
      <c r="E291" s="148"/>
      <c r="F291" s="149"/>
      <c r="G291" s="158"/>
      <c r="H291" s="158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</row>
    <row r="292" spans="1:26" ht="18.75">
      <c r="A292" s="149"/>
      <c r="B292" s="146"/>
      <c r="C292" s="147"/>
      <c r="D292" s="148"/>
      <c r="E292" s="148"/>
      <c r="F292" s="149"/>
      <c r="G292" s="156"/>
      <c r="H292" s="156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</row>
    <row r="293" spans="1:26" ht="18.75">
      <c r="A293" s="149"/>
      <c r="B293" s="146"/>
      <c r="C293" s="147"/>
      <c r="D293" s="148"/>
      <c r="E293" s="148"/>
      <c r="F293" s="149"/>
      <c r="G293" s="158"/>
      <c r="H293" s="158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</row>
    <row r="294" spans="1:26" ht="18.75">
      <c r="A294" s="149"/>
      <c r="B294" s="146"/>
      <c r="C294" s="147"/>
      <c r="D294" s="148"/>
      <c r="E294" s="148"/>
      <c r="F294" s="149"/>
      <c r="G294" s="156"/>
      <c r="H294" s="156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</row>
    <row r="295" spans="1:26" ht="18.75">
      <c r="A295" s="149"/>
      <c r="B295" s="146"/>
      <c r="C295" s="147"/>
      <c r="D295" s="148"/>
      <c r="E295" s="148"/>
      <c r="F295" s="149"/>
      <c r="G295" s="158"/>
      <c r="H295" s="158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</row>
    <row r="296" spans="1:26" ht="18.75">
      <c r="A296" s="149"/>
      <c r="B296" s="146"/>
      <c r="C296" s="147"/>
      <c r="D296" s="148"/>
      <c r="E296" s="148"/>
      <c r="F296" s="149"/>
      <c r="G296" s="156"/>
      <c r="H296" s="156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</row>
    <row r="297" spans="1:26" ht="18.75">
      <c r="A297" s="149"/>
      <c r="B297" s="146"/>
      <c r="C297" s="147"/>
      <c r="D297" s="148"/>
      <c r="E297" s="148"/>
      <c r="F297" s="149"/>
      <c r="G297" s="158"/>
      <c r="H297" s="158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</row>
    <row r="298" spans="1:26" ht="18.75">
      <c r="A298" s="149"/>
      <c r="B298" s="146"/>
      <c r="C298" s="147"/>
      <c r="D298" s="148"/>
      <c r="E298" s="148"/>
      <c r="F298" s="149"/>
      <c r="G298" s="156"/>
      <c r="H298" s="156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</row>
    <row r="299" spans="1:26" ht="18.75">
      <c r="A299" s="149"/>
      <c r="B299" s="146"/>
      <c r="C299" s="147"/>
      <c r="D299" s="148"/>
      <c r="E299" s="148"/>
      <c r="F299" s="149"/>
      <c r="G299" s="158"/>
      <c r="H299" s="158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</row>
    <row r="300" spans="1:26" ht="18.75">
      <c r="A300" s="149"/>
      <c r="B300" s="146"/>
      <c r="C300" s="147"/>
      <c r="D300" s="148"/>
      <c r="E300" s="148"/>
      <c r="F300" s="149"/>
      <c r="G300" s="156"/>
      <c r="H300" s="156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</row>
    <row r="301" spans="1:26" ht="18.75">
      <c r="A301" s="149"/>
      <c r="B301" s="146"/>
      <c r="C301" s="147"/>
      <c r="D301" s="148"/>
      <c r="E301" s="148"/>
      <c r="F301" s="149"/>
      <c r="G301" s="158"/>
      <c r="H301" s="158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9"/>
    </row>
    <row r="302" spans="1:26" ht="18.75">
      <c r="A302" s="149"/>
      <c r="B302" s="146"/>
      <c r="C302" s="147"/>
      <c r="D302" s="148"/>
      <c r="E302" s="148"/>
      <c r="F302" s="149"/>
      <c r="G302" s="156"/>
      <c r="H302" s="156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</row>
    <row r="303" spans="1:26" ht="18.75">
      <c r="A303" s="149"/>
      <c r="B303" s="146"/>
      <c r="C303" s="147"/>
      <c r="D303" s="148"/>
      <c r="E303" s="148"/>
      <c r="F303" s="149"/>
      <c r="G303" s="158"/>
      <c r="H303" s="158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9"/>
    </row>
    <row r="304" spans="1:26" ht="18.75">
      <c r="A304" s="149"/>
      <c r="B304" s="146"/>
      <c r="C304" s="147"/>
      <c r="D304" s="148"/>
      <c r="E304" s="148"/>
      <c r="F304" s="149"/>
      <c r="G304" s="156"/>
      <c r="H304" s="156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9"/>
    </row>
    <row r="305" spans="1:26" ht="18.75">
      <c r="A305" s="149"/>
      <c r="B305" s="146"/>
      <c r="C305" s="147"/>
      <c r="D305" s="148"/>
      <c r="E305" s="148"/>
      <c r="F305" s="149"/>
      <c r="G305" s="158"/>
      <c r="H305" s="158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</row>
    <row r="306" spans="1:26" ht="18.75">
      <c r="A306" s="149"/>
      <c r="B306" s="146"/>
      <c r="C306" s="147"/>
      <c r="D306" s="148"/>
      <c r="E306" s="148"/>
      <c r="F306" s="149"/>
      <c r="G306" s="156"/>
      <c r="H306" s="156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</row>
    <row r="307" spans="1:26" ht="18.75">
      <c r="A307" s="149"/>
      <c r="B307" s="146"/>
      <c r="C307" s="147"/>
      <c r="D307" s="148"/>
      <c r="E307" s="148"/>
      <c r="F307" s="149"/>
      <c r="G307" s="158"/>
      <c r="H307" s="158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</row>
    <row r="308" spans="1:26" ht="18.75">
      <c r="A308" s="149"/>
      <c r="B308" s="146"/>
      <c r="C308" s="147"/>
      <c r="D308" s="148"/>
      <c r="E308" s="148"/>
      <c r="F308" s="149"/>
      <c r="G308" s="156"/>
      <c r="H308" s="156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</row>
    <row r="309" spans="1:26" ht="18.75">
      <c r="A309" s="149"/>
      <c r="B309" s="146"/>
      <c r="C309" s="147"/>
      <c r="D309" s="148"/>
      <c r="E309" s="148"/>
      <c r="F309" s="149"/>
      <c r="G309" s="158"/>
      <c r="H309" s="158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</row>
    <row r="310" spans="1:26" ht="18.75">
      <c r="A310" s="149"/>
      <c r="B310" s="146"/>
      <c r="C310" s="147"/>
      <c r="D310" s="148"/>
      <c r="E310" s="148"/>
      <c r="F310" s="149"/>
      <c r="G310" s="156"/>
      <c r="H310" s="156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/>
    </row>
    <row r="311" spans="1:26" ht="18.75">
      <c r="A311" s="149"/>
      <c r="B311" s="146"/>
      <c r="C311" s="147"/>
      <c r="D311" s="148"/>
      <c r="E311" s="148"/>
      <c r="F311" s="149"/>
      <c r="G311" s="158"/>
      <c r="H311" s="158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9"/>
    </row>
    <row r="312" spans="1:26" ht="18.75">
      <c r="A312" s="149"/>
      <c r="B312" s="146"/>
      <c r="C312" s="147"/>
      <c r="D312" s="148"/>
      <c r="E312" s="148"/>
      <c r="F312" s="149"/>
      <c r="G312" s="156"/>
      <c r="H312" s="156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</row>
    <row r="313" spans="1:26" ht="18.75">
      <c r="A313" s="149"/>
      <c r="B313" s="146"/>
      <c r="C313" s="147"/>
      <c r="D313" s="148"/>
      <c r="E313" s="148"/>
      <c r="F313" s="149"/>
      <c r="G313" s="158"/>
      <c r="H313" s="158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9"/>
    </row>
    <row r="314" spans="1:26" ht="18.75">
      <c r="A314" s="149"/>
      <c r="B314" s="146"/>
      <c r="C314" s="147"/>
      <c r="D314" s="148"/>
      <c r="E314" s="148"/>
      <c r="F314" s="149"/>
      <c r="G314" s="156"/>
      <c r="H314" s="156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</row>
    <row r="315" spans="1:26" ht="18.75">
      <c r="A315" s="149"/>
      <c r="B315" s="146"/>
      <c r="C315" s="147"/>
      <c r="D315" s="148"/>
      <c r="E315" s="148"/>
      <c r="F315" s="149"/>
      <c r="G315" s="158"/>
      <c r="H315" s="158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</row>
    <row r="316" spans="1:26" ht="18.75">
      <c r="A316" s="149"/>
      <c r="B316" s="146"/>
      <c r="C316" s="147"/>
      <c r="D316" s="148"/>
      <c r="E316" s="148"/>
      <c r="F316" s="149"/>
      <c r="G316" s="156"/>
      <c r="H316" s="156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</row>
    <row r="317" spans="1:26" ht="18.75">
      <c r="A317" s="149"/>
      <c r="B317" s="146"/>
      <c r="C317" s="147"/>
      <c r="D317" s="148"/>
      <c r="E317" s="148"/>
      <c r="F317" s="149"/>
      <c r="G317" s="158"/>
      <c r="H317" s="158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</row>
    <row r="318" spans="1:26" ht="18.75">
      <c r="A318" s="149"/>
      <c r="B318" s="146"/>
      <c r="C318" s="147"/>
      <c r="D318" s="148"/>
      <c r="E318" s="148"/>
      <c r="F318" s="149"/>
      <c r="G318" s="156"/>
      <c r="H318" s="156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</row>
    <row r="319" spans="1:26" ht="18.75">
      <c r="A319" s="149"/>
      <c r="B319" s="146"/>
      <c r="C319" s="147"/>
      <c r="D319" s="148"/>
      <c r="E319" s="148"/>
      <c r="F319" s="149"/>
      <c r="G319" s="158"/>
      <c r="H319" s="158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</row>
    <row r="320" spans="1:26" ht="18.75">
      <c r="A320" s="149"/>
      <c r="B320" s="146"/>
      <c r="C320" s="147"/>
      <c r="D320" s="148"/>
      <c r="E320" s="148"/>
      <c r="F320" s="149"/>
      <c r="G320" s="156"/>
      <c r="H320" s="156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</row>
    <row r="321" spans="1:26" ht="18.75">
      <c r="A321" s="149"/>
      <c r="B321" s="146"/>
      <c r="C321" s="147"/>
      <c r="D321" s="148"/>
      <c r="E321" s="148"/>
      <c r="F321" s="149"/>
      <c r="G321" s="158"/>
      <c r="H321" s="158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</row>
    <row r="322" spans="1:26" ht="18.75">
      <c r="A322" s="149"/>
      <c r="B322" s="146"/>
      <c r="C322" s="147"/>
      <c r="D322" s="148"/>
      <c r="E322" s="148"/>
      <c r="F322" s="149"/>
      <c r="G322" s="156"/>
      <c r="H322" s="156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</row>
    <row r="323" spans="1:26" ht="18.75">
      <c r="A323" s="149"/>
      <c r="B323" s="146"/>
      <c r="C323" s="147"/>
      <c r="D323" s="148"/>
      <c r="E323" s="148"/>
      <c r="F323" s="149"/>
      <c r="G323" s="158"/>
      <c r="H323" s="158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</row>
    <row r="324" spans="1:26" ht="18.75">
      <c r="A324" s="149"/>
      <c r="B324" s="146"/>
      <c r="C324" s="147"/>
      <c r="D324" s="148"/>
      <c r="E324" s="148"/>
      <c r="F324" s="149"/>
      <c r="G324" s="156"/>
      <c r="H324" s="156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9"/>
    </row>
    <row r="325" spans="1:26" ht="18.75">
      <c r="A325" s="149"/>
      <c r="B325" s="146"/>
      <c r="C325" s="147"/>
      <c r="D325" s="148"/>
      <c r="E325" s="148"/>
      <c r="F325" s="149"/>
      <c r="G325" s="158"/>
      <c r="H325" s="158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</row>
    <row r="326" spans="1:26" ht="18.75">
      <c r="A326" s="149"/>
      <c r="B326" s="146"/>
      <c r="C326" s="147"/>
      <c r="D326" s="148"/>
      <c r="E326" s="148"/>
      <c r="F326" s="149"/>
      <c r="G326" s="156"/>
      <c r="H326" s="156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</row>
    <row r="327" spans="1:26" ht="18.75">
      <c r="A327" s="149"/>
      <c r="B327" s="146"/>
      <c r="C327" s="147"/>
      <c r="D327" s="148"/>
      <c r="E327" s="148"/>
      <c r="F327" s="149"/>
      <c r="G327" s="158"/>
      <c r="H327" s="158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</row>
    <row r="328" spans="1:26" ht="18.75">
      <c r="A328" s="149"/>
      <c r="B328" s="146"/>
      <c r="C328" s="147"/>
      <c r="D328" s="148"/>
      <c r="E328" s="148"/>
      <c r="F328" s="149"/>
      <c r="G328" s="156"/>
      <c r="H328" s="156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/>
    </row>
    <row r="329" spans="1:26" ht="18.75">
      <c r="A329" s="149"/>
      <c r="B329" s="146"/>
      <c r="C329" s="147"/>
      <c r="D329" s="148"/>
      <c r="E329" s="148"/>
      <c r="F329" s="149"/>
      <c r="G329" s="158"/>
      <c r="H329" s="158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</row>
    <row r="330" spans="1:26" ht="18.75">
      <c r="A330" s="149"/>
      <c r="B330" s="146"/>
      <c r="C330" s="147"/>
      <c r="D330" s="148"/>
      <c r="E330" s="148"/>
      <c r="F330" s="149"/>
      <c r="G330" s="156"/>
      <c r="H330" s="156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</row>
    <row r="331" spans="1:26" ht="18.75">
      <c r="A331" s="149"/>
      <c r="B331" s="146"/>
      <c r="C331" s="147"/>
      <c r="D331" s="148"/>
      <c r="E331" s="148"/>
      <c r="F331" s="149"/>
      <c r="G331" s="158"/>
      <c r="H331" s="158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9"/>
    </row>
    <row r="332" spans="1:26" ht="18.75">
      <c r="A332" s="149"/>
      <c r="B332" s="146"/>
      <c r="C332" s="147"/>
      <c r="D332" s="148"/>
      <c r="E332" s="148"/>
      <c r="F332" s="149"/>
      <c r="G332" s="156"/>
      <c r="H332" s="156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</row>
    <row r="333" spans="1:26" ht="18.75">
      <c r="A333" s="149"/>
      <c r="B333" s="146"/>
      <c r="C333" s="147"/>
      <c r="D333" s="148"/>
      <c r="E333" s="148"/>
      <c r="F333" s="149"/>
      <c r="G333" s="158"/>
      <c r="H333" s="158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</row>
    <row r="334" spans="1:26" ht="18.75">
      <c r="A334" s="149"/>
      <c r="B334" s="146"/>
      <c r="C334" s="147"/>
      <c r="D334" s="148"/>
      <c r="E334" s="148"/>
      <c r="F334" s="149"/>
      <c r="G334" s="156"/>
      <c r="H334" s="156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</row>
    <row r="335" spans="1:26" ht="18.75">
      <c r="A335" s="149"/>
      <c r="B335" s="146"/>
      <c r="C335" s="147"/>
      <c r="D335" s="148"/>
      <c r="E335" s="148"/>
      <c r="F335" s="149"/>
      <c r="G335" s="158"/>
      <c r="H335" s="158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</row>
    <row r="336" spans="1:26" ht="18.75">
      <c r="A336" s="149"/>
      <c r="B336" s="146"/>
      <c r="C336" s="147"/>
      <c r="D336" s="148"/>
      <c r="E336" s="148"/>
      <c r="F336" s="149"/>
      <c r="G336" s="156"/>
      <c r="H336" s="156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</row>
    <row r="337" spans="1:26" ht="18.75">
      <c r="A337" s="149"/>
      <c r="B337" s="146"/>
      <c r="C337" s="147"/>
      <c r="D337" s="148"/>
      <c r="E337" s="148"/>
      <c r="F337" s="149"/>
      <c r="G337" s="158"/>
      <c r="H337" s="158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</row>
    <row r="338" spans="1:26" ht="18.75">
      <c r="A338" s="149"/>
      <c r="B338" s="146"/>
      <c r="C338" s="147"/>
      <c r="D338" s="148"/>
      <c r="E338" s="148"/>
      <c r="F338" s="149"/>
      <c r="G338" s="156"/>
      <c r="H338" s="156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9"/>
    </row>
    <row r="339" spans="1:26" ht="18.75">
      <c r="A339" s="149"/>
      <c r="B339" s="146"/>
      <c r="C339" s="147"/>
      <c r="D339" s="148"/>
      <c r="E339" s="148"/>
      <c r="F339" s="149"/>
      <c r="G339" s="158"/>
      <c r="H339" s="158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/>
    </row>
    <row r="340" spans="1:26" ht="18.75">
      <c r="A340" s="149"/>
      <c r="B340" s="146"/>
      <c r="C340" s="147"/>
      <c r="D340" s="148"/>
      <c r="E340" s="148"/>
      <c r="F340" s="149"/>
      <c r="G340" s="156"/>
      <c r="H340" s="156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/>
    </row>
    <row r="341" spans="1:26" ht="18.75">
      <c r="A341" s="149"/>
      <c r="B341" s="146"/>
      <c r="C341" s="147"/>
      <c r="D341" s="148"/>
      <c r="E341" s="148"/>
      <c r="F341" s="149"/>
      <c r="G341" s="158"/>
      <c r="H341" s="158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</row>
    <row r="342" spans="1:26" ht="18.75">
      <c r="A342" s="149"/>
      <c r="B342" s="146"/>
      <c r="C342" s="147"/>
      <c r="D342" s="148"/>
      <c r="E342" s="148"/>
      <c r="F342" s="149"/>
      <c r="G342" s="156"/>
      <c r="H342" s="156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9"/>
    </row>
    <row r="343" spans="1:26" ht="18.75">
      <c r="A343" s="149"/>
      <c r="B343" s="146"/>
      <c r="C343" s="147"/>
      <c r="D343" s="148"/>
      <c r="E343" s="148"/>
      <c r="F343" s="149"/>
      <c r="G343" s="158"/>
      <c r="H343" s="158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9"/>
    </row>
    <row r="344" spans="1:26" ht="18.75">
      <c r="A344" s="149"/>
      <c r="B344" s="146"/>
      <c r="C344" s="147"/>
      <c r="D344" s="148"/>
      <c r="E344" s="148"/>
      <c r="F344" s="149"/>
      <c r="G344" s="156"/>
      <c r="H344" s="156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9"/>
    </row>
    <row r="345" spans="1:26" ht="18.75">
      <c r="A345" s="149"/>
      <c r="B345" s="146"/>
      <c r="C345" s="147"/>
      <c r="D345" s="148"/>
      <c r="E345" s="148"/>
      <c r="F345" s="149"/>
      <c r="G345" s="158"/>
      <c r="H345" s="158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9"/>
    </row>
    <row r="346" spans="1:26" ht="18.75">
      <c r="A346" s="149"/>
      <c r="B346" s="146"/>
      <c r="C346" s="147"/>
      <c r="D346" s="148"/>
      <c r="E346" s="148"/>
      <c r="F346" s="149"/>
      <c r="G346" s="156"/>
      <c r="H346" s="156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9"/>
    </row>
    <row r="347" spans="1:26" ht="18.75">
      <c r="A347" s="149"/>
      <c r="B347" s="146"/>
      <c r="C347" s="147"/>
      <c r="D347" s="148"/>
      <c r="E347" s="148"/>
      <c r="F347" s="149"/>
      <c r="G347" s="158"/>
      <c r="H347" s="158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</row>
    <row r="348" spans="1:26" ht="18.75">
      <c r="A348" s="149"/>
      <c r="B348" s="146"/>
      <c r="C348" s="147"/>
      <c r="D348" s="148"/>
      <c r="E348" s="148"/>
      <c r="F348" s="149"/>
      <c r="G348" s="156"/>
      <c r="H348" s="156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</row>
    <row r="349" spans="1:26" ht="18.75">
      <c r="A349" s="149"/>
      <c r="B349" s="146"/>
      <c r="C349" s="147"/>
      <c r="D349" s="148"/>
      <c r="E349" s="148"/>
      <c r="F349" s="149"/>
      <c r="G349" s="158"/>
      <c r="H349" s="158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  <c r="Z349" s="149"/>
    </row>
    <row r="350" spans="1:26" ht="18.75">
      <c r="A350" s="149"/>
      <c r="B350" s="146"/>
      <c r="C350" s="147"/>
      <c r="D350" s="148"/>
      <c r="E350" s="148"/>
      <c r="F350" s="149"/>
      <c r="G350" s="156"/>
      <c r="H350" s="156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</row>
    <row r="351" spans="1:26" ht="18.75">
      <c r="A351" s="149"/>
      <c r="B351" s="146"/>
      <c r="C351" s="147"/>
      <c r="D351" s="148"/>
      <c r="E351" s="148"/>
      <c r="F351" s="149"/>
      <c r="G351" s="158"/>
      <c r="H351" s="158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9"/>
    </row>
    <row r="352" spans="1:26" ht="18.75">
      <c r="A352" s="149"/>
      <c r="B352" s="146"/>
      <c r="C352" s="147"/>
      <c r="D352" s="148"/>
      <c r="E352" s="148"/>
      <c r="F352" s="149"/>
      <c r="G352" s="156"/>
      <c r="H352" s="156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</row>
    <row r="353" spans="1:26" ht="18.75">
      <c r="A353" s="149"/>
      <c r="B353" s="146"/>
      <c r="C353" s="147"/>
      <c r="D353" s="148"/>
      <c r="E353" s="148"/>
      <c r="F353" s="149"/>
      <c r="G353" s="158"/>
      <c r="H353" s="158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9"/>
    </row>
    <row r="354" spans="1:26" ht="18.75">
      <c r="A354" s="149"/>
      <c r="B354" s="146"/>
      <c r="C354" s="147"/>
      <c r="D354" s="148"/>
      <c r="E354" s="148"/>
      <c r="F354" s="149"/>
      <c r="G354" s="156"/>
      <c r="H354" s="156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/>
    </row>
    <row r="355" spans="1:26" ht="18.75">
      <c r="A355" s="149"/>
      <c r="B355" s="146"/>
      <c r="C355" s="147"/>
      <c r="D355" s="148"/>
      <c r="E355" s="148"/>
      <c r="F355" s="149"/>
      <c r="G355" s="158"/>
      <c r="H355" s="158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9"/>
    </row>
    <row r="356" spans="1:26" ht="18.75">
      <c r="A356" s="149"/>
      <c r="B356" s="146"/>
      <c r="C356" s="147"/>
      <c r="D356" s="148"/>
      <c r="E356" s="148"/>
      <c r="F356" s="149"/>
      <c r="G356" s="156"/>
      <c r="H356" s="156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</row>
    <row r="357" spans="1:26" ht="18.75">
      <c r="A357" s="149"/>
      <c r="B357" s="146"/>
      <c r="C357" s="147"/>
      <c r="D357" s="148"/>
      <c r="E357" s="148"/>
      <c r="F357" s="149"/>
      <c r="G357" s="158"/>
      <c r="H357" s="158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  <c r="Z357" s="149"/>
    </row>
    <row r="358" spans="1:26" ht="18.75">
      <c r="A358" s="149"/>
      <c r="B358" s="146"/>
      <c r="C358" s="147"/>
      <c r="D358" s="148"/>
      <c r="E358" s="148"/>
      <c r="F358" s="149"/>
      <c r="G358" s="156"/>
      <c r="H358" s="156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9"/>
    </row>
    <row r="359" spans="1:26" ht="18.75">
      <c r="A359" s="149"/>
      <c r="B359" s="146"/>
      <c r="C359" s="147"/>
      <c r="D359" s="148"/>
      <c r="E359" s="148"/>
      <c r="F359" s="149"/>
      <c r="G359" s="158"/>
      <c r="H359" s="158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9"/>
    </row>
    <row r="360" spans="1:26" ht="18.75">
      <c r="A360" s="149"/>
      <c r="B360" s="146"/>
      <c r="C360" s="147"/>
      <c r="D360" s="148"/>
      <c r="E360" s="148"/>
      <c r="F360" s="149"/>
      <c r="G360" s="156"/>
      <c r="H360" s="156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</row>
    <row r="361" spans="1:26" ht="18.75">
      <c r="A361" s="149"/>
      <c r="B361" s="146"/>
      <c r="C361" s="147"/>
      <c r="D361" s="148"/>
      <c r="E361" s="148"/>
      <c r="F361" s="149"/>
      <c r="G361" s="158"/>
      <c r="H361" s="158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/>
    </row>
    <row r="362" spans="1:26" ht="18.75">
      <c r="A362" s="149"/>
      <c r="B362" s="146"/>
      <c r="C362" s="147"/>
      <c r="D362" s="148"/>
      <c r="E362" s="148"/>
      <c r="F362" s="149"/>
      <c r="G362" s="156"/>
      <c r="H362" s="156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9"/>
    </row>
    <row r="363" spans="1:26" ht="18.75">
      <c r="A363" s="149"/>
      <c r="B363" s="146"/>
      <c r="C363" s="147"/>
      <c r="D363" s="148"/>
      <c r="E363" s="148"/>
      <c r="F363" s="149"/>
      <c r="G363" s="158"/>
      <c r="H363" s="158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9"/>
    </row>
    <row r="364" spans="1:26" ht="18.75">
      <c r="A364" s="149"/>
      <c r="B364" s="146"/>
      <c r="C364" s="147"/>
      <c r="D364" s="148"/>
      <c r="E364" s="148"/>
      <c r="F364" s="149"/>
      <c r="G364" s="156"/>
      <c r="H364" s="156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9"/>
    </row>
    <row r="365" spans="1:26" ht="18.75">
      <c r="A365" s="149"/>
      <c r="B365" s="146"/>
      <c r="C365" s="147"/>
      <c r="D365" s="148"/>
      <c r="E365" s="148"/>
      <c r="F365" s="149"/>
      <c r="G365" s="158"/>
      <c r="H365" s="158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9"/>
    </row>
    <row r="366" spans="1:26" ht="18.75">
      <c r="A366" s="149"/>
      <c r="B366" s="146"/>
      <c r="C366" s="147"/>
      <c r="D366" s="148"/>
      <c r="E366" s="148"/>
      <c r="F366" s="149"/>
      <c r="G366" s="156"/>
      <c r="H366" s="156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9"/>
    </row>
    <row r="367" spans="1:26" ht="18.75">
      <c r="A367" s="149"/>
      <c r="B367" s="146"/>
      <c r="C367" s="147"/>
      <c r="D367" s="148"/>
      <c r="E367" s="148"/>
      <c r="F367" s="149"/>
      <c r="G367" s="158"/>
      <c r="H367" s="158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9"/>
    </row>
    <row r="368" spans="1:26" ht="18.75">
      <c r="A368" s="149"/>
      <c r="B368" s="146"/>
      <c r="C368" s="147"/>
      <c r="D368" s="148"/>
      <c r="E368" s="148"/>
      <c r="F368" s="149"/>
      <c r="G368" s="156"/>
      <c r="H368" s="156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9"/>
    </row>
    <row r="369" spans="1:26" ht="18.75">
      <c r="A369" s="149"/>
      <c r="B369" s="146"/>
      <c r="C369" s="147"/>
      <c r="D369" s="148"/>
      <c r="E369" s="148"/>
      <c r="F369" s="149"/>
      <c r="G369" s="158"/>
      <c r="H369" s="158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  <c r="Z369" s="149"/>
    </row>
    <row r="370" spans="1:26" ht="18.75">
      <c r="A370" s="149"/>
      <c r="B370" s="146"/>
      <c r="C370" s="147"/>
      <c r="D370" s="148"/>
      <c r="E370" s="148"/>
      <c r="F370" s="149"/>
      <c r="G370" s="156"/>
      <c r="H370" s="156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9"/>
    </row>
    <row r="371" spans="1:26" ht="18.75">
      <c r="A371" s="149"/>
      <c r="B371" s="146"/>
      <c r="C371" s="147"/>
      <c r="D371" s="148"/>
      <c r="E371" s="148"/>
      <c r="F371" s="149"/>
      <c r="G371" s="158"/>
      <c r="H371" s="158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9"/>
    </row>
    <row r="372" spans="1:26" ht="18.75">
      <c r="A372" s="149"/>
      <c r="B372" s="146"/>
      <c r="C372" s="147"/>
      <c r="D372" s="148"/>
      <c r="E372" s="148"/>
      <c r="F372" s="149"/>
      <c r="G372" s="156"/>
      <c r="H372" s="156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9"/>
    </row>
    <row r="373" spans="1:26" ht="18.75">
      <c r="A373" s="149"/>
      <c r="B373" s="146"/>
      <c r="C373" s="147"/>
      <c r="D373" s="148"/>
      <c r="E373" s="148"/>
      <c r="F373" s="149"/>
      <c r="G373" s="158"/>
      <c r="H373" s="158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9"/>
    </row>
    <row r="374" spans="1:26" ht="18.75">
      <c r="A374" s="149"/>
      <c r="B374" s="146"/>
      <c r="C374" s="147"/>
      <c r="D374" s="148"/>
      <c r="E374" s="148"/>
      <c r="F374" s="149"/>
      <c r="G374" s="156"/>
      <c r="H374" s="156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9"/>
    </row>
    <row r="375" spans="1:26" ht="18.75">
      <c r="A375" s="149"/>
      <c r="B375" s="146"/>
      <c r="C375" s="147"/>
      <c r="D375" s="148"/>
      <c r="E375" s="148"/>
      <c r="F375" s="149"/>
      <c r="G375" s="158"/>
      <c r="H375" s="158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9"/>
    </row>
    <row r="376" spans="1:26" ht="18.75">
      <c r="A376" s="149"/>
      <c r="B376" s="146"/>
      <c r="C376" s="147"/>
      <c r="D376" s="148"/>
      <c r="E376" s="148"/>
      <c r="F376" s="149"/>
      <c r="G376" s="156"/>
      <c r="H376" s="156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</row>
    <row r="377" spans="1:26" ht="18.75">
      <c r="A377" s="149"/>
      <c r="B377" s="146"/>
      <c r="C377" s="147"/>
      <c r="D377" s="148"/>
      <c r="E377" s="148"/>
      <c r="F377" s="149"/>
      <c r="G377" s="158"/>
      <c r="H377" s="158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9"/>
    </row>
    <row r="378" spans="1:26" ht="18.75">
      <c r="A378" s="149"/>
      <c r="B378" s="146"/>
      <c r="C378" s="147"/>
      <c r="D378" s="148"/>
      <c r="E378" s="148"/>
      <c r="F378" s="149"/>
      <c r="G378" s="156"/>
      <c r="H378" s="156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  <c r="Z378" s="149"/>
    </row>
    <row r="379" spans="1:26" ht="18.75">
      <c r="A379" s="149"/>
      <c r="B379" s="146"/>
      <c r="C379" s="147"/>
      <c r="D379" s="148"/>
      <c r="E379" s="148"/>
      <c r="F379" s="149"/>
      <c r="G379" s="158"/>
      <c r="H379" s="158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9"/>
    </row>
    <row r="380" spans="1:26" ht="18.75">
      <c r="A380" s="149"/>
      <c r="B380" s="146"/>
      <c r="C380" s="147"/>
      <c r="D380" s="148"/>
      <c r="E380" s="148"/>
      <c r="F380" s="149"/>
      <c r="G380" s="156"/>
      <c r="H380" s="156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9"/>
    </row>
    <row r="381" spans="1:26" ht="18.75">
      <c r="A381" s="149"/>
      <c r="B381" s="146"/>
      <c r="C381" s="147"/>
      <c r="D381" s="148"/>
      <c r="E381" s="148"/>
      <c r="F381" s="149"/>
      <c r="G381" s="158"/>
      <c r="H381" s="158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9"/>
    </row>
    <row r="382" spans="1:26" ht="18.75">
      <c r="A382" s="149"/>
      <c r="B382" s="146"/>
      <c r="C382" s="147"/>
      <c r="D382" s="148"/>
      <c r="E382" s="148"/>
      <c r="F382" s="149"/>
      <c r="G382" s="156"/>
      <c r="H382" s="156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9"/>
    </row>
    <row r="383" spans="1:26" ht="18.75">
      <c r="A383" s="149"/>
      <c r="B383" s="146"/>
      <c r="C383" s="147"/>
      <c r="D383" s="148"/>
      <c r="E383" s="148"/>
      <c r="F383" s="149"/>
      <c r="G383" s="158"/>
      <c r="H383" s="158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</row>
    <row r="384" spans="1:26" ht="18.75">
      <c r="A384" s="149"/>
      <c r="B384" s="146"/>
      <c r="C384" s="147"/>
      <c r="D384" s="148"/>
      <c r="E384" s="148"/>
      <c r="F384" s="149"/>
      <c r="G384" s="156"/>
      <c r="H384" s="156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9"/>
    </row>
    <row r="385" spans="1:26" ht="18.75">
      <c r="A385" s="149"/>
      <c r="B385" s="146"/>
      <c r="C385" s="147"/>
      <c r="D385" s="148"/>
      <c r="E385" s="148"/>
      <c r="F385" s="149"/>
      <c r="G385" s="158"/>
      <c r="H385" s="158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9"/>
    </row>
    <row r="386" spans="1:26" ht="18.75">
      <c r="A386" s="149"/>
      <c r="B386" s="146"/>
      <c r="C386" s="147"/>
      <c r="D386" s="148"/>
      <c r="E386" s="148"/>
      <c r="F386" s="149"/>
      <c r="G386" s="156"/>
      <c r="H386" s="156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9"/>
    </row>
    <row r="387" spans="1:26" ht="18.75">
      <c r="A387" s="149"/>
      <c r="B387" s="146"/>
      <c r="C387" s="147"/>
      <c r="D387" s="148"/>
      <c r="E387" s="148"/>
      <c r="F387" s="149"/>
      <c r="G387" s="158"/>
      <c r="H387" s="158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9"/>
    </row>
    <row r="388" spans="1:26" ht="18.75">
      <c r="A388" s="149"/>
      <c r="B388" s="146"/>
      <c r="C388" s="147"/>
      <c r="D388" s="148"/>
      <c r="E388" s="148"/>
      <c r="F388" s="149"/>
      <c r="G388" s="156"/>
      <c r="H388" s="156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9"/>
    </row>
    <row r="389" spans="1:26" ht="18.75">
      <c r="A389" s="149"/>
      <c r="B389" s="146"/>
      <c r="C389" s="147"/>
      <c r="D389" s="148"/>
      <c r="E389" s="148"/>
      <c r="F389" s="149"/>
      <c r="G389" s="158"/>
      <c r="H389" s="158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9"/>
    </row>
    <row r="390" spans="1:26" ht="18.75">
      <c r="A390" s="149"/>
      <c r="B390" s="146"/>
      <c r="C390" s="147"/>
      <c r="D390" s="148"/>
      <c r="E390" s="148"/>
      <c r="F390" s="149"/>
      <c r="G390" s="156"/>
      <c r="H390" s="156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/>
    </row>
    <row r="391" spans="1:26" ht="18.75">
      <c r="A391" s="149"/>
      <c r="B391" s="146"/>
      <c r="C391" s="147"/>
      <c r="D391" s="148"/>
      <c r="E391" s="148"/>
      <c r="F391" s="149"/>
      <c r="G391" s="158"/>
      <c r="H391" s="158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9"/>
    </row>
    <row r="392" spans="1:26" ht="18.75">
      <c r="A392" s="149"/>
      <c r="B392" s="146"/>
      <c r="C392" s="147"/>
      <c r="D392" s="148"/>
      <c r="E392" s="148"/>
      <c r="F392" s="149"/>
      <c r="G392" s="156"/>
      <c r="H392" s="156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9"/>
    </row>
    <row r="393" spans="1:26" ht="18.75">
      <c r="A393" s="149"/>
      <c r="B393" s="146"/>
      <c r="C393" s="147"/>
      <c r="D393" s="148"/>
      <c r="E393" s="148"/>
      <c r="F393" s="149"/>
      <c r="G393" s="158"/>
      <c r="H393" s="158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9"/>
    </row>
    <row r="394" spans="1:26" ht="18.75">
      <c r="A394" s="149"/>
      <c r="B394" s="146"/>
      <c r="C394" s="147"/>
      <c r="D394" s="148"/>
      <c r="E394" s="148"/>
      <c r="F394" s="149"/>
      <c r="G394" s="156"/>
      <c r="H394" s="156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9"/>
    </row>
    <row r="395" spans="1:26" ht="18.75">
      <c r="A395" s="149"/>
      <c r="B395" s="146"/>
      <c r="C395" s="147"/>
      <c r="D395" s="148"/>
      <c r="E395" s="148"/>
      <c r="F395" s="149"/>
      <c r="G395" s="158"/>
      <c r="H395" s="158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9"/>
    </row>
    <row r="396" spans="1:26" ht="18.75">
      <c r="A396" s="149"/>
      <c r="B396" s="146"/>
      <c r="C396" s="147"/>
      <c r="D396" s="148"/>
      <c r="E396" s="148"/>
      <c r="F396" s="149"/>
      <c r="G396" s="156"/>
      <c r="H396" s="156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9"/>
    </row>
    <row r="397" spans="1:26" ht="18.75">
      <c r="A397" s="149"/>
      <c r="B397" s="146"/>
      <c r="C397" s="147"/>
      <c r="D397" s="148"/>
      <c r="E397" s="148"/>
      <c r="F397" s="149"/>
      <c r="G397" s="158"/>
      <c r="H397" s="158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  <c r="Z397" s="149"/>
    </row>
    <row r="398" spans="1:26" ht="18.75">
      <c r="A398" s="149"/>
      <c r="B398" s="146"/>
      <c r="C398" s="147"/>
      <c r="D398" s="148"/>
      <c r="E398" s="148"/>
      <c r="F398" s="149"/>
      <c r="G398" s="156"/>
      <c r="H398" s="156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  <c r="Z398" s="149"/>
    </row>
    <row r="399" spans="1:26" ht="18.75">
      <c r="A399" s="149"/>
      <c r="B399" s="146"/>
      <c r="C399" s="147"/>
      <c r="D399" s="148"/>
      <c r="E399" s="148"/>
      <c r="F399" s="149"/>
      <c r="G399" s="158"/>
      <c r="H399" s="158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9"/>
    </row>
    <row r="400" spans="1:26" ht="18.75">
      <c r="A400" s="149"/>
      <c r="B400" s="146"/>
      <c r="C400" s="147"/>
      <c r="D400" s="148"/>
      <c r="E400" s="148"/>
      <c r="F400" s="149"/>
      <c r="G400" s="156"/>
      <c r="H400" s="156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9"/>
    </row>
    <row r="401" spans="1:26" ht="18.75">
      <c r="A401" s="149"/>
      <c r="B401" s="146"/>
      <c r="C401" s="147"/>
      <c r="D401" s="148"/>
      <c r="E401" s="148"/>
      <c r="F401" s="149"/>
      <c r="G401" s="158"/>
      <c r="H401" s="158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9"/>
    </row>
    <row r="402" spans="1:26" ht="18.75">
      <c r="A402" s="149"/>
      <c r="B402" s="146"/>
      <c r="C402" s="147"/>
      <c r="D402" s="148"/>
      <c r="E402" s="148"/>
      <c r="F402" s="149"/>
      <c r="G402" s="156"/>
      <c r="H402" s="156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9"/>
    </row>
    <row r="403" spans="1:26" ht="18.75">
      <c r="A403" s="149"/>
      <c r="B403" s="146"/>
      <c r="C403" s="147"/>
      <c r="D403" s="148"/>
      <c r="E403" s="148"/>
      <c r="F403" s="149"/>
      <c r="G403" s="158"/>
      <c r="H403" s="158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9"/>
    </row>
    <row r="404" spans="1:26" ht="18.75">
      <c r="A404" s="149"/>
      <c r="B404" s="146"/>
      <c r="C404" s="147"/>
      <c r="D404" s="148"/>
      <c r="E404" s="148"/>
      <c r="F404" s="149"/>
      <c r="G404" s="156"/>
      <c r="H404" s="156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9"/>
    </row>
    <row r="405" spans="1:26" ht="18.75">
      <c r="A405" s="149"/>
      <c r="B405" s="146"/>
      <c r="C405" s="147"/>
      <c r="D405" s="148"/>
      <c r="E405" s="148"/>
      <c r="F405" s="149"/>
      <c r="G405" s="158"/>
      <c r="H405" s="158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</row>
    <row r="406" spans="1:26" ht="18.75">
      <c r="A406" s="149"/>
      <c r="B406" s="146"/>
      <c r="C406" s="147"/>
      <c r="D406" s="148"/>
      <c r="E406" s="148"/>
      <c r="F406" s="149"/>
      <c r="G406" s="156"/>
      <c r="H406" s="156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</row>
    <row r="407" spans="1:26" ht="18.75">
      <c r="A407" s="149"/>
      <c r="B407" s="146"/>
      <c r="C407" s="147"/>
      <c r="D407" s="148"/>
      <c r="E407" s="148"/>
      <c r="F407" s="149"/>
      <c r="G407" s="158"/>
      <c r="H407" s="158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9"/>
    </row>
    <row r="408" spans="1:26" ht="18.75">
      <c r="A408" s="149"/>
      <c r="B408" s="146"/>
      <c r="C408" s="147"/>
      <c r="D408" s="148"/>
      <c r="E408" s="148"/>
      <c r="F408" s="149"/>
      <c r="G408" s="156"/>
      <c r="H408" s="156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9"/>
    </row>
    <row r="409" spans="1:26" ht="18.75">
      <c r="A409" s="149"/>
      <c r="B409" s="146"/>
      <c r="C409" s="147"/>
      <c r="D409" s="148"/>
      <c r="E409" s="148"/>
      <c r="F409" s="149"/>
      <c r="G409" s="158"/>
      <c r="H409" s="158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9"/>
    </row>
    <row r="410" spans="1:26" ht="18.75">
      <c r="A410" s="149"/>
      <c r="B410" s="146"/>
      <c r="C410" s="147"/>
      <c r="D410" s="148"/>
      <c r="E410" s="148"/>
      <c r="F410" s="149"/>
      <c r="G410" s="156"/>
      <c r="H410" s="156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</row>
    <row r="411" spans="1:26" ht="18.75">
      <c r="A411" s="149"/>
      <c r="B411" s="146"/>
      <c r="C411" s="147"/>
      <c r="D411" s="148"/>
      <c r="E411" s="148"/>
      <c r="F411" s="149"/>
      <c r="G411" s="158"/>
      <c r="H411" s="158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9"/>
    </row>
    <row r="412" spans="1:26" ht="18.75">
      <c r="A412" s="149"/>
      <c r="B412" s="146"/>
      <c r="C412" s="147"/>
      <c r="D412" s="148"/>
      <c r="E412" s="148"/>
      <c r="F412" s="149"/>
      <c r="G412" s="156"/>
      <c r="H412" s="156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</row>
    <row r="413" spans="1:26" ht="18.75">
      <c r="A413" s="149"/>
      <c r="B413" s="146"/>
      <c r="C413" s="147"/>
      <c r="D413" s="148"/>
      <c r="E413" s="148"/>
      <c r="F413" s="149"/>
      <c r="G413" s="158"/>
      <c r="H413" s="158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</row>
    <row r="414" spans="1:26" ht="18.75">
      <c r="A414" s="149"/>
      <c r="B414" s="146"/>
      <c r="C414" s="147"/>
      <c r="D414" s="148"/>
      <c r="E414" s="148"/>
      <c r="F414" s="149"/>
      <c r="G414" s="156"/>
      <c r="H414" s="156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9"/>
    </row>
    <row r="415" spans="1:26" ht="18.75">
      <c r="A415" s="149"/>
      <c r="B415" s="146"/>
      <c r="C415" s="147"/>
      <c r="D415" s="148"/>
      <c r="E415" s="148"/>
      <c r="F415" s="149"/>
      <c r="G415" s="158"/>
      <c r="H415" s="158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9"/>
    </row>
    <row r="416" spans="1:26" ht="18.75">
      <c r="A416" s="149"/>
      <c r="B416" s="146"/>
      <c r="C416" s="147"/>
      <c r="D416" s="148"/>
      <c r="E416" s="148"/>
      <c r="F416" s="149"/>
      <c r="G416" s="156"/>
      <c r="H416" s="156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9"/>
    </row>
    <row r="417" spans="1:26" ht="18.75">
      <c r="A417" s="149"/>
      <c r="B417" s="146"/>
      <c r="C417" s="147"/>
      <c r="D417" s="148"/>
      <c r="E417" s="148"/>
      <c r="F417" s="149"/>
      <c r="G417" s="158"/>
      <c r="H417" s="158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9"/>
    </row>
    <row r="418" spans="1:26" ht="18.75">
      <c r="A418" s="149"/>
      <c r="B418" s="146"/>
      <c r="C418" s="147"/>
      <c r="D418" s="148"/>
      <c r="E418" s="148"/>
      <c r="F418" s="149"/>
      <c r="G418" s="156"/>
      <c r="H418" s="156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9"/>
    </row>
    <row r="419" spans="1:26" ht="18.75">
      <c r="A419" s="149"/>
      <c r="B419" s="146"/>
      <c r="C419" s="147"/>
      <c r="D419" s="148"/>
      <c r="E419" s="148"/>
      <c r="F419" s="149"/>
      <c r="G419" s="158"/>
      <c r="H419" s="158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  <c r="Z419" s="149"/>
    </row>
    <row r="420" spans="1:26" ht="18.75">
      <c r="A420" s="149"/>
      <c r="B420" s="146"/>
      <c r="C420" s="147"/>
      <c r="D420" s="148"/>
      <c r="E420" s="148"/>
      <c r="F420" s="149"/>
      <c r="G420" s="156"/>
      <c r="H420" s="156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9"/>
    </row>
    <row r="421" spans="1:26" ht="18.75">
      <c r="A421" s="149"/>
      <c r="B421" s="146"/>
      <c r="C421" s="147"/>
      <c r="D421" s="148"/>
      <c r="E421" s="148"/>
      <c r="F421" s="149"/>
      <c r="G421" s="158"/>
      <c r="H421" s="158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9"/>
    </row>
    <row r="422" spans="1:26" ht="18.75">
      <c r="A422" s="149"/>
      <c r="B422" s="146"/>
      <c r="C422" s="147"/>
      <c r="D422" s="148"/>
      <c r="E422" s="148"/>
      <c r="F422" s="149"/>
      <c r="G422" s="156"/>
      <c r="H422" s="156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9"/>
    </row>
    <row r="423" spans="1:26" ht="18.75">
      <c r="A423" s="149"/>
      <c r="B423" s="146"/>
      <c r="C423" s="147"/>
      <c r="D423" s="148"/>
      <c r="E423" s="148"/>
      <c r="F423" s="149"/>
      <c r="G423" s="158"/>
      <c r="H423" s="158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9"/>
    </row>
    <row r="424" spans="1:26" ht="18.75">
      <c r="A424" s="149"/>
      <c r="B424" s="146"/>
      <c r="C424" s="147"/>
      <c r="D424" s="148"/>
      <c r="E424" s="148"/>
      <c r="F424" s="149"/>
      <c r="G424" s="156"/>
      <c r="H424" s="156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9"/>
    </row>
    <row r="425" spans="1:26" ht="18.75">
      <c r="A425" s="149"/>
      <c r="B425" s="146"/>
      <c r="C425" s="147"/>
      <c r="D425" s="148"/>
      <c r="E425" s="148"/>
      <c r="F425" s="149"/>
      <c r="G425" s="158"/>
      <c r="H425" s="158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9"/>
    </row>
    <row r="426" spans="1:26" ht="18.75">
      <c r="A426" s="149"/>
      <c r="B426" s="146"/>
      <c r="C426" s="147"/>
      <c r="D426" s="148"/>
      <c r="E426" s="148"/>
      <c r="F426" s="149"/>
      <c r="G426" s="156"/>
      <c r="H426" s="156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9"/>
    </row>
    <row r="427" spans="1:26" ht="18.75">
      <c r="A427" s="149"/>
      <c r="B427" s="146"/>
      <c r="C427" s="147"/>
      <c r="D427" s="148"/>
      <c r="E427" s="148"/>
      <c r="F427" s="149"/>
      <c r="G427" s="158"/>
      <c r="H427" s="158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</row>
    <row r="428" spans="1:26" ht="18.75">
      <c r="A428" s="149"/>
      <c r="B428" s="146"/>
      <c r="C428" s="147"/>
      <c r="D428" s="148"/>
      <c r="E428" s="148"/>
      <c r="F428" s="149"/>
      <c r="G428" s="156"/>
      <c r="H428" s="156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</row>
    <row r="429" spans="1:26" ht="18.75">
      <c r="A429" s="149"/>
      <c r="B429" s="146"/>
      <c r="C429" s="147"/>
      <c r="D429" s="148"/>
      <c r="E429" s="148"/>
      <c r="F429" s="149"/>
      <c r="G429" s="158"/>
      <c r="H429" s="158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9"/>
    </row>
    <row r="430" spans="1:26" ht="18.75">
      <c r="A430" s="149"/>
      <c r="B430" s="146"/>
      <c r="C430" s="147"/>
      <c r="D430" s="148"/>
      <c r="E430" s="148"/>
      <c r="F430" s="149"/>
      <c r="G430" s="156"/>
      <c r="H430" s="156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9"/>
    </row>
    <row r="431" spans="1:26" ht="18.75">
      <c r="A431" s="149"/>
      <c r="B431" s="146"/>
      <c r="C431" s="147"/>
      <c r="D431" s="148"/>
      <c r="E431" s="148"/>
      <c r="F431" s="149"/>
      <c r="G431" s="158"/>
      <c r="H431" s="158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</row>
    <row r="432" spans="1:26" ht="18.75">
      <c r="A432" s="149"/>
      <c r="B432" s="146"/>
      <c r="C432" s="147"/>
      <c r="D432" s="148"/>
      <c r="E432" s="148"/>
      <c r="F432" s="149"/>
      <c r="G432" s="156"/>
      <c r="H432" s="156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</row>
    <row r="433" spans="1:26" ht="18.75">
      <c r="A433" s="149"/>
      <c r="B433" s="146"/>
      <c r="C433" s="147"/>
      <c r="D433" s="148"/>
      <c r="E433" s="148"/>
      <c r="F433" s="149"/>
      <c r="G433" s="158"/>
      <c r="H433" s="158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</row>
    <row r="434" spans="1:26" ht="18.75">
      <c r="A434" s="149"/>
      <c r="B434" s="146"/>
      <c r="C434" s="147"/>
      <c r="D434" s="148"/>
      <c r="E434" s="148"/>
      <c r="F434" s="149"/>
      <c r="G434" s="156"/>
      <c r="H434" s="156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</row>
    <row r="435" spans="1:26" ht="18.75">
      <c r="A435" s="149"/>
      <c r="B435" s="146"/>
      <c r="C435" s="147"/>
      <c r="D435" s="148"/>
      <c r="E435" s="148"/>
      <c r="F435" s="149"/>
      <c r="G435" s="158"/>
      <c r="H435" s="158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</row>
    <row r="436" spans="1:26" ht="18.75">
      <c r="A436" s="149"/>
      <c r="B436" s="146"/>
      <c r="C436" s="147"/>
      <c r="D436" s="148"/>
      <c r="E436" s="148"/>
      <c r="F436" s="149"/>
      <c r="G436" s="156"/>
      <c r="H436" s="156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9"/>
    </row>
    <row r="437" spans="1:26" ht="18.75">
      <c r="A437" s="149"/>
      <c r="B437" s="146"/>
      <c r="C437" s="147"/>
      <c r="D437" s="148"/>
      <c r="E437" s="148"/>
      <c r="F437" s="149"/>
      <c r="G437" s="158"/>
      <c r="H437" s="158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/>
    </row>
    <row r="438" spans="1:26" ht="18.75">
      <c r="A438" s="149"/>
      <c r="B438" s="146"/>
      <c r="C438" s="147"/>
      <c r="D438" s="148"/>
      <c r="E438" s="148"/>
      <c r="F438" s="149"/>
      <c r="G438" s="156"/>
      <c r="H438" s="156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</row>
    <row r="439" spans="1:26" ht="18.75">
      <c r="A439" s="149"/>
      <c r="B439" s="146"/>
      <c r="C439" s="147"/>
      <c r="D439" s="148"/>
      <c r="E439" s="148"/>
      <c r="F439" s="149"/>
      <c r="G439" s="158"/>
      <c r="H439" s="158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</row>
    <row r="440" spans="1:26" ht="18.75">
      <c r="A440" s="149"/>
      <c r="B440" s="146"/>
      <c r="C440" s="147"/>
      <c r="D440" s="148"/>
      <c r="E440" s="148"/>
      <c r="F440" s="149"/>
      <c r="G440" s="156"/>
      <c r="H440" s="156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</row>
    <row r="441" spans="1:26" ht="18.75">
      <c r="A441" s="149"/>
      <c r="B441" s="146"/>
      <c r="C441" s="147"/>
      <c r="D441" s="148"/>
      <c r="E441" s="148"/>
      <c r="F441" s="149"/>
      <c r="G441" s="158"/>
      <c r="H441" s="158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</row>
    <row r="442" spans="1:26" ht="18.75">
      <c r="A442" s="149"/>
      <c r="B442" s="146"/>
      <c r="C442" s="147"/>
      <c r="D442" s="148"/>
      <c r="E442" s="148"/>
      <c r="F442" s="149"/>
      <c r="G442" s="156"/>
      <c r="H442" s="156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</row>
    <row r="443" spans="1:26" ht="18.75">
      <c r="A443" s="149"/>
      <c r="B443" s="146"/>
      <c r="C443" s="147"/>
      <c r="D443" s="148"/>
      <c r="E443" s="148"/>
      <c r="F443" s="149"/>
      <c r="G443" s="158"/>
      <c r="H443" s="158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</row>
    <row r="444" spans="1:26" ht="18.75">
      <c r="A444" s="149"/>
      <c r="B444" s="146"/>
      <c r="C444" s="147"/>
      <c r="D444" s="148"/>
      <c r="E444" s="148"/>
      <c r="F444" s="149"/>
      <c r="G444" s="156"/>
      <c r="H444" s="156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</row>
    <row r="445" spans="1:26" ht="18.75">
      <c r="A445" s="149"/>
      <c r="B445" s="146"/>
      <c r="C445" s="147"/>
      <c r="D445" s="148"/>
      <c r="E445" s="148"/>
      <c r="F445" s="149"/>
      <c r="G445" s="158"/>
      <c r="H445" s="158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</row>
    <row r="446" spans="1:26" ht="18.75">
      <c r="A446" s="149"/>
      <c r="B446" s="146"/>
      <c r="C446" s="147"/>
      <c r="D446" s="148"/>
      <c r="E446" s="148"/>
      <c r="F446" s="149"/>
      <c r="G446" s="156"/>
      <c r="H446" s="156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</row>
    <row r="447" spans="1:26" ht="18.75">
      <c r="A447" s="149"/>
      <c r="B447" s="146"/>
      <c r="C447" s="147"/>
      <c r="D447" s="148"/>
      <c r="E447" s="148"/>
      <c r="F447" s="149"/>
      <c r="G447" s="158"/>
      <c r="H447" s="158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</row>
    <row r="448" spans="1:26" ht="18.75">
      <c r="A448" s="149"/>
      <c r="B448" s="146"/>
      <c r="C448" s="147"/>
      <c r="D448" s="148"/>
      <c r="E448" s="148"/>
      <c r="F448" s="149"/>
      <c r="G448" s="156"/>
      <c r="H448" s="156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</row>
    <row r="449" spans="1:26" ht="18.75">
      <c r="A449" s="149"/>
      <c r="B449" s="146"/>
      <c r="C449" s="147"/>
      <c r="D449" s="148"/>
      <c r="E449" s="148"/>
      <c r="F449" s="149"/>
      <c r="G449" s="158"/>
      <c r="H449" s="158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</row>
    <row r="450" spans="1:26" ht="18.75">
      <c r="A450" s="149"/>
      <c r="B450" s="146"/>
      <c r="C450" s="147"/>
      <c r="D450" s="148"/>
      <c r="E450" s="148"/>
      <c r="F450" s="149"/>
      <c r="G450" s="156"/>
      <c r="H450" s="156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9"/>
    </row>
    <row r="451" spans="1:26" ht="18.75">
      <c r="A451" s="149"/>
      <c r="B451" s="146"/>
      <c r="C451" s="147"/>
      <c r="D451" s="148"/>
      <c r="E451" s="148"/>
      <c r="F451" s="149"/>
      <c r="G451" s="158"/>
      <c r="H451" s="158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9"/>
    </row>
    <row r="452" spans="1:26" ht="18.75">
      <c r="A452" s="149"/>
      <c r="B452" s="146"/>
      <c r="C452" s="147"/>
      <c r="D452" s="148"/>
      <c r="E452" s="148"/>
      <c r="F452" s="149"/>
      <c r="G452" s="156"/>
      <c r="H452" s="156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</row>
    <row r="453" spans="1:26" ht="18.75">
      <c r="A453" s="149"/>
      <c r="B453" s="146"/>
      <c r="C453" s="147"/>
      <c r="D453" s="148"/>
      <c r="E453" s="148"/>
      <c r="F453" s="149"/>
      <c r="G453" s="158"/>
      <c r="H453" s="158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9"/>
    </row>
    <row r="454" spans="1:26" ht="18.75">
      <c r="A454" s="149"/>
      <c r="B454" s="146"/>
      <c r="C454" s="147"/>
      <c r="D454" s="148"/>
      <c r="E454" s="148"/>
      <c r="F454" s="149"/>
      <c r="G454" s="156"/>
      <c r="H454" s="156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9"/>
    </row>
    <row r="455" spans="1:26" ht="18.75">
      <c r="A455" s="149"/>
      <c r="B455" s="146"/>
      <c r="C455" s="147"/>
      <c r="D455" s="148"/>
      <c r="E455" s="148"/>
      <c r="F455" s="149"/>
      <c r="G455" s="158"/>
      <c r="H455" s="158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9"/>
    </row>
    <row r="456" spans="1:26" ht="18.75">
      <c r="A456" s="149"/>
      <c r="B456" s="146"/>
      <c r="C456" s="147"/>
      <c r="D456" s="148"/>
      <c r="E456" s="148"/>
      <c r="F456" s="149"/>
      <c r="G456" s="156"/>
      <c r="H456" s="156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</row>
    <row r="457" spans="1:26" ht="18.75">
      <c r="A457" s="149"/>
      <c r="B457" s="146"/>
      <c r="C457" s="147"/>
      <c r="D457" s="148"/>
      <c r="E457" s="148"/>
      <c r="F457" s="149"/>
      <c r="G457" s="158"/>
      <c r="H457" s="158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9"/>
    </row>
    <row r="458" spans="1:26" ht="18.75">
      <c r="A458" s="149"/>
      <c r="B458" s="146"/>
      <c r="C458" s="147"/>
      <c r="D458" s="148"/>
      <c r="E458" s="148"/>
      <c r="F458" s="149"/>
      <c r="G458" s="156"/>
      <c r="H458" s="156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9"/>
    </row>
    <row r="459" spans="1:26" ht="18.75">
      <c r="A459" s="149"/>
      <c r="B459" s="146"/>
      <c r="C459" s="147"/>
      <c r="D459" s="148"/>
      <c r="E459" s="148"/>
      <c r="F459" s="149"/>
      <c r="G459" s="158"/>
      <c r="H459" s="158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9"/>
    </row>
    <row r="460" spans="1:26" ht="18.75">
      <c r="A460" s="149"/>
      <c r="B460" s="146"/>
      <c r="C460" s="147"/>
      <c r="D460" s="148"/>
      <c r="E460" s="148"/>
      <c r="F460" s="149"/>
      <c r="G460" s="156"/>
      <c r="H460" s="156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9"/>
    </row>
    <row r="461" spans="1:26" ht="18.75">
      <c r="A461" s="149"/>
      <c r="B461" s="146"/>
      <c r="C461" s="147"/>
      <c r="D461" s="148"/>
      <c r="E461" s="148"/>
      <c r="F461" s="149"/>
      <c r="G461" s="158"/>
      <c r="H461" s="158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9"/>
    </row>
    <row r="462" spans="1:26" ht="18.75">
      <c r="A462" s="149"/>
      <c r="B462" s="146"/>
      <c r="C462" s="147"/>
      <c r="D462" s="148"/>
      <c r="E462" s="148"/>
      <c r="F462" s="149"/>
      <c r="G462" s="156"/>
      <c r="H462" s="156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9"/>
    </row>
    <row r="463" spans="1:26" ht="18.75">
      <c r="A463" s="149"/>
      <c r="B463" s="146"/>
      <c r="C463" s="147"/>
      <c r="D463" s="148"/>
      <c r="E463" s="148"/>
      <c r="F463" s="149"/>
      <c r="G463" s="158"/>
      <c r="H463" s="158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</row>
    <row r="464" spans="1:26" ht="18.75">
      <c r="A464" s="149"/>
      <c r="B464" s="146"/>
      <c r="C464" s="147"/>
      <c r="D464" s="148"/>
      <c r="E464" s="148"/>
      <c r="F464" s="149"/>
      <c r="G464" s="156"/>
      <c r="H464" s="156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</row>
    <row r="465" spans="1:26" ht="18.75">
      <c r="A465" s="149"/>
      <c r="B465" s="146"/>
      <c r="C465" s="147"/>
      <c r="D465" s="148"/>
      <c r="E465" s="148"/>
      <c r="F465" s="149"/>
      <c r="G465" s="158"/>
      <c r="H465" s="158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</row>
    <row r="466" spans="1:26" ht="18.75">
      <c r="A466" s="149"/>
      <c r="B466" s="146"/>
      <c r="C466" s="147"/>
      <c r="D466" s="148"/>
      <c r="E466" s="148"/>
      <c r="F466" s="149"/>
      <c r="G466" s="156"/>
      <c r="H466" s="156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9"/>
    </row>
    <row r="467" spans="1:26" ht="18.75">
      <c r="A467" s="149"/>
      <c r="B467" s="146"/>
      <c r="C467" s="147"/>
      <c r="D467" s="148"/>
      <c r="E467" s="148"/>
      <c r="F467" s="149"/>
      <c r="G467" s="158"/>
      <c r="H467" s="158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</row>
    <row r="468" spans="1:26" ht="18.75">
      <c r="A468" s="149"/>
      <c r="B468" s="146"/>
      <c r="C468" s="147"/>
      <c r="D468" s="148"/>
      <c r="E468" s="148"/>
      <c r="F468" s="149"/>
      <c r="G468" s="156"/>
      <c r="H468" s="156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9"/>
    </row>
    <row r="469" spans="1:26" ht="18.75">
      <c r="A469" s="149"/>
      <c r="B469" s="146"/>
      <c r="C469" s="147"/>
      <c r="D469" s="148"/>
      <c r="E469" s="148"/>
      <c r="F469" s="149"/>
      <c r="G469" s="158"/>
      <c r="H469" s="158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</row>
    <row r="470" spans="1:26" ht="18.75">
      <c r="A470" s="149"/>
      <c r="B470" s="146"/>
      <c r="C470" s="147"/>
      <c r="D470" s="148"/>
      <c r="E470" s="148"/>
      <c r="F470" s="149"/>
      <c r="G470" s="156"/>
      <c r="H470" s="156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</row>
    <row r="471" spans="1:26" ht="18.75">
      <c r="A471" s="149"/>
      <c r="B471" s="146"/>
      <c r="C471" s="147"/>
      <c r="D471" s="148"/>
      <c r="E471" s="148"/>
      <c r="F471" s="149"/>
      <c r="G471" s="158"/>
      <c r="H471" s="158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9"/>
    </row>
    <row r="472" spans="1:26" ht="18.75">
      <c r="A472" s="149"/>
      <c r="B472" s="146"/>
      <c r="C472" s="147"/>
      <c r="D472" s="148"/>
      <c r="E472" s="148"/>
      <c r="F472" s="149"/>
      <c r="G472" s="156"/>
      <c r="H472" s="156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9"/>
    </row>
    <row r="473" spans="1:26" ht="18.75">
      <c r="A473" s="149"/>
      <c r="B473" s="146"/>
      <c r="C473" s="147"/>
      <c r="D473" s="148"/>
      <c r="E473" s="148"/>
      <c r="F473" s="149"/>
      <c r="G473" s="158"/>
      <c r="H473" s="158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</row>
    <row r="474" spans="1:26" ht="18.75">
      <c r="A474" s="149"/>
      <c r="B474" s="146"/>
      <c r="C474" s="147"/>
      <c r="D474" s="148"/>
      <c r="E474" s="148"/>
      <c r="F474" s="149"/>
      <c r="G474" s="156"/>
      <c r="H474" s="156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9"/>
    </row>
    <row r="475" spans="1:26" ht="18.75">
      <c r="A475" s="149"/>
      <c r="B475" s="146"/>
      <c r="C475" s="147"/>
      <c r="D475" s="148"/>
      <c r="E475" s="148"/>
      <c r="F475" s="149"/>
      <c r="G475" s="158"/>
      <c r="H475" s="158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9"/>
    </row>
    <row r="476" spans="1:26" ht="18.75">
      <c r="A476" s="149"/>
      <c r="B476" s="146"/>
      <c r="C476" s="147"/>
      <c r="D476" s="148"/>
      <c r="E476" s="148"/>
      <c r="F476" s="149"/>
      <c r="G476" s="156"/>
      <c r="H476" s="156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</row>
    <row r="477" spans="1:26" ht="18.75">
      <c r="A477" s="149"/>
      <c r="B477" s="146"/>
      <c r="C477" s="147"/>
      <c r="D477" s="148"/>
      <c r="E477" s="148"/>
      <c r="F477" s="149"/>
      <c r="G477" s="158"/>
      <c r="H477" s="158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</row>
    <row r="478" spans="1:26" ht="18.75">
      <c r="A478" s="149"/>
      <c r="B478" s="146"/>
      <c r="C478" s="147"/>
      <c r="D478" s="148"/>
      <c r="E478" s="148"/>
      <c r="F478" s="149"/>
      <c r="G478" s="156"/>
      <c r="H478" s="156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</row>
    <row r="479" spans="1:26" ht="18.75">
      <c r="A479" s="149"/>
      <c r="B479" s="146"/>
      <c r="C479" s="147"/>
      <c r="D479" s="148"/>
      <c r="E479" s="148"/>
      <c r="F479" s="149"/>
      <c r="G479" s="158"/>
      <c r="H479" s="158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</row>
    <row r="480" spans="1:26" ht="18.75">
      <c r="A480" s="149"/>
      <c r="B480" s="146"/>
      <c r="C480" s="147"/>
      <c r="D480" s="148"/>
      <c r="E480" s="148"/>
      <c r="F480" s="149"/>
      <c r="G480" s="156"/>
      <c r="H480" s="156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9"/>
    </row>
    <row r="481" spans="1:26" ht="18.75">
      <c r="A481" s="149"/>
      <c r="B481" s="146"/>
      <c r="C481" s="147"/>
      <c r="D481" s="148"/>
      <c r="E481" s="148"/>
      <c r="F481" s="149"/>
      <c r="G481" s="158"/>
      <c r="H481" s="158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9"/>
    </row>
    <row r="482" spans="1:26" ht="18.75">
      <c r="A482" s="149"/>
      <c r="B482" s="146"/>
      <c r="C482" s="147"/>
      <c r="D482" s="148"/>
      <c r="E482" s="148"/>
      <c r="F482" s="149"/>
      <c r="G482" s="156"/>
      <c r="H482" s="156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9"/>
    </row>
    <row r="483" spans="1:26" ht="18.75">
      <c r="A483" s="149"/>
      <c r="B483" s="146"/>
      <c r="C483" s="147"/>
      <c r="D483" s="148"/>
      <c r="E483" s="148"/>
      <c r="F483" s="149"/>
      <c r="G483" s="158"/>
      <c r="H483" s="158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9"/>
    </row>
    <row r="484" spans="1:26" ht="18.75">
      <c r="A484" s="149"/>
      <c r="B484" s="146"/>
      <c r="C484" s="147"/>
      <c r="D484" s="148"/>
      <c r="E484" s="148"/>
      <c r="F484" s="149"/>
      <c r="G484" s="156"/>
      <c r="H484" s="156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9"/>
    </row>
    <row r="485" spans="1:26" ht="18.75">
      <c r="A485" s="149"/>
      <c r="B485" s="146"/>
      <c r="C485" s="147"/>
      <c r="D485" s="148"/>
      <c r="E485" s="148"/>
      <c r="F485" s="149"/>
      <c r="G485" s="158"/>
      <c r="H485" s="158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9"/>
    </row>
    <row r="486" spans="1:26" ht="18.75">
      <c r="A486" s="149"/>
      <c r="B486" s="146"/>
      <c r="C486" s="147"/>
      <c r="D486" s="148"/>
      <c r="E486" s="148"/>
      <c r="F486" s="149"/>
      <c r="G486" s="156"/>
      <c r="H486" s="156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9"/>
    </row>
    <row r="487" spans="1:26" ht="18.75">
      <c r="A487" s="149"/>
      <c r="B487" s="146"/>
      <c r="C487" s="147"/>
      <c r="D487" s="148"/>
      <c r="E487" s="148"/>
      <c r="F487" s="149"/>
      <c r="G487" s="158"/>
      <c r="H487" s="158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9"/>
    </row>
    <row r="488" spans="1:26" ht="18.75">
      <c r="A488" s="149"/>
      <c r="B488" s="146"/>
      <c r="C488" s="147"/>
      <c r="D488" s="148"/>
      <c r="E488" s="148"/>
      <c r="F488" s="149"/>
      <c r="G488" s="156"/>
      <c r="H488" s="156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9"/>
    </row>
    <row r="489" spans="1:26" ht="18.75">
      <c r="A489" s="149"/>
      <c r="B489" s="146"/>
      <c r="C489" s="147"/>
      <c r="D489" s="148"/>
      <c r="E489" s="148"/>
      <c r="F489" s="149"/>
      <c r="G489" s="158"/>
      <c r="H489" s="158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9"/>
    </row>
    <row r="490" spans="1:26" ht="18.75">
      <c r="A490" s="149"/>
      <c r="B490" s="146"/>
      <c r="C490" s="147"/>
      <c r="D490" s="148"/>
      <c r="E490" s="148"/>
      <c r="F490" s="149"/>
      <c r="G490" s="156"/>
      <c r="H490" s="156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9"/>
    </row>
    <row r="491" spans="1:26" ht="18.75">
      <c r="A491" s="149"/>
      <c r="B491" s="146"/>
      <c r="C491" s="147"/>
      <c r="D491" s="148"/>
      <c r="E491" s="148"/>
      <c r="F491" s="149"/>
      <c r="G491" s="158"/>
      <c r="H491" s="158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</row>
    <row r="492" spans="1:26" ht="18.75">
      <c r="A492" s="149"/>
      <c r="B492" s="146"/>
      <c r="C492" s="147"/>
      <c r="D492" s="148"/>
      <c r="E492" s="148"/>
      <c r="F492" s="149"/>
      <c r="G492" s="156"/>
      <c r="H492" s="156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9"/>
    </row>
    <row r="493" spans="1:26" ht="18.75">
      <c r="A493" s="149"/>
      <c r="B493" s="146"/>
      <c r="C493" s="147"/>
      <c r="D493" s="148"/>
      <c r="E493" s="148"/>
      <c r="F493" s="149"/>
      <c r="G493" s="158"/>
      <c r="H493" s="158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9"/>
    </row>
    <row r="494" spans="1:26" ht="18.75">
      <c r="A494" s="149"/>
      <c r="B494" s="146"/>
      <c r="C494" s="147"/>
      <c r="D494" s="148"/>
      <c r="E494" s="148"/>
      <c r="F494" s="149"/>
      <c r="G494" s="156"/>
      <c r="H494" s="156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9"/>
    </row>
    <row r="495" spans="1:26" ht="18.75">
      <c r="A495" s="149"/>
      <c r="B495" s="146"/>
      <c r="C495" s="147"/>
      <c r="D495" s="148"/>
      <c r="E495" s="148"/>
      <c r="F495" s="149"/>
      <c r="G495" s="158"/>
      <c r="H495" s="158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9"/>
    </row>
    <row r="496" spans="1:26" ht="18.75">
      <c r="A496" s="149"/>
      <c r="B496" s="146"/>
      <c r="C496" s="147"/>
      <c r="D496" s="148"/>
      <c r="E496" s="148"/>
      <c r="F496" s="149"/>
      <c r="G496" s="156"/>
      <c r="H496" s="156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9"/>
    </row>
    <row r="497" spans="1:26" ht="18.75">
      <c r="A497" s="149"/>
      <c r="B497" s="146"/>
      <c r="C497" s="147"/>
      <c r="D497" s="148"/>
      <c r="E497" s="148"/>
      <c r="F497" s="149"/>
      <c r="G497" s="158"/>
      <c r="H497" s="158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9"/>
    </row>
    <row r="498" spans="1:26" ht="18.75">
      <c r="A498" s="149"/>
      <c r="B498" s="146"/>
      <c r="C498" s="147"/>
      <c r="D498" s="148"/>
      <c r="E498" s="148"/>
      <c r="F498" s="149"/>
      <c r="G498" s="156"/>
      <c r="H498" s="156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9"/>
    </row>
    <row r="499" spans="1:26" ht="18.75">
      <c r="A499" s="149"/>
      <c r="B499" s="146"/>
      <c r="C499" s="147"/>
      <c r="D499" s="148"/>
      <c r="E499" s="148"/>
      <c r="F499" s="149"/>
      <c r="G499" s="158"/>
      <c r="H499" s="158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9"/>
    </row>
    <row r="500" spans="1:26" ht="18.75">
      <c r="A500" s="149"/>
      <c r="B500" s="146"/>
      <c r="C500" s="147"/>
      <c r="D500" s="148"/>
      <c r="E500" s="148"/>
      <c r="F500" s="149"/>
      <c r="G500" s="156"/>
      <c r="H500" s="156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9"/>
    </row>
    <row r="501" spans="1:26" ht="18.75">
      <c r="A501" s="149"/>
      <c r="B501" s="146"/>
      <c r="C501" s="147"/>
      <c r="D501" s="148"/>
      <c r="E501" s="148"/>
      <c r="F501" s="149"/>
      <c r="G501" s="158"/>
      <c r="H501" s="158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9"/>
    </row>
    <row r="502" spans="1:26" ht="18.75">
      <c r="A502" s="149"/>
      <c r="B502" s="146"/>
      <c r="C502" s="147"/>
      <c r="D502" s="148"/>
      <c r="E502" s="148"/>
      <c r="F502" s="149"/>
      <c r="G502" s="156"/>
      <c r="H502" s="156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9"/>
    </row>
    <row r="503" spans="1:26" ht="18.75">
      <c r="A503" s="149"/>
      <c r="B503" s="146"/>
      <c r="C503" s="147"/>
      <c r="D503" s="148"/>
      <c r="E503" s="148"/>
      <c r="F503" s="149"/>
      <c r="G503" s="158"/>
      <c r="H503" s="158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9"/>
    </row>
    <row r="504" spans="1:26" ht="18.75">
      <c r="A504" s="149"/>
      <c r="B504" s="146"/>
      <c r="C504" s="147"/>
      <c r="D504" s="148"/>
      <c r="E504" s="148"/>
      <c r="F504" s="149"/>
      <c r="G504" s="156"/>
      <c r="H504" s="156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</row>
    <row r="505" spans="1:26" ht="18.75">
      <c r="A505" s="149"/>
      <c r="B505" s="146"/>
      <c r="C505" s="147"/>
      <c r="D505" s="148"/>
      <c r="E505" s="148"/>
      <c r="F505" s="149"/>
      <c r="G505" s="158"/>
      <c r="H505" s="158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9"/>
    </row>
    <row r="506" spans="1:26" ht="18.75">
      <c r="A506" s="149"/>
      <c r="B506" s="146"/>
      <c r="C506" s="147"/>
      <c r="D506" s="148"/>
      <c r="E506" s="148"/>
      <c r="F506" s="149"/>
      <c r="G506" s="156"/>
      <c r="H506" s="156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9"/>
    </row>
    <row r="507" spans="1:26" ht="18.75">
      <c r="A507" s="149"/>
      <c r="B507" s="146"/>
      <c r="C507" s="147"/>
      <c r="D507" s="148"/>
      <c r="E507" s="148"/>
      <c r="F507" s="149"/>
      <c r="G507" s="158"/>
      <c r="H507" s="158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9"/>
    </row>
    <row r="508" spans="1:26" ht="18.75">
      <c r="A508" s="149"/>
      <c r="B508" s="146"/>
      <c r="C508" s="147"/>
      <c r="D508" s="148"/>
      <c r="E508" s="148"/>
      <c r="F508" s="149"/>
      <c r="G508" s="156"/>
      <c r="H508" s="156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9"/>
    </row>
    <row r="509" spans="1:26" ht="18.75">
      <c r="A509" s="149"/>
      <c r="B509" s="146"/>
      <c r="C509" s="147"/>
      <c r="D509" s="148"/>
      <c r="E509" s="148"/>
      <c r="F509" s="149"/>
      <c r="G509" s="158"/>
      <c r="H509" s="158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/>
    </row>
    <row r="510" spans="1:26" ht="18.75">
      <c r="A510" s="149"/>
      <c r="B510" s="146"/>
      <c r="C510" s="147"/>
      <c r="D510" s="148"/>
      <c r="E510" s="148"/>
      <c r="F510" s="149"/>
      <c r="G510" s="156"/>
      <c r="H510" s="156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9"/>
    </row>
    <row r="511" spans="1:26" ht="18.75">
      <c r="A511" s="149"/>
      <c r="B511" s="146"/>
      <c r="C511" s="147"/>
      <c r="D511" s="148"/>
      <c r="E511" s="148"/>
      <c r="F511" s="149"/>
      <c r="G511" s="158"/>
      <c r="H511" s="158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9"/>
    </row>
    <row r="512" spans="1:26" ht="18.75">
      <c r="A512" s="149"/>
      <c r="B512" s="146"/>
      <c r="C512" s="147"/>
      <c r="D512" s="148"/>
      <c r="E512" s="148"/>
      <c r="F512" s="149"/>
      <c r="G512" s="156"/>
      <c r="H512" s="156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9"/>
    </row>
    <row r="513" spans="1:26" ht="18.75">
      <c r="A513" s="149"/>
      <c r="B513" s="146"/>
      <c r="C513" s="147"/>
      <c r="D513" s="148"/>
      <c r="E513" s="148"/>
      <c r="F513" s="149"/>
      <c r="G513" s="158"/>
      <c r="H513" s="158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9"/>
    </row>
    <row r="514" spans="1:26" ht="18.75">
      <c r="A514" s="149"/>
      <c r="B514" s="146"/>
      <c r="C514" s="147"/>
      <c r="D514" s="148"/>
      <c r="E514" s="148"/>
      <c r="F514" s="149"/>
      <c r="G514" s="156"/>
      <c r="H514" s="156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9"/>
    </row>
    <row r="515" spans="1:26" ht="18.75">
      <c r="A515" s="149"/>
      <c r="B515" s="146"/>
      <c r="C515" s="147"/>
      <c r="D515" s="148"/>
      <c r="E515" s="148"/>
      <c r="F515" s="149"/>
      <c r="G515" s="158"/>
      <c r="H515" s="158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9"/>
    </row>
    <row r="516" spans="1:26" ht="18.75">
      <c r="A516" s="149"/>
      <c r="B516" s="146"/>
      <c r="C516" s="147"/>
      <c r="D516" s="148"/>
      <c r="E516" s="148"/>
      <c r="F516" s="149"/>
      <c r="G516" s="156"/>
      <c r="H516" s="156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</row>
    <row r="517" spans="1:26" ht="18.75">
      <c r="A517" s="149"/>
      <c r="B517" s="146"/>
      <c r="C517" s="147"/>
      <c r="D517" s="148"/>
      <c r="E517" s="148"/>
      <c r="F517" s="149"/>
      <c r="G517" s="158"/>
      <c r="H517" s="158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</row>
    <row r="518" spans="1:26" ht="18.75">
      <c r="A518" s="149"/>
      <c r="B518" s="146"/>
      <c r="C518" s="147"/>
      <c r="D518" s="148"/>
      <c r="E518" s="148"/>
      <c r="F518" s="149"/>
      <c r="G518" s="156"/>
      <c r="H518" s="156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</row>
    <row r="519" spans="1:26" ht="18.75">
      <c r="A519" s="149"/>
      <c r="B519" s="146"/>
      <c r="C519" s="147"/>
      <c r="D519" s="148"/>
      <c r="E519" s="148"/>
      <c r="F519" s="149"/>
      <c r="G519" s="158"/>
      <c r="H519" s="158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</row>
    <row r="520" spans="1:26" ht="18.75">
      <c r="A520" s="149"/>
      <c r="B520" s="146"/>
      <c r="C520" s="147"/>
      <c r="D520" s="148"/>
      <c r="E520" s="148"/>
      <c r="F520" s="149"/>
      <c r="G520" s="156"/>
      <c r="H520" s="156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/>
    </row>
    <row r="521" spans="1:26" ht="18.75">
      <c r="A521" s="149"/>
      <c r="B521" s="146"/>
      <c r="C521" s="147"/>
      <c r="D521" s="148"/>
      <c r="E521" s="148"/>
      <c r="F521" s="149"/>
      <c r="G521" s="158"/>
      <c r="H521" s="158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9"/>
    </row>
    <row r="522" spans="1:26" ht="18.75">
      <c r="A522" s="149"/>
      <c r="B522" s="146"/>
      <c r="C522" s="147"/>
      <c r="D522" s="148"/>
      <c r="E522" s="148"/>
      <c r="F522" s="149"/>
      <c r="G522" s="156"/>
      <c r="H522" s="156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9"/>
    </row>
    <row r="523" spans="1:26" ht="18.75">
      <c r="A523" s="149"/>
      <c r="B523" s="146"/>
      <c r="C523" s="147"/>
      <c r="D523" s="148"/>
      <c r="E523" s="148"/>
      <c r="F523" s="149"/>
      <c r="G523" s="158"/>
      <c r="H523" s="158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9"/>
    </row>
    <row r="524" spans="1:26" ht="18.75">
      <c r="A524" s="149"/>
      <c r="B524" s="146"/>
      <c r="C524" s="147"/>
      <c r="D524" s="148"/>
      <c r="E524" s="148"/>
      <c r="F524" s="149"/>
      <c r="G524" s="156"/>
      <c r="H524" s="156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9"/>
    </row>
    <row r="525" spans="1:26" ht="18.75">
      <c r="A525" s="149"/>
      <c r="B525" s="146"/>
      <c r="C525" s="147"/>
      <c r="D525" s="148"/>
      <c r="E525" s="148"/>
      <c r="F525" s="149"/>
      <c r="G525" s="158"/>
      <c r="H525" s="158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9"/>
    </row>
    <row r="526" spans="1:26" ht="18.75">
      <c r="A526" s="149"/>
      <c r="B526" s="146"/>
      <c r="C526" s="147"/>
      <c r="D526" s="148"/>
      <c r="E526" s="148"/>
      <c r="F526" s="149"/>
      <c r="G526" s="156"/>
      <c r="H526" s="156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9"/>
    </row>
    <row r="527" spans="1:26" ht="18.75">
      <c r="A527" s="149"/>
      <c r="B527" s="146"/>
      <c r="C527" s="147"/>
      <c r="D527" s="148"/>
      <c r="E527" s="148"/>
      <c r="F527" s="149"/>
      <c r="G527" s="158"/>
      <c r="H527" s="158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9"/>
    </row>
    <row r="528" spans="1:26" ht="18.75">
      <c r="A528" s="149"/>
      <c r="B528" s="146"/>
      <c r="C528" s="147"/>
      <c r="D528" s="148"/>
      <c r="E528" s="148"/>
      <c r="F528" s="149"/>
      <c r="G528" s="156"/>
      <c r="H528" s="156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9"/>
    </row>
    <row r="529" spans="1:26" ht="18.75">
      <c r="A529" s="149"/>
      <c r="B529" s="146"/>
      <c r="C529" s="147"/>
      <c r="D529" s="148"/>
      <c r="E529" s="148"/>
      <c r="F529" s="149"/>
      <c r="G529" s="158"/>
      <c r="H529" s="158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9"/>
    </row>
    <row r="530" spans="1:26" ht="18.75">
      <c r="A530" s="149"/>
      <c r="B530" s="146"/>
      <c r="C530" s="147"/>
      <c r="D530" s="148"/>
      <c r="E530" s="148"/>
      <c r="F530" s="149"/>
      <c r="G530" s="156"/>
      <c r="H530" s="156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9"/>
    </row>
    <row r="531" spans="1:26" ht="18.75">
      <c r="A531" s="149"/>
      <c r="B531" s="146"/>
      <c r="C531" s="147"/>
      <c r="D531" s="148"/>
      <c r="E531" s="148"/>
      <c r="F531" s="149"/>
      <c r="G531" s="158"/>
      <c r="H531" s="158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9"/>
    </row>
    <row r="532" spans="1:26" ht="18.75">
      <c r="A532" s="149"/>
      <c r="B532" s="146"/>
      <c r="C532" s="147"/>
      <c r="D532" s="148"/>
      <c r="E532" s="148"/>
      <c r="F532" s="149"/>
      <c r="G532" s="156"/>
      <c r="H532" s="156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9"/>
    </row>
    <row r="533" spans="1:26" ht="18.75">
      <c r="A533" s="149"/>
      <c r="B533" s="146"/>
      <c r="C533" s="147"/>
      <c r="D533" s="148"/>
      <c r="E533" s="148"/>
      <c r="F533" s="149"/>
      <c r="G533" s="158"/>
      <c r="H533" s="158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9"/>
    </row>
    <row r="534" spans="1:26" ht="18.75">
      <c r="A534" s="149"/>
      <c r="B534" s="146"/>
      <c r="C534" s="147"/>
      <c r="D534" s="148"/>
      <c r="E534" s="148"/>
      <c r="F534" s="149"/>
      <c r="G534" s="156"/>
      <c r="H534" s="156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9"/>
    </row>
    <row r="535" spans="1:26" ht="18.75">
      <c r="A535" s="149"/>
      <c r="B535" s="146"/>
      <c r="C535" s="147"/>
      <c r="D535" s="148"/>
      <c r="E535" s="148"/>
      <c r="F535" s="149"/>
      <c r="G535" s="158"/>
      <c r="H535" s="158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9"/>
    </row>
    <row r="536" spans="1:26" ht="18.75">
      <c r="A536" s="149"/>
      <c r="B536" s="146"/>
      <c r="C536" s="147"/>
      <c r="D536" s="148"/>
      <c r="E536" s="148"/>
      <c r="F536" s="149"/>
      <c r="G536" s="156"/>
      <c r="H536" s="156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9"/>
    </row>
    <row r="537" spans="1:26" ht="18.75">
      <c r="A537" s="149"/>
      <c r="B537" s="146"/>
      <c r="C537" s="147"/>
      <c r="D537" s="148"/>
      <c r="E537" s="148"/>
      <c r="F537" s="149"/>
      <c r="G537" s="158"/>
      <c r="H537" s="158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9"/>
    </row>
    <row r="538" spans="1:26" ht="18.75">
      <c r="A538" s="149"/>
      <c r="B538" s="146"/>
      <c r="C538" s="147"/>
      <c r="D538" s="148"/>
      <c r="E538" s="148"/>
      <c r="F538" s="149"/>
      <c r="G538" s="156"/>
      <c r="H538" s="156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9"/>
    </row>
    <row r="539" spans="1:26" ht="18.75">
      <c r="A539" s="149"/>
      <c r="B539" s="146"/>
      <c r="C539" s="147"/>
      <c r="D539" s="148"/>
      <c r="E539" s="148"/>
      <c r="F539" s="149"/>
      <c r="G539" s="158"/>
      <c r="H539" s="158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9"/>
    </row>
    <row r="540" spans="1:26" ht="18.75">
      <c r="A540" s="149"/>
      <c r="B540" s="146"/>
      <c r="C540" s="147"/>
      <c r="D540" s="148"/>
      <c r="E540" s="148"/>
      <c r="F540" s="149"/>
      <c r="G540" s="156"/>
      <c r="H540" s="156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/>
    </row>
    <row r="541" spans="1:26" ht="18.75">
      <c r="A541" s="149"/>
      <c r="B541" s="146"/>
      <c r="C541" s="147"/>
      <c r="D541" s="148"/>
      <c r="E541" s="148"/>
      <c r="F541" s="149"/>
      <c r="G541" s="158"/>
      <c r="H541" s="158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9"/>
    </row>
    <row r="542" spans="1:26" ht="18.75">
      <c r="A542" s="149"/>
      <c r="B542" s="146"/>
      <c r="C542" s="147"/>
      <c r="D542" s="148"/>
      <c r="E542" s="148"/>
      <c r="F542" s="149"/>
      <c r="G542" s="156"/>
      <c r="H542" s="156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9"/>
    </row>
    <row r="543" spans="1:26" ht="18.75">
      <c r="A543" s="149"/>
      <c r="B543" s="146"/>
      <c r="C543" s="147"/>
      <c r="D543" s="148"/>
      <c r="E543" s="148"/>
      <c r="F543" s="149"/>
      <c r="G543" s="158"/>
      <c r="H543" s="158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9"/>
    </row>
    <row r="544" spans="1:26" ht="18.75">
      <c r="A544" s="149"/>
      <c r="B544" s="146"/>
      <c r="C544" s="147"/>
      <c r="D544" s="148"/>
      <c r="E544" s="148"/>
      <c r="F544" s="149"/>
      <c r="G544" s="156"/>
      <c r="H544" s="156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9"/>
    </row>
    <row r="545" spans="1:26" ht="18.75">
      <c r="A545" s="149"/>
      <c r="B545" s="146"/>
      <c r="C545" s="147"/>
      <c r="D545" s="148"/>
      <c r="E545" s="148"/>
      <c r="F545" s="149"/>
      <c r="G545" s="158"/>
      <c r="H545" s="158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9"/>
    </row>
    <row r="546" spans="1:26" ht="18.75">
      <c r="A546" s="149"/>
      <c r="B546" s="146"/>
      <c r="C546" s="147"/>
      <c r="D546" s="148"/>
      <c r="E546" s="148"/>
      <c r="F546" s="149"/>
      <c r="G546" s="156"/>
      <c r="H546" s="156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</row>
    <row r="547" spans="1:26" ht="18.75">
      <c r="A547" s="149"/>
      <c r="B547" s="146"/>
      <c r="C547" s="147"/>
      <c r="D547" s="148"/>
      <c r="E547" s="148"/>
      <c r="F547" s="149"/>
      <c r="G547" s="158"/>
      <c r="H547" s="158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</row>
    <row r="548" spans="1:26" ht="18.75">
      <c r="A548" s="149"/>
      <c r="B548" s="146"/>
      <c r="C548" s="147"/>
      <c r="D548" s="148"/>
      <c r="E548" s="148"/>
      <c r="F548" s="149"/>
      <c r="G548" s="156"/>
      <c r="H548" s="156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</row>
    <row r="549" spans="1:26" ht="18.75">
      <c r="A549" s="149"/>
      <c r="B549" s="146"/>
      <c r="C549" s="147"/>
      <c r="D549" s="148"/>
      <c r="E549" s="148"/>
      <c r="F549" s="149"/>
      <c r="G549" s="158"/>
      <c r="H549" s="158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</row>
    <row r="550" spans="1:26" ht="18.75">
      <c r="A550" s="149"/>
      <c r="B550" s="146"/>
      <c r="C550" s="147"/>
      <c r="D550" s="148"/>
      <c r="E550" s="148"/>
      <c r="F550" s="149"/>
      <c r="G550" s="156"/>
      <c r="H550" s="156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</row>
    <row r="551" spans="1:26" ht="18.75">
      <c r="A551" s="149"/>
      <c r="B551" s="146"/>
      <c r="C551" s="147"/>
      <c r="D551" s="148"/>
      <c r="E551" s="148"/>
      <c r="F551" s="149"/>
      <c r="G551" s="158"/>
      <c r="H551" s="158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</row>
    <row r="552" spans="1:26" ht="18.75">
      <c r="A552" s="149"/>
      <c r="B552" s="146"/>
      <c r="C552" s="147"/>
      <c r="D552" s="148"/>
      <c r="E552" s="148"/>
      <c r="F552" s="149"/>
      <c r="G552" s="156"/>
      <c r="H552" s="156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</row>
    <row r="553" spans="1:26" ht="18.75">
      <c r="A553" s="149"/>
      <c r="B553" s="146"/>
      <c r="C553" s="147"/>
      <c r="D553" s="148"/>
      <c r="E553" s="148"/>
      <c r="F553" s="149"/>
      <c r="G553" s="158"/>
      <c r="H553" s="158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</row>
    <row r="554" spans="1:26" ht="18.75">
      <c r="A554" s="149"/>
      <c r="B554" s="146"/>
      <c r="C554" s="147"/>
      <c r="D554" s="148"/>
      <c r="E554" s="148"/>
      <c r="F554" s="149"/>
      <c r="G554" s="156"/>
      <c r="H554" s="156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</row>
    <row r="555" spans="1:26" ht="18.75">
      <c r="A555" s="149"/>
      <c r="B555" s="146"/>
      <c r="C555" s="147"/>
      <c r="D555" s="148"/>
      <c r="E555" s="148"/>
      <c r="F555" s="149"/>
      <c r="G555" s="158"/>
      <c r="H555" s="158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</row>
    <row r="556" spans="1:26" ht="18.75">
      <c r="A556" s="149"/>
      <c r="B556" s="146"/>
      <c r="C556" s="147"/>
      <c r="D556" s="148"/>
      <c r="E556" s="148"/>
      <c r="F556" s="149"/>
      <c r="G556" s="156"/>
      <c r="H556" s="156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</row>
    <row r="557" spans="1:26" ht="18.75">
      <c r="A557" s="149"/>
      <c r="B557" s="146"/>
      <c r="C557" s="147"/>
      <c r="D557" s="148"/>
      <c r="E557" s="148"/>
      <c r="F557" s="149"/>
      <c r="G557" s="158"/>
      <c r="H557" s="158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</row>
    <row r="558" spans="1:26" ht="18.75">
      <c r="A558" s="149"/>
      <c r="B558" s="146"/>
      <c r="C558" s="147"/>
      <c r="D558" s="148"/>
      <c r="E558" s="148"/>
      <c r="F558" s="149"/>
      <c r="G558" s="156"/>
      <c r="H558" s="156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</row>
    <row r="559" spans="1:26" ht="18.75">
      <c r="A559" s="149"/>
      <c r="B559" s="146"/>
      <c r="C559" s="147"/>
      <c r="D559" s="148"/>
      <c r="E559" s="148"/>
      <c r="F559" s="149"/>
      <c r="G559" s="158"/>
      <c r="H559" s="158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</row>
    <row r="560" spans="1:26" ht="18.75">
      <c r="A560" s="149"/>
      <c r="B560" s="146"/>
      <c r="C560" s="147"/>
      <c r="D560" s="148"/>
      <c r="E560" s="148"/>
      <c r="F560" s="149"/>
      <c r="G560" s="156"/>
      <c r="H560" s="156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</row>
    <row r="561" spans="1:26" ht="18.75">
      <c r="A561" s="149"/>
      <c r="B561" s="146"/>
      <c r="C561" s="147"/>
      <c r="D561" s="148"/>
      <c r="E561" s="148"/>
      <c r="F561" s="149"/>
      <c r="G561" s="158"/>
      <c r="H561" s="158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</row>
    <row r="562" spans="1:26" ht="18.75">
      <c r="A562" s="149"/>
      <c r="B562" s="146"/>
      <c r="C562" s="147"/>
      <c r="D562" s="148"/>
      <c r="E562" s="148"/>
      <c r="F562" s="149"/>
      <c r="G562" s="156"/>
      <c r="H562" s="156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</row>
    <row r="563" spans="1:26" ht="18.75">
      <c r="A563" s="149"/>
      <c r="B563" s="146"/>
      <c r="C563" s="147"/>
      <c r="D563" s="148"/>
      <c r="E563" s="148"/>
      <c r="F563" s="149"/>
      <c r="G563" s="158"/>
      <c r="H563" s="158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</row>
    <row r="564" spans="1:26" ht="18.75">
      <c r="A564" s="149"/>
      <c r="B564" s="146"/>
      <c r="C564" s="147"/>
      <c r="D564" s="148"/>
      <c r="E564" s="148"/>
      <c r="F564" s="149"/>
      <c r="G564" s="156"/>
      <c r="H564" s="156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</row>
    <row r="565" spans="1:26" ht="18.75">
      <c r="A565" s="149"/>
      <c r="B565" s="146"/>
      <c r="C565" s="147"/>
      <c r="D565" s="148"/>
      <c r="E565" s="148"/>
      <c r="F565" s="149"/>
      <c r="G565" s="158"/>
      <c r="H565" s="158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</row>
    <row r="566" spans="1:26" ht="18.75">
      <c r="A566" s="149"/>
      <c r="B566" s="146"/>
      <c r="C566" s="147"/>
      <c r="D566" s="148"/>
      <c r="E566" s="148"/>
      <c r="F566" s="149"/>
      <c r="G566" s="156"/>
      <c r="H566" s="156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</row>
    <row r="567" spans="1:26" ht="18.75">
      <c r="A567" s="149"/>
      <c r="B567" s="146"/>
      <c r="C567" s="147"/>
      <c r="D567" s="148"/>
      <c r="E567" s="148"/>
      <c r="F567" s="149"/>
      <c r="G567" s="158"/>
      <c r="H567" s="158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</row>
    <row r="568" spans="1:26" ht="18.75">
      <c r="A568" s="149"/>
      <c r="B568" s="146"/>
      <c r="C568" s="147"/>
      <c r="D568" s="148"/>
      <c r="E568" s="148"/>
      <c r="F568" s="149"/>
      <c r="G568" s="156"/>
      <c r="H568" s="156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</row>
    <row r="569" spans="1:26" ht="18.75">
      <c r="A569" s="149"/>
      <c r="B569" s="146"/>
      <c r="C569" s="147"/>
      <c r="D569" s="148"/>
      <c r="E569" s="148"/>
      <c r="F569" s="149"/>
      <c r="G569" s="158"/>
      <c r="H569" s="158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</row>
    <row r="570" spans="1:26" ht="18.75">
      <c r="A570" s="149"/>
      <c r="B570" s="146"/>
      <c r="C570" s="147"/>
      <c r="D570" s="148"/>
      <c r="E570" s="148"/>
      <c r="F570" s="149"/>
      <c r="G570" s="156"/>
      <c r="H570" s="156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</row>
    <row r="571" spans="1:26" ht="18.75">
      <c r="A571" s="149"/>
      <c r="B571" s="146"/>
      <c r="C571" s="147"/>
      <c r="D571" s="148"/>
      <c r="E571" s="148"/>
      <c r="F571" s="149"/>
      <c r="G571" s="158"/>
      <c r="H571" s="158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</row>
    <row r="572" spans="1:26" ht="18.75">
      <c r="A572" s="149"/>
      <c r="B572" s="146"/>
      <c r="C572" s="147"/>
      <c r="D572" s="148"/>
      <c r="E572" s="148"/>
      <c r="F572" s="149"/>
      <c r="G572" s="156"/>
      <c r="H572" s="156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</row>
    <row r="573" spans="1:26" ht="18.75">
      <c r="A573" s="149"/>
      <c r="B573" s="146"/>
      <c r="C573" s="147"/>
      <c r="D573" s="148"/>
      <c r="E573" s="148"/>
      <c r="F573" s="149"/>
      <c r="G573" s="158"/>
      <c r="H573" s="158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</row>
    <row r="574" spans="1:26" ht="18.75">
      <c r="A574" s="149"/>
      <c r="B574" s="146"/>
      <c r="C574" s="147"/>
      <c r="D574" s="148"/>
      <c r="E574" s="148"/>
      <c r="F574" s="149"/>
      <c r="G574" s="156"/>
      <c r="H574" s="156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</row>
    <row r="575" spans="1:26" ht="18.75">
      <c r="A575" s="149"/>
      <c r="B575" s="146"/>
      <c r="C575" s="147"/>
      <c r="D575" s="148"/>
      <c r="E575" s="148"/>
      <c r="F575" s="149"/>
      <c r="G575" s="158"/>
      <c r="H575" s="158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</row>
    <row r="576" spans="1:26" ht="18.75">
      <c r="A576" s="149"/>
      <c r="B576" s="146"/>
      <c r="C576" s="147"/>
      <c r="D576" s="148"/>
      <c r="E576" s="148"/>
      <c r="F576" s="149"/>
      <c r="G576" s="156"/>
      <c r="H576" s="156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</row>
    <row r="577" spans="1:26" ht="18.75">
      <c r="A577" s="149"/>
      <c r="B577" s="146"/>
      <c r="C577" s="147"/>
      <c r="D577" s="148"/>
      <c r="E577" s="148"/>
      <c r="F577" s="149"/>
      <c r="G577" s="158"/>
      <c r="H577" s="158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</row>
    <row r="578" spans="1:26" ht="18.75">
      <c r="A578" s="149"/>
      <c r="B578" s="146"/>
      <c r="C578" s="147"/>
      <c r="D578" s="148"/>
      <c r="E578" s="148"/>
      <c r="F578" s="149"/>
      <c r="G578" s="156"/>
      <c r="H578" s="156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9"/>
    </row>
    <row r="579" spans="1:26" ht="18.75">
      <c r="A579" s="149"/>
      <c r="B579" s="146"/>
      <c r="C579" s="147"/>
      <c r="D579" s="148"/>
      <c r="E579" s="148"/>
      <c r="F579" s="149"/>
      <c r="G579" s="158"/>
      <c r="H579" s="158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</row>
    <row r="580" spans="1:26" ht="18.75">
      <c r="A580" s="149"/>
      <c r="B580" s="146"/>
      <c r="C580" s="147"/>
      <c r="D580" s="148"/>
      <c r="E580" s="148"/>
      <c r="F580" s="149"/>
      <c r="G580" s="156"/>
      <c r="H580" s="156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</row>
    <row r="581" spans="1:26" ht="18.75">
      <c r="A581" s="149"/>
      <c r="B581" s="146"/>
      <c r="C581" s="147"/>
      <c r="D581" s="148"/>
      <c r="E581" s="148"/>
      <c r="F581" s="149"/>
      <c r="G581" s="158"/>
      <c r="H581" s="158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</row>
    <row r="582" spans="1:26" ht="18.75">
      <c r="A582" s="149"/>
      <c r="B582" s="146"/>
      <c r="C582" s="147"/>
      <c r="D582" s="148"/>
      <c r="E582" s="148"/>
      <c r="F582" s="149"/>
      <c r="G582" s="156"/>
      <c r="H582" s="156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</row>
    <row r="583" spans="1:26" ht="18.75">
      <c r="A583" s="149"/>
      <c r="B583" s="146"/>
      <c r="C583" s="147"/>
      <c r="D583" s="148"/>
      <c r="E583" s="148"/>
      <c r="F583" s="149"/>
      <c r="G583" s="158"/>
      <c r="H583" s="158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</row>
    <row r="584" spans="1:26" ht="18.75">
      <c r="A584" s="149"/>
      <c r="B584" s="146"/>
      <c r="C584" s="147"/>
      <c r="D584" s="148"/>
      <c r="E584" s="148"/>
      <c r="F584" s="149"/>
      <c r="G584" s="156"/>
      <c r="H584" s="156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</row>
    <row r="585" spans="1:26" ht="18.75">
      <c r="A585" s="149"/>
      <c r="B585" s="146"/>
      <c r="C585" s="147"/>
      <c r="D585" s="148"/>
      <c r="E585" s="148"/>
      <c r="F585" s="149"/>
      <c r="G585" s="158"/>
      <c r="H585" s="158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</row>
    <row r="586" spans="1:26" ht="18.75">
      <c r="A586" s="149"/>
      <c r="B586" s="146"/>
      <c r="C586" s="147"/>
      <c r="D586" s="148"/>
      <c r="E586" s="148"/>
      <c r="F586" s="149"/>
      <c r="G586" s="156"/>
      <c r="H586" s="156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</row>
    <row r="587" spans="1:26" ht="18.75">
      <c r="A587" s="149"/>
      <c r="B587" s="146"/>
      <c r="C587" s="147"/>
      <c r="D587" s="148"/>
      <c r="E587" s="148"/>
      <c r="F587" s="149"/>
      <c r="G587" s="158"/>
      <c r="H587" s="158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</row>
    <row r="588" spans="1:26" ht="18.75">
      <c r="A588" s="149"/>
      <c r="B588" s="146"/>
      <c r="C588" s="147"/>
      <c r="D588" s="148"/>
      <c r="E588" s="148"/>
      <c r="F588" s="149"/>
      <c r="G588" s="156"/>
      <c r="H588" s="156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</row>
    <row r="589" spans="1:26" ht="18.75">
      <c r="A589" s="149"/>
      <c r="B589" s="146"/>
      <c r="C589" s="147"/>
      <c r="D589" s="148"/>
      <c r="E589" s="148"/>
      <c r="F589" s="149"/>
      <c r="G589" s="158"/>
      <c r="H589" s="158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</row>
    <row r="590" spans="1:26" ht="18.75">
      <c r="A590" s="149"/>
      <c r="B590" s="146"/>
      <c r="C590" s="147"/>
      <c r="D590" s="148"/>
      <c r="E590" s="148"/>
      <c r="F590" s="149"/>
      <c r="G590" s="156"/>
      <c r="H590" s="156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</row>
    <row r="591" spans="1:26" ht="18.75">
      <c r="A591" s="149"/>
      <c r="B591" s="146"/>
      <c r="C591" s="147"/>
      <c r="D591" s="148"/>
      <c r="E591" s="148"/>
      <c r="F591" s="149"/>
      <c r="G591" s="158"/>
      <c r="H591" s="158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</row>
    <row r="592" spans="1:26" ht="18.75">
      <c r="A592" s="149"/>
      <c r="B592" s="146"/>
      <c r="C592" s="147"/>
      <c r="D592" s="148"/>
      <c r="E592" s="148"/>
      <c r="F592" s="149"/>
      <c r="G592" s="156"/>
      <c r="H592" s="156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</row>
    <row r="593" spans="1:26" ht="18.75">
      <c r="A593" s="149"/>
      <c r="B593" s="146"/>
      <c r="C593" s="147"/>
      <c r="D593" s="148"/>
      <c r="E593" s="148"/>
      <c r="F593" s="149"/>
      <c r="G593" s="158"/>
      <c r="H593" s="158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</row>
    <row r="594" spans="1:26" ht="18.75">
      <c r="A594" s="149"/>
      <c r="B594" s="146"/>
      <c r="C594" s="147"/>
      <c r="D594" s="148"/>
      <c r="E594" s="148"/>
      <c r="F594" s="149"/>
      <c r="G594" s="156"/>
      <c r="H594" s="156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</row>
    <row r="595" spans="1:26" ht="18.75">
      <c r="A595" s="149"/>
      <c r="B595" s="146"/>
      <c r="C595" s="147"/>
      <c r="D595" s="148"/>
      <c r="E595" s="148"/>
      <c r="F595" s="149"/>
      <c r="G595" s="158"/>
      <c r="H595" s="158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</row>
    <row r="596" spans="1:26" ht="18.75">
      <c r="A596" s="149"/>
      <c r="B596" s="146"/>
      <c r="C596" s="147"/>
      <c r="D596" s="148"/>
      <c r="E596" s="148"/>
      <c r="F596" s="149"/>
      <c r="G596" s="156"/>
      <c r="H596" s="156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</row>
    <row r="597" spans="1:26" ht="18.75">
      <c r="A597" s="149"/>
      <c r="B597" s="146"/>
      <c r="C597" s="147"/>
      <c r="D597" s="148"/>
      <c r="E597" s="148"/>
      <c r="F597" s="149"/>
      <c r="G597" s="158"/>
      <c r="H597" s="158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</row>
    <row r="598" spans="1:26" ht="18.75">
      <c r="A598" s="149"/>
      <c r="B598" s="146"/>
      <c r="C598" s="147"/>
      <c r="D598" s="148"/>
      <c r="E598" s="148"/>
      <c r="F598" s="149"/>
      <c r="G598" s="156"/>
      <c r="H598" s="156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</row>
    <row r="599" spans="1:26" ht="18.75">
      <c r="A599" s="149"/>
      <c r="B599" s="146"/>
      <c r="C599" s="147"/>
      <c r="D599" s="148"/>
      <c r="E599" s="148"/>
      <c r="F599" s="149"/>
      <c r="G599" s="158"/>
      <c r="H599" s="158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</row>
    <row r="600" spans="1:26" ht="18.75">
      <c r="A600" s="149"/>
      <c r="B600" s="146"/>
      <c r="C600" s="147"/>
      <c r="D600" s="148"/>
      <c r="E600" s="148"/>
      <c r="F600" s="149"/>
      <c r="G600" s="156"/>
      <c r="H600" s="156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</row>
    <row r="601" spans="1:26" ht="18.75">
      <c r="A601" s="149"/>
      <c r="B601" s="146"/>
      <c r="C601" s="147"/>
      <c r="D601" s="148"/>
      <c r="E601" s="148"/>
      <c r="F601" s="149"/>
      <c r="G601" s="158"/>
      <c r="H601" s="158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</row>
    <row r="602" spans="1:26" ht="18.75">
      <c r="A602" s="149"/>
      <c r="B602" s="146"/>
      <c r="C602" s="147"/>
      <c r="D602" s="148"/>
      <c r="E602" s="148"/>
      <c r="F602" s="149"/>
      <c r="G602" s="156"/>
      <c r="H602" s="156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</row>
    <row r="603" spans="1:26" ht="18.75">
      <c r="A603" s="149"/>
      <c r="B603" s="146"/>
      <c r="C603" s="147"/>
      <c r="D603" s="148"/>
      <c r="E603" s="148"/>
      <c r="F603" s="149"/>
      <c r="G603" s="158"/>
      <c r="H603" s="158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</row>
    <row r="604" spans="1:26" ht="18.75">
      <c r="A604" s="149"/>
      <c r="B604" s="146"/>
      <c r="C604" s="147"/>
      <c r="D604" s="148"/>
      <c r="E604" s="148"/>
      <c r="F604" s="149"/>
      <c r="G604" s="156"/>
      <c r="H604" s="156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</row>
    <row r="605" spans="1:26" ht="18.75">
      <c r="A605" s="149"/>
      <c r="B605" s="146"/>
      <c r="C605" s="147"/>
      <c r="D605" s="148"/>
      <c r="E605" s="148"/>
      <c r="F605" s="149"/>
      <c r="G605" s="158"/>
      <c r="H605" s="158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</row>
    <row r="606" spans="1:26" ht="18.75">
      <c r="A606" s="149"/>
      <c r="B606" s="146"/>
      <c r="C606" s="147"/>
      <c r="D606" s="148"/>
      <c r="E606" s="148"/>
      <c r="F606" s="149"/>
      <c r="G606" s="156"/>
      <c r="H606" s="156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</row>
    <row r="607" spans="1:26" ht="18.75">
      <c r="A607" s="149"/>
      <c r="B607" s="146"/>
      <c r="C607" s="147"/>
      <c r="D607" s="148"/>
      <c r="E607" s="148"/>
      <c r="F607" s="149"/>
      <c r="G607" s="158"/>
      <c r="H607" s="158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</row>
    <row r="608" spans="1:26" ht="18.75">
      <c r="A608" s="149"/>
      <c r="B608" s="146"/>
      <c r="C608" s="147"/>
      <c r="D608" s="148"/>
      <c r="E608" s="148"/>
      <c r="F608" s="149"/>
      <c r="G608" s="156"/>
      <c r="H608" s="156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</row>
    <row r="609" spans="1:26" ht="18.75">
      <c r="A609" s="149"/>
      <c r="B609" s="146"/>
      <c r="C609" s="147"/>
      <c r="D609" s="148"/>
      <c r="E609" s="148"/>
      <c r="F609" s="149"/>
      <c r="G609" s="158"/>
      <c r="H609" s="158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</row>
    <row r="610" spans="1:26" ht="18.75">
      <c r="A610" s="149"/>
      <c r="B610" s="146"/>
      <c r="C610" s="147"/>
      <c r="D610" s="148"/>
      <c r="E610" s="148"/>
      <c r="F610" s="149"/>
      <c r="G610" s="156"/>
      <c r="H610" s="156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</row>
    <row r="611" spans="1:26" ht="18.75">
      <c r="A611" s="149"/>
      <c r="B611" s="146"/>
      <c r="C611" s="147"/>
      <c r="D611" s="148"/>
      <c r="E611" s="148"/>
      <c r="F611" s="149"/>
      <c r="G611" s="158"/>
      <c r="H611" s="158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</row>
    <row r="612" spans="1:26" ht="18.75">
      <c r="A612" s="149"/>
      <c r="B612" s="146"/>
      <c r="C612" s="147"/>
      <c r="D612" s="148"/>
      <c r="E612" s="148"/>
      <c r="F612" s="149"/>
      <c r="G612" s="156"/>
      <c r="H612" s="156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</row>
    <row r="613" spans="1:26" ht="18.75">
      <c r="A613" s="149"/>
      <c r="B613" s="146"/>
      <c r="C613" s="147"/>
      <c r="D613" s="148"/>
      <c r="E613" s="148"/>
      <c r="F613" s="149"/>
      <c r="G613" s="158"/>
      <c r="H613" s="158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</row>
    <row r="614" spans="1:26" ht="18.75">
      <c r="A614" s="149"/>
      <c r="B614" s="146"/>
      <c r="C614" s="147"/>
      <c r="D614" s="148"/>
      <c r="E614" s="148"/>
      <c r="F614" s="149"/>
      <c r="G614" s="156"/>
      <c r="H614" s="156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</row>
    <row r="615" spans="1:26" ht="18.75">
      <c r="A615" s="149"/>
      <c r="B615" s="146"/>
      <c r="C615" s="147"/>
      <c r="D615" s="148"/>
      <c r="E615" s="148"/>
      <c r="F615" s="149"/>
      <c r="G615" s="158"/>
      <c r="H615" s="158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</row>
    <row r="616" spans="1:26" ht="18.75">
      <c r="A616" s="149"/>
      <c r="B616" s="146"/>
      <c r="C616" s="147"/>
      <c r="D616" s="148"/>
      <c r="E616" s="148"/>
      <c r="F616" s="149"/>
      <c r="G616" s="156"/>
      <c r="H616" s="156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</row>
    <row r="617" spans="1:26" ht="18.75">
      <c r="A617" s="149"/>
      <c r="B617" s="146"/>
      <c r="C617" s="147"/>
      <c r="D617" s="148"/>
      <c r="E617" s="148"/>
      <c r="F617" s="149"/>
      <c r="G617" s="158"/>
      <c r="H617" s="158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</row>
    <row r="618" spans="1:26" ht="18.75">
      <c r="A618" s="149"/>
      <c r="B618" s="146"/>
      <c r="C618" s="147"/>
      <c r="D618" s="148"/>
      <c r="E618" s="148"/>
      <c r="F618" s="149"/>
      <c r="G618" s="156"/>
      <c r="H618" s="156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</row>
    <row r="619" spans="1:26" ht="18.75">
      <c r="A619" s="149"/>
      <c r="B619" s="146"/>
      <c r="C619" s="147"/>
      <c r="D619" s="148"/>
      <c r="E619" s="148"/>
      <c r="F619" s="149"/>
      <c r="G619" s="158"/>
      <c r="H619" s="158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</row>
    <row r="620" spans="1:26" ht="18.75">
      <c r="A620" s="149"/>
      <c r="B620" s="146"/>
      <c r="C620" s="147"/>
      <c r="D620" s="148"/>
      <c r="E620" s="148"/>
      <c r="F620" s="149"/>
      <c r="G620" s="156"/>
      <c r="H620" s="156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</row>
    <row r="621" spans="1:26" ht="18.75">
      <c r="A621" s="149"/>
      <c r="B621" s="146"/>
      <c r="C621" s="147"/>
      <c r="D621" s="148"/>
      <c r="E621" s="148"/>
      <c r="F621" s="149"/>
      <c r="G621" s="158"/>
      <c r="H621" s="158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</row>
    <row r="622" spans="1:26" ht="18.75">
      <c r="A622" s="149"/>
      <c r="B622" s="146"/>
      <c r="C622" s="147"/>
      <c r="D622" s="148"/>
      <c r="E622" s="148"/>
      <c r="F622" s="149"/>
      <c r="G622" s="156"/>
      <c r="H622" s="156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</row>
    <row r="623" spans="1:26" ht="18.75">
      <c r="A623" s="149"/>
      <c r="B623" s="146"/>
      <c r="C623" s="147"/>
      <c r="D623" s="148"/>
      <c r="E623" s="148"/>
      <c r="F623" s="149"/>
      <c r="G623" s="158"/>
      <c r="H623" s="158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</row>
    <row r="624" spans="1:26" ht="18.75">
      <c r="A624" s="149"/>
      <c r="B624" s="146"/>
      <c r="C624" s="147"/>
      <c r="D624" s="148"/>
      <c r="E624" s="148"/>
      <c r="F624" s="149"/>
      <c r="G624" s="156"/>
      <c r="H624" s="156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</row>
    <row r="625" spans="1:26" ht="18.75">
      <c r="A625" s="149"/>
      <c r="B625" s="146"/>
      <c r="C625" s="147"/>
      <c r="D625" s="148"/>
      <c r="E625" s="148"/>
      <c r="F625" s="149"/>
      <c r="G625" s="158"/>
      <c r="H625" s="158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</row>
    <row r="626" spans="1:26" ht="18.75">
      <c r="A626" s="149"/>
      <c r="B626" s="146"/>
      <c r="C626" s="147"/>
      <c r="D626" s="148"/>
      <c r="E626" s="148"/>
      <c r="F626" s="149"/>
      <c r="G626" s="156"/>
      <c r="H626" s="156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</row>
    <row r="627" spans="1:26" ht="18.75">
      <c r="A627" s="149"/>
      <c r="B627" s="146"/>
      <c r="C627" s="147"/>
      <c r="D627" s="148"/>
      <c r="E627" s="148"/>
      <c r="F627" s="149"/>
      <c r="G627" s="158"/>
      <c r="H627" s="158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</row>
    <row r="628" spans="1:26" ht="18.75">
      <c r="A628" s="149"/>
      <c r="B628" s="146"/>
      <c r="C628" s="147"/>
      <c r="D628" s="148"/>
      <c r="E628" s="148"/>
      <c r="F628" s="149"/>
      <c r="G628" s="156"/>
      <c r="H628" s="156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</row>
    <row r="629" spans="1:26" ht="18.75">
      <c r="A629" s="149"/>
      <c r="B629" s="146"/>
      <c r="C629" s="147"/>
      <c r="D629" s="148"/>
      <c r="E629" s="148"/>
      <c r="F629" s="149"/>
      <c r="G629" s="158"/>
      <c r="H629" s="158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</row>
    <row r="630" spans="1:26" ht="18.75">
      <c r="A630" s="149"/>
      <c r="B630" s="146"/>
      <c r="C630" s="147"/>
      <c r="D630" s="148"/>
      <c r="E630" s="148"/>
      <c r="F630" s="149"/>
      <c r="G630" s="156"/>
      <c r="H630" s="156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/>
    </row>
    <row r="631" spans="1:26" ht="18.75">
      <c r="A631" s="149"/>
      <c r="B631" s="146"/>
      <c r="C631" s="147"/>
      <c r="D631" s="148"/>
      <c r="E631" s="148"/>
      <c r="F631" s="149"/>
      <c r="G631" s="158"/>
      <c r="H631" s="158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/>
    </row>
    <row r="632" spans="1:26" ht="18.75">
      <c r="A632" s="149"/>
      <c r="B632" s="146"/>
      <c r="C632" s="147"/>
      <c r="D632" s="148"/>
      <c r="E632" s="148"/>
      <c r="F632" s="149"/>
      <c r="G632" s="156"/>
      <c r="H632" s="156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/>
    </row>
    <row r="633" spans="1:26" ht="18.75">
      <c r="A633" s="149"/>
      <c r="B633" s="146"/>
      <c r="C633" s="147"/>
      <c r="D633" s="148"/>
      <c r="E633" s="148"/>
      <c r="F633" s="149"/>
      <c r="G633" s="158"/>
      <c r="H633" s="158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/>
    </row>
    <row r="634" spans="1:26" ht="18.75">
      <c r="A634" s="149"/>
      <c r="B634" s="146"/>
      <c r="C634" s="147"/>
      <c r="D634" s="148"/>
      <c r="E634" s="148"/>
      <c r="F634" s="149"/>
      <c r="G634" s="156"/>
      <c r="H634" s="156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9"/>
    </row>
    <row r="635" spans="1:26" ht="18.75">
      <c r="A635" s="149"/>
      <c r="B635" s="146"/>
      <c r="C635" s="147"/>
      <c r="D635" s="148"/>
      <c r="E635" s="148"/>
      <c r="F635" s="149"/>
      <c r="G635" s="158"/>
      <c r="H635" s="158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9"/>
    </row>
    <row r="636" spans="1:26" ht="18.75">
      <c r="A636" s="149"/>
      <c r="B636" s="146"/>
      <c r="C636" s="147"/>
      <c r="D636" s="148"/>
      <c r="E636" s="148"/>
      <c r="F636" s="149"/>
      <c r="G636" s="156"/>
      <c r="H636" s="156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9"/>
    </row>
    <row r="637" spans="1:26" ht="18.75">
      <c r="A637" s="149"/>
      <c r="B637" s="146"/>
      <c r="C637" s="147"/>
      <c r="D637" s="148"/>
      <c r="E637" s="148"/>
      <c r="F637" s="149"/>
      <c r="G637" s="158"/>
      <c r="H637" s="158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9"/>
    </row>
    <row r="638" spans="1:26" ht="18.75">
      <c r="A638" s="149"/>
      <c r="B638" s="146"/>
      <c r="C638" s="147"/>
      <c r="D638" s="148"/>
      <c r="E638" s="148"/>
      <c r="F638" s="149"/>
      <c r="G638" s="156"/>
      <c r="H638" s="156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9"/>
    </row>
    <row r="639" spans="1:26" ht="18.75">
      <c r="A639" s="149"/>
      <c r="B639" s="146"/>
      <c r="C639" s="147"/>
      <c r="D639" s="148"/>
      <c r="E639" s="148"/>
      <c r="F639" s="149"/>
      <c r="G639" s="158"/>
      <c r="H639" s="158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9"/>
    </row>
    <row r="640" spans="1:26" ht="18.75">
      <c r="A640" s="149"/>
      <c r="B640" s="146"/>
      <c r="C640" s="147"/>
      <c r="D640" s="148"/>
      <c r="E640" s="148"/>
      <c r="F640" s="149"/>
      <c r="G640" s="156"/>
      <c r="H640" s="156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9"/>
    </row>
    <row r="641" spans="1:26" ht="18.75">
      <c r="A641" s="149"/>
      <c r="B641" s="146"/>
      <c r="C641" s="147"/>
      <c r="D641" s="148"/>
      <c r="E641" s="148"/>
      <c r="F641" s="149"/>
      <c r="G641" s="158"/>
      <c r="H641" s="158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9"/>
    </row>
    <row r="642" spans="1:26" ht="18.75">
      <c r="A642" s="149"/>
      <c r="B642" s="146"/>
      <c r="C642" s="147"/>
      <c r="D642" s="148"/>
      <c r="E642" s="148"/>
      <c r="F642" s="149"/>
      <c r="G642" s="156"/>
      <c r="H642" s="156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9"/>
    </row>
    <row r="643" spans="1:26" ht="18.75">
      <c r="A643" s="149"/>
      <c r="B643" s="146"/>
      <c r="C643" s="147"/>
      <c r="D643" s="148"/>
      <c r="E643" s="148"/>
      <c r="F643" s="149"/>
      <c r="G643" s="158"/>
      <c r="H643" s="158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9"/>
    </row>
    <row r="644" spans="1:26" ht="18.75">
      <c r="A644" s="149"/>
      <c r="B644" s="146"/>
      <c r="C644" s="147"/>
      <c r="D644" s="148"/>
      <c r="E644" s="148"/>
      <c r="F644" s="149"/>
      <c r="G644" s="156"/>
      <c r="H644" s="156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9"/>
    </row>
    <row r="645" spans="1:26" ht="18.75">
      <c r="A645" s="149"/>
      <c r="B645" s="146"/>
      <c r="C645" s="147"/>
      <c r="D645" s="148"/>
      <c r="E645" s="148"/>
      <c r="F645" s="149"/>
      <c r="G645" s="158"/>
      <c r="H645" s="158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9"/>
    </row>
    <row r="646" spans="1:26" ht="18.75">
      <c r="A646" s="149"/>
      <c r="B646" s="146"/>
      <c r="C646" s="147"/>
      <c r="D646" s="148"/>
      <c r="E646" s="148"/>
      <c r="F646" s="149"/>
      <c r="G646" s="156"/>
      <c r="H646" s="156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</row>
    <row r="647" spans="1:26" ht="18.75">
      <c r="A647" s="149"/>
      <c r="B647" s="146"/>
      <c r="C647" s="147"/>
      <c r="D647" s="148"/>
      <c r="E647" s="148"/>
      <c r="F647" s="149"/>
      <c r="G647" s="158"/>
      <c r="H647" s="158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9"/>
    </row>
    <row r="648" spans="1:26" ht="18.75">
      <c r="A648" s="149"/>
      <c r="B648" s="146"/>
      <c r="C648" s="147"/>
      <c r="D648" s="148"/>
      <c r="E648" s="148"/>
      <c r="F648" s="149"/>
      <c r="G648" s="156"/>
      <c r="H648" s="156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9"/>
    </row>
    <row r="649" spans="1:26" ht="18.75">
      <c r="A649" s="149"/>
      <c r="B649" s="146"/>
      <c r="C649" s="147"/>
      <c r="D649" s="148"/>
      <c r="E649" s="148"/>
      <c r="F649" s="149"/>
      <c r="G649" s="158"/>
      <c r="H649" s="158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9"/>
    </row>
    <row r="650" spans="1:26" ht="18.75">
      <c r="A650" s="149"/>
      <c r="B650" s="146"/>
      <c r="C650" s="147"/>
      <c r="D650" s="148"/>
      <c r="E650" s="148"/>
      <c r="F650" s="149"/>
      <c r="G650" s="156"/>
      <c r="H650" s="156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9"/>
    </row>
    <row r="651" spans="1:26" ht="18.75">
      <c r="A651" s="149"/>
      <c r="B651" s="146"/>
      <c r="C651" s="147"/>
      <c r="D651" s="148"/>
      <c r="E651" s="148"/>
      <c r="F651" s="149"/>
      <c r="G651" s="158"/>
      <c r="H651" s="158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9"/>
    </row>
    <row r="652" spans="1:26" ht="18.75">
      <c r="A652" s="149"/>
      <c r="B652" s="146"/>
      <c r="C652" s="147"/>
      <c r="D652" s="148"/>
      <c r="E652" s="148"/>
      <c r="F652" s="149"/>
      <c r="G652" s="156"/>
      <c r="H652" s="156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9"/>
    </row>
    <row r="653" spans="1:26" ht="18.75">
      <c r="A653" s="149"/>
      <c r="B653" s="146"/>
      <c r="C653" s="147"/>
      <c r="D653" s="148"/>
      <c r="E653" s="148"/>
      <c r="F653" s="149"/>
      <c r="G653" s="158"/>
      <c r="H653" s="158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9"/>
    </row>
    <row r="654" spans="1:26" ht="18.75">
      <c r="A654" s="149"/>
      <c r="B654" s="146"/>
      <c r="C654" s="147"/>
      <c r="D654" s="148"/>
      <c r="E654" s="148"/>
      <c r="F654" s="149"/>
      <c r="G654" s="156"/>
      <c r="H654" s="156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9"/>
    </row>
    <row r="655" spans="1:26" ht="18.75">
      <c r="A655" s="149"/>
      <c r="B655" s="146"/>
      <c r="C655" s="147"/>
      <c r="D655" s="148"/>
      <c r="E655" s="148"/>
      <c r="F655" s="149"/>
      <c r="G655" s="158"/>
      <c r="H655" s="158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9"/>
    </row>
    <row r="656" spans="1:26" ht="18.75">
      <c r="A656" s="149"/>
      <c r="B656" s="146"/>
      <c r="C656" s="147"/>
      <c r="D656" s="148"/>
      <c r="E656" s="148"/>
      <c r="F656" s="149"/>
      <c r="G656" s="156"/>
      <c r="H656" s="156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/>
    </row>
    <row r="657" spans="1:26" ht="18.75">
      <c r="A657" s="149"/>
      <c r="B657" s="146"/>
      <c r="C657" s="147"/>
      <c r="D657" s="148"/>
      <c r="E657" s="148"/>
      <c r="F657" s="149"/>
      <c r="G657" s="158"/>
      <c r="H657" s="158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</row>
    <row r="658" spans="1:26" ht="18.75">
      <c r="A658" s="149"/>
      <c r="B658" s="146"/>
      <c r="C658" s="147"/>
      <c r="D658" s="148"/>
      <c r="E658" s="148"/>
      <c r="F658" s="149"/>
      <c r="G658" s="156"/>
      <c r="H658" s="156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/>
    </row>
    <row r="659" spans="1:26" ht="18.75">
      <c r="A659" s="149"/>
      <c r="B659" s="146"/>
      <c r="C659" s="147"/>
      <c r="D659" s="148"/>
      <c r="E659" s="148"/>
      <c r="F659" s="149"/>
      <c r="G659" s="158"/>
      <c r="H659" s="158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</row>
    <row r="660" spans="1:26" ht="18.75">
      <c r="A660" s="149"/>
      <c r="B660" s="146"/>
      <c r="C660" s="147"/>
      <c r="D660" s="148"/>
      <c r="E660" s="148"/>
      <c r="F660" s="149"/>
      <c r="G660" s="156"/>
      <c r="H660" s="156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9"/>
    </row>
    <row r="661" spans="1:26" ht="18.75">
      <c r="A661" s="149"/>
      <c r="B661" s="146"/>
      <c r="C661" s="147"/>
      <c r="D661" s="148"/>
      <c r="E661" s="148"/>
      <c r="F661" s="149"/>
      <c r="G661" s="158"/>
      <c r="H661" s="158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9"/>
    </row>
    <row r="662" spans="1:26" ht="18.75">
      <c r="A662" s="149"/>
      <c r="B662" s="146"/>
      <c r="C662" s="147"/>
      <c r="D662" s="148"/>
      <c r="E662" s="148"/>
      <c r="F662" s="149"/>
      <c r="G662" s="156"/>
      <c r="H662" s="156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9"/>
    </row>
    <row r="663" spans="1:26" ht="18.75">
      <c r="A663" s="149"/>
      <c r="B663" s="146"/>
      <c r="C663" s="147"/>
      <c r="D663" s="148"/>
      <c r="E663" s="148"/>
      <c r="F663" s="149"/>
      <c r="G663" s="158"/>
      <c r="H663" s="158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9"/>
    </row>
    <row r="664" spans="1:26" ht="18.75">
      <c r="A664" s="149"/>
      <c r="B664" s="146"/>
      <c r="C664" s="147"/>
      <c r="D664" s="148"/>
      <c r="E664" s="148"/>
      <c r="F664" s="149"/>
      <c r="G664" s="156"/>
      <c r="H664" s="156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9"/>
    </row>
    <row r="665" spans="1:26" ht="18.75">
      <c r="A665" s="149"/>
      <c r="B665" s="146"/>
      <c r="C665" s="147"/>
      <c r="D665" s="148"/>
      <c r="E665" s="148"/>
      <c r="F665" s="149"/>
      <c r="G665" s="158"/>
      <c r="H665" s="158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</row>
    <row r="666" spans="1:26" ht="18.75">
      <c r="A666" s="149"/>
      <c r="B666" s="146"/>
      <c r="C666" s="147"/>
      <c r="D666" s="148"/>
      <c r="E666" s="148"/>
      <c r="F666" s="149"/>
      <c r="G666" s="156"/>
      <c r="H666" s="156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</row>
    <row r="667" spans="1:26" ht="18.75">
      <c r="A667" s="149"/>
      <c r="B667" s="146"/>
      <c r="C667" s="147"/>
      <c r="D667" s="148"/>
      <c r="E667" s="148"/>
      <c r="F667" s="149"/>
      <c r="G667" s="158"/>
      <c r="H667" s="158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</row>
    <row r="668" spans="1:26" ht="18.75">
      <c r="A668" s="149"/>
      <c r="B668" s="146"/>
      <c r="C668" s="147"/>
      <c r="D668" s="148"/>
      <c r="E668" s="148"/>
      <c r="F668" s="149"/>
      <c r="G668" s="156"/>
      <c r="H668" s="156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</row>
    <row r="669" spans="1:26" ht="18.75">
      <c r="A669" s="149"/>
      <c r="B669" s="146"/>
      <c r="C669" s="147"/>
      <c r="D669" s="148"/>
      <c r="E669" s="148"/>
      <c r="F669" s="149"/>
      <c r="G669" s="158"/>
      <c r="H669" s="158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</row>
    <row r="670" spans="1:26" ht="18.75">
      <c r="A670" s="149"/>
      <c r="B670" s="146"/>
      <c r="C670" s="147"/>
      <c r="D670" s="148"/>
      <c r="E670" s="148"/>
      <c r="F670" s="149"/>
      <c r="G670" s="156"/>
      <c r="H670" s="156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</row>
    <row r="671" spans="1:26" ht="18.75">
      <c r="A671" s="149"/>
      <c r="B671" s="146"/>
      <c r="C671" s="147"/>
      <c r="D671" s="148"/>
      <c r="E671" s="148"/>
      <c r="F671" s="149"/>
      <c r="G671" s="158"/>
      <c r="H671" s="158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</row>
    <row r="672" spans="1:26" ht="18.75">
      <c r="A672" s="149"/>
      <c r="B672" s="146"/>
      <c r="C672" s="147"/>
      <c r="D672" s="148"/>
      <c r="E672" s="148"/>
      <c r="F672" s="149"/>
      <c r="G672" s="156"/>
      <c r="H672" s="156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</row>
    <row r="673" spans="1:26" ht="18.75">
      <c r="A673" s="149"/>
      <c r="B673" s="146"/>
      <c r="C673" s="147"/>
      <c r="D673" s="148"/>
      <c r="E673" s="148"/>
      <c r="F673" s="149"/>
      <c r="G673" s="158"/>
      <c r="H673" s="158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</row>
    <row r="674" spans="1:26" ht="18.75">
      <c r="A674" s="149"/>
      <c r="B674" s="146"/>
      <c r="C674" s="147"/>
      <c r="D674" s="148"/>
      <c r="E674" s="148"/>
      <c r="F674" s="149"/>
      <c r="G674" s="156"/>
      <c r="H674" s="156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9"/>
    </row>
    <row r="675" spans="1:26" ht="18.75">
      <c r="A675" s="149"/>
      <c r="B675" s="146"/>
      <c r="C675" s="147"/>
      <c r="D675" s="148"/>
      <c r="E675" s="148"/>
      <c r="F675" s="149"/>
      <c r="G675" s="158"/>
      <c r="H675" s="158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9"/>
    </row>
    <row r="676" spans="1:26" ht="18.75">
      <c r="A676" s="149"/>
      <c r="B676" s="146"/>
      <c r="C676" s="147"/>
      <c r="D676" s="148"/>
      <c r="E676" s="148"/>
      <c r="F676" s="149"/>
      <c r="G676" s="156"/>
      <c r="H676" s="156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9"/>
    </row>
    <row r="677" spans="1:26" ht="18.75">
      <c r="A677" s="149"/>
      <c r="B677" s="146"/>
      <c r="C677" s="147"/>
      <c r="D677" s="148"/>
      <c r="E677" s="148"/>
      <c r="F677" s="149"/>
      <c r="G677" s="158"/>
      <c r="H677" s="158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9"/>
    </row>
    <row r="678" spans="1:26" ht="18.75">
      <c r="A678" s="149"/>
      <c r="B678" s="146"/>
      <c r="C678" s="147"/>
      <c r="D678" s="148"/>
      <c r="E678" s="148"/>
      <c r="F678" s="149"/>
      <c r="G678" s="156"/>
      <c r="H678" s="156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9"/>
    </row>
    <row r="679" spans="1:26" ht="18.75">
      <c r="A679" s="149"/>
      <c r="B679" s="146"/>
      <c r="C679" s="147"/>
      <c r="D679" s="148"/>
      <c r="E679" s="148"/>
      <c r="F679" s="149"/>
      <c r="G679" s="158"/>
      <c r="H679" s="158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9"/>
    </row>
    <row r="680" spans="1:26" ht="18.75">
      <c r="A680" s="149"/>
      <c r="B680" s="146"/>
      <c r="C680" s="147"/>
      <c r="D680" s="148"/>
      <c r="E680" s="148"/>
      <c r="F680" s="149"/>
      <c r="G680" s="156"/>
      <c r="H680" s="156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/>
    </row>
    <row r="681" spans="1:26" ht="18.75">
      <c r="A681" s="149"/>
      <c r="B681" s="146"/>
      <c r="C681" s="147"/>
      <c r="D681" s="148"/>
      <c r="E681" s="148"/>
      <c r="F681" s="149"/>
      <c r="G681" s="158"/>
      <c r="H681" s="158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9"/>
    </row>
    <row r="682" spans="1:26" ht="18.75">
      <c r="A682" s="149"/>
      <c r="B682" s="146"/>
      <c r="C682" s="147"/>
      <c r="D682" s="148"/>
      <c r="E682" s="148"/>
      <c r="F682" s="149"/>
      <c r="G682" s="156"/>
      <c r="H682" s="156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9"/>
    </row>
    <row r="683" spans="1:26" ht="18.75">
      <c r="A683" s="149"/>
      <c r="B683" s="146"/>
      <c r="C683" s="147"/>
      <c r="D683" s="148"/>
      <c r="E683" s="148"/>
      <c r="F683" s="149"/>
      <c r="G683" s="158"/>
      <c r="H683" s="158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9"/>
    </row>
    <row r="684" spans="1:26" ht="18.75">
      <c r="A684" s="149"/>
      <c r="B684" s="146"/>
      <c r="C684" s="147"/>
      <c r="D684" s="148"/>
      <c r="E684" s="148"/>
      <c r="F684" s="149"/>
      <c r="G684" s="156"/>
      <c r="H684" s="156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9"/>
    </row>
    <row r="685" spans="1:26" ht="18.75">
      <c r="A685" s="149"/>
      <c r="B685" s="146"/>
      <c r="C685" s="147"/>
      <c r="D685" s="148"/>
      <c r="E685" s="148"/>
      <c r="F685" s="149"/>
      <c r="G685" s="158"/>
      <c r="H685" s="158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9"/>
    </row>
    <row r="686" spans="1:26" ht="18.75">
      <c r="A686" s="149"/>
      <c r="B686" s="146"/>
      <c r="C686" s="147"/>
      <c r="D686" s="148"/>
      <c r="E686" s="148"/>
      <c r="F686" s="149"/>
      <c r="G686" s="156"/>
      <c r="H686" s="156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9"/>
    </row>
    <row r="687" spans="1:26" ht="18.75">
      <c r="A687" s="149"/>
      <c r="B687" s="146"/>
      <c r="C687" s="147"/>
      <c r="D687" s="148"/>
      <c r="E687" s="148"/>
      <c r="F687" s="149"/>
      <c r="G687" s="158"/>
      <c r="H687" s="158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9"/>
    </row>
    <row r="688" spans="1:26" ht="18.75">
      <c r="A688" s="149"/>
      <c r="B688" s="146"/>
      <c r="C688" s="147"/>
      <c r="D688" s="148"/>
      <c r="E688" s="148"/>
      <c r="F688" s="149"/>
      <c r="G688" s="156"/>
      <c r="H688" s="156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9"/>
    </row>
    <row r="689" spans="1:26" ht="18.75">
      <c r="A689" s="149"/>
      <c r="B689" s="146"/>
      <c r="C689" s="147"/>
      <c r="D689" s="148"/>
      <c r="E689" s="148"/>
      <c r="F689" s="149"/>
      <c r="G689" s="158"/>
      <c r="H689" s="158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9"/>
    </row>
    <row r="690" spans="1:26" ht="18.75">
      <c r="A690" s="149"/>
      <c r="B690" s="146"/>
      <c r="C690" s="147"/>
      <c r="D690" s="148"/>
      <c r="E690" s="148"/>
      <c r="F690" s="149"/>
      <c r="G690" s="156"/>
      <c r="H690" s="156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9"/>
    </row>
    <row r="691" spans="1:26" ht="18.75">
      <c r="A691" s="149"/>
      <c r="B691" s="146"/>
      <c r="C691" s="147"/>
      <c r="D691" s="148"/>
      <c r="E691" s="148"/>
      <c r="F691" s="149"/>
      <c r="G691" s="158"/>
      <c r="H691" s="158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/>
    </row>
    <row r="692" spans="1:26" ht="18.75">
      <c r="A692" s="149"/>
      <c r="B692" s="146"/>
      <c r="C692" s="147"/>
      <c r="D692" s="148"/>
      <c r="E692" s="148"/>
      <c r="F692" s="149"/>
      <c r="G692" s="156"/>
      <c r="H692" s="156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</row>
    <row r="693" spans="1:26" ht="18.75">
      <c r="A693" s="149"/>
      <c r="B693" s="146"/>
      <c r="C693" s="147"/>
      <c r="D693" s="148"/>
      <c r="E693" s="148"/>
      <c r="F693" s="149"/>
      <c r="G693" s="158"/>
      <c r="H693" s="158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/>
    </row>
    <row r="694" spans="1:26" ht="18.75">
      <c r="A694" s="149"/>
      <c r="B694" s="146"/>
      <c r="C694" s="147"/>
      <c r="D694" s="148"/>
      <c r="E694" s="148"/>
      <c r="F694" s="149"/>
      <c r="G694" s="156"/>
      <c r="H694" s="156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</row>
    <row r="695" spans="1:26" ht="18.75">
      <c r="A695" s="149"/>
      <c r="B695" s="146"/>
      <c r="C695" s="147"/>
      <c r="D695" s="148"/>
      <c r="E695" s="148"/>
      <c r="F695" s="149"/>
      <c r="G695" s="158"/>
      <c r="H695" s="158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9"/>
    </row>
    <row r="696" spans="1:26" ht="18.75">
      <c r="A696" s="149"/>
      <c r="B696" s="146"/>
      <c r="C696" s="147"/>
      <c r="D696" s="148"/>
      <c r="E696" s="148"/>
      <c r="F696" s="149"/>
      <c r="G696" s="156"/>
      <c r="H696" s="156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9"/>
    </row>
    <row r="697" spans="1:26" ht="18.75">
      <c r="A697" s="149"/>
      <c r="B697" s="146"/>
      <c r="C697" s="147"/>
      <c r="D697" s="148"/>
      <c r="E697" s="148"/>
      <c r="F697" s="149"/>
      <c r="G697" s="158"/>
      <c r="H697" s="158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9"/>
    </row>
    <row r="698" spans="1:26" ht="18.75">
      <c r="A698" s="149"/>
      <c r="B698" s="146"/>
      <c r="C698" s="147"/>
      <c r="D698" s="148"/>
      <c r="E698" s="148"/>
      <c r="F698" s="149"/>
      <c r="G698" s="156"/>
      <c r="H698" s="156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9"/>
    </row>
    <row r="699" spans="1:26" ht="18.75">
      <c r="A699" s="149"/>
      <c r="B699" s="146"/>
      <c r="C699" s="147"/>
      <c r="D699" s="148"/>
      <c r="E699" s="148"/>
      <c r="F699" s="149"/>
      <c r="G699" s="158"/>
      <c r="H699" s="158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9"/>
    </row>
    <row r="700" spans="1:26" ht="18.75">
      <c r="A700" s="149"/>
      <c r="B700" s="146"/>
      <c r="C700" s="147"/>
      <c r="D700" s="148"/>
      <c r="E700" s="148"/>
      <c r="F700" s="149"/>
      <c r="G700" s="156"/>
      <c r="H700" s="156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</row>
    <row r="701" spans="1:26" ht="18.75">
      <c r="A701" s="149"/>
      <c r="B701" s="146"/>
      <c r="C701" s="147"/>
      <c r="D701" s="148"/>
      <c r="E701" s="148"/>
      <c r="F701" s="149"/>
      <c r="G701" s="158"/>
      <c r="H701" s="158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</row>
    <row r="702" spans="1:26" ht="18.75">
      <c r="A702" s="149"/>
      <c r="B702" s="146"/>
      <c r="C702" s="147"/>
      <c r="D702" s="148"/>
      <c r="E702" s="148"/>
      <c r="F702" s="149"/>
      <c r="G702" s="156"/>
      <c r="H702" s="156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</row>
    <row r="703" spans="1:26" ht="18.75">
      <c r="A703" s="149"/>
      <c r="B703" s="146"/>
      <c r="C703" s="147"/>
      <c r="D703" s="148"/>
      <c r="E703" s="148"/>
      <c r="F703" s="149"/>
      <c r="G703" s="158"/>
      <c r="H703" s="158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</row>
    <row r="704" spans="1:26" ht="18.75">
      <c r="A704" s="149"/>
      <c r="B704" s="146"/>
      <c r="C704" s="147"/>
      <c r="D704" s="148"/>
      <c r="E704" s="148"/>
      <c r="F704" s="149"/>
      <c r="G704" s="156"/>
      <c r="H704" s="156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</row>
    <row r="705" spans="1:26" ht="18.75">
      <c r="A705" s="149"/>
      <c r="B705" s="146"/>
      <c r="C705" s="147"/>
      <c r="D705" s="148"/>
      <c r="E705" s="148"/>
      <c r="F705" s="149"/>
      <c r="G705" s="158"/>
      <c r="H705" s="158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</row>
    <row r="706" spans="1:26" ht="18.75">
      <c r="A706" s="149"/>
      <c r="B706" s="146"/>
      <c r="C706" s="147"/>
      <c r="D706" s="148"/>
      <c r="E706" s="148"/>
      <c r="F706" s="149"/>
      <c r="G706" s="156"/>
      <c r="H706" s="156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</row>
    <row r="707" spans="1:26" ht="18.75">
      <c r="A707" s="149"/>
      <c r="B707" s="146"/>
      <c r="C707" s="147"/>
      <c r="D707" s="148"/>
      <c r="E707" s="148"/>
      <c r="F707" s="149"/>
      <c r="G707" s="158"/>
      <c r="H707" s="158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</row>
    <row r="708" spans="1:26" ht="18.75">
      <c r="A708" s="149"/>
      <c r="B708" s="146"/>
      <c r="C708" s="147"/>
      <c r="D708" s="148"/>
      <c r="E708" s="148"/>
      <c r="F708" s="149"/>
      <c r="G708" s="156"/>
      <c r="H708" s="156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</row>
    <row r="709" spans="1:26" ht="18.75">
      <c r="A709" s="149"/>
      <c r="B709" s="146"/>
      <c r="C709" s="147"/>
      <c r="D709" s="148"/>
      <c r="E709" s="148"/>
      <c r="F709" s="149"/>
      <c r="G709" s="158"/>
      <c r="H709" s="158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</row>
    <row r="710" spans="1:26" ht="18.75">
      <c r="A710" s="149"/>
      <c r="B710" s="146"/>
      <c r="C710" s="147"/>
      <c r="D710" s="148"/>
      <c r="E710" s="148"/>
      <c r="F710" s="149"/>
      <c r="G710" s="156"/>
      <c r="H710" s="156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</row>
    <row r="711" spans="1:26" ht="18.75">
      <c r="A711" s="149"/>
      <c r="B711" s="146"/>
      <c r="C711" s="147"/>
      <c r="D711" s="148"/>
      <c r="E711" s="148"/>
      <c r="F711" s="149"/>
      <c r="G711" s="158"/>
      <c r="H711" s="158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</row>
    <row r="712" spans="1:26" ht="18.75">
      <c r="A712" s="149"/>
      <c r="B712" s="146"/>
      <c r="C712" s="147"/>
      <c r="D712" s="148"/>
      <c r="E712" s="148"/>
      <c r="F712" s="149"/>
      <c r="G712" s="156"/>
      <c r="H712" s="156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</row>
    <row r="713" spans="1:26" ht="18.75">
      <c r="A713" s="149"/>
      <c r="B713" s="146"/>
      <c r="C713" s="147"/>
      <c r="D713" s="148"/>
      <c r="E713" s="148"/>
      <c r="F713" s="149"/>
      <c r="G713" s="158"/>
      <c r="H713" s="158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</row>
    <row r="714" spans="1:26" ht="18.75">
      <c r="A714" s="149"/>
      <c r="B714" s="146"/>
      <c r="C714" s="147"/>
      <c r="D714" s="148"/>
      <c r="E714" s="148"/>
      <c r="F714" s="149"/>
      <c r="G714" s="156"/>
      <c r="H714" s="156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</row>
    <row r="715" spans="1:26" ht="18.75">
      <c r="A715" s="149"/>
      <c r="B715" s="146"/>
      <c r="C715" s="147"/>
      <c r="D715" s="148"/>
      <c r="E715" s="148"/>
      <c r="F715" s="149"/>
      <c r="G715" s="158"/>
      <c r="H715" s="158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</row>
    <row r="716" spans="1:26" ht="18.75">
      <c r="A716" s="149"/>
      <c r="B716" s="146"/>
      <c r="C716" s="147"/>
      <c r="D716" s="148"/>
      <c r="E716" s="148"/>
      <c r="F716" s="149"/>
      <c r="G716" s="156"/>
      <c r="H716" s="156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</row>
    <row r="717" spans="1:26" ht="18.75">
      <c r="A717" s="149"/>
      <c r="B717" s="146"/>
      <c r="C717" s="147"/>
      <c r="D717" s="148"/>
      <c r="E717" s="148"/>
      <c r="F717" s="149"/>
      <c r="G717" s="158"/>
      <c r="H717" s="158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/>
    </row>
    <row r="718" spans="1:26" ht="18.75">
      <c r="A718" s="149"/>
      <c r="B718" s="146"/>
      <c r="C718" s="147"/>
      <c r="D718" s="148"/>
      <c r="E718" s="148"/>
      <c r="F718" s="149"/>
      <c r="G718" s="156"/>
      <c r="H718" s="156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/>
    </row>
    <row r="719" spans="1:26" ht="18.75">
      <c r="A719" s="149"/>
      <c r="B719" s="146"/>
      <c r="C719" s="147"/>
      <c r="D719" s="148"/>
      <c r="E719" s="148"/>
      <c r="F719" s="149"/>
      <c r="G719" s="158"/>
      <c r="H719" s="158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/>
    </row>
    <row r="720" spans="1:26" ht="18.75">
      <c r="A720" s="149"/>
      <c r="B720" s="146"/>
      <c r="C720" s="147"/>
      <c r="D720" s="148"/>
      <c r="E720" s="148"/>
      <c r="F720" s="149"/>
      <c r="G720" s="156"/>
      <c r="H720" s="156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9"/>
    </row>
    <row r="721" spans="1:26" ht="18.75">
      <c r="A721" s="149"/>
      <c r="B721" s="146"/>
      <c r="C721" s="147"/>
      <c r="D721" s="148"/>
      <c r="E721" s="148"/>
      <c r="F721" s="149"/>
      <c r="G721" s="158"/>
      <c r="H721" s="158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9"/>
    </row>
    <row r="722" spans="1:26" ht="18.75">
      <c r="A722" s="149"/>
      <c r="B722" s="146"/>
      <c r="C722" s="147"/>
      <c r="D722" s="148"/>
      <c r="E722" s="148"/>
      <c r="F722" s="149"/>
      <c r="G722" s="156"/>
      <c r="H722" s="156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/>
    </row>
    <row r="723" spans="1:26" ht="18.75">
      <c r="A723" s="149"/>
      <c r="B723" s="146"/>
      <c r="C723" s="147"/>
      <c r="D723" s="148"/>
      <c r="E723" s="148"/>
      <c r="F723" s="149"/>
      <c r="G723" s="158"/>
      <c r="H723" s="158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/>
    </row>
    <row r="724" spans="1:26" ht="18.75">
      <c r="A724" s="149"/>
      <c r="B724" s="146"/>
      <c r="C724" s="147"/>
      <c r="D724" s="148"/>
      <c r="E724" s="148"/>
      <c r="F724" s="149"/>
      <c r="G724" s="156"/>
      <c r="H724" s="156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/>
    </row>
    <row r="725" spans="1:26" ht="18.75">
      <c r="A725" s="149"/>
      <c r="B725" s="146"/>
      <c r="C725" s="147"/>
      <c r="D725" s="148"/>
      <c r="E725" s="148"/>
      <c r="F725" s="149"/>
      <c r="G725" s="158"/>
      <c r="H725" s="158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9"/>
    </row>
    <row r="726" spans="1:26" ht="18.75">
      <c r="A726" s="149"/>
      <c r="B726" s="146"/>
      <c r="C726" s="147"/>
      <c r="D726" s="148"/>
      <c r="E726" s="148"/>
      <c r="F726" s="149"/>
      <c r="G726" s="156"/>
      <c r="H726" s="156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9"/>
    </row>
    <row r="727" spans="1:26" ht="18.75">
      <c r="A727" s="149"/>
      <c r="B727" s="146"/>
      <c r="C727" s="147"/>
      <c r="D727" s="148"/>
      <c r="E727" s="148"/>
      <c r="F727" s="149"/>
      <c r="G727" s="158"/>
      <c r="H727" s="158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9"/>
    </row>
    <row r="728" spans="1:26" ht="18.75">
      <c r="A728" s="149"/>
      <c r="B728" s="146"/>
      <c r="C728" s="147"/>
      <c r="D728" s="148"/>
      <c r="E728" s="148"/>
      <c r="F728" s="149"/>
      <c r="G728" s="156"/>
      <c r="H728" s="156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</row>
    <row r="729" spans="1:26" ht="18.75">
      <c r="A729" s="149"/>
      <c r="B729" s="146"/>
      <c r="C729" s="147"/>
      <c r="D729" s="148"/>
      <c r="E729" s="148"/>
      <c r="F729" s="149"/>
      <c r="G729" s="158"/>
      <c r="H729" s="158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</row>
    <row r="730" spans="1:26" ht="18.75">
      <c r="A730" s="149"/>
      <c r="B730" s="146"/>
      <c r="C730" s="147"/>
      <c r="D730" s="148"/>
      <c r="E730" s="148"/>
      <c r="F730" s="149"/>
      <c r="G730" s="156"/>
      <c r="H730" s="156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</row>
    <row r="731" spans="1:26" ht="18.75">
      <c r="A731" s="149"/>
      <c r="B731" s="146"/>
      <c r="C731" s="147"/>
      <c r="D731" s="148"/>
      <c r="E731" s="148"/>
      <c r="F731" s="149"/>
      <c r="G731" s="158"/>
      <c r="H731" s="158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</row>
    <row r="732" spans="1:26" ht="18.75">
      <c r="A732" s="149"/>
      <c r="B732" s="146"/>
      <c r="C732" s="147"/>
      <c r="D732" s="148"/>
      <c r="E732" s="148"/>
      <c r="F732" s="149"/>
      <c r="G732" s="156"/>
      <c r="H732" s="156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</row>
    <row r="733" spans="1:26" ht="18.75">
      <c r="A733" s="149"/>
      <c r="B733" s="146"/>
      <c r="C733" s="147"/>
      <c r="D733" s="148"/>
      <c r="E733" s="148"/>
      <c r="F733" s="149"/>
      <c r="G733" s="158"/>
      <c r="H733" s="158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</row>
    <row r="734" spans="1:26" ht="18.75">
      <c r="A734" s="149"/>
      <c r="B734" s="146"/>
      <c r="C734" s="147"/>
      <c r="D734" s="148"/>
      <c r="E734" s="148"/>
      <c r="F734" s="149"/>
      <c r="G734" s="156"/>
      <c r="H734" s="156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</row>
    <row r="735" spans="1:26" ht="18.75">
      <c r="A735" s="149"/>
      <c r="B735" s="146"/>
      <c r="C735" s="147"/>
      <c r="D735" s="148"/>
      <c r="E735" s="148"/>
      <c r="F735" s="149"/>
      <c r="G735" s="158"/>
      <c r="H735" s="158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</row>
    <row r="736" spans="1:26" ht="18.75">
      <c r="A736" s="149"/>
      <c r="B736" s="146"/>
      <c r="C736" s="147"/>
      <c r="D736" s="148"/>
      <c r="E736" s="148"/>
      <c r="F736" s="149"/>
      <c r="G736" s="156"/>
      <c r="H736" s="156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</row>
    <row r="737" spans="1:26" ht="18.75">
      <c r="A737" s="149"/>
      <c r="B737" s="146"/>
      <c r="C737" s="147"/>
      <c r="D737" s="148"/>
      <c r="E737" s="148"/>
      <c r="F737" s="149"/>
      <c r="G737" s="158"/>
      <c r="H737" s="158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</row>
    <row r="738" spans="1:26" ht="18.75">
      <c r="A738" s="149"/>
      <c r="B738" s="146"/>
      <c r="C738" s="147"/>
      <c r="D738" s="148"/>
      <c r="E738" s="148"/>
      <c r="F738" s="149"/>
      <c r="G738" s="156"/>
      <c r="H738" s="156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</row>
    <row r="739" spans="1:26" ht="18.75">
      <c r="A739" s="149"/>
      <c r="B739" s="146"/>
      <c r="C739" s="147"/>
      <c r="D739" s="148"/>
      <c r="E739" s="148"/>
      <c r="F739" s="149"/>
      <c r="G739" s="158"/>
      <c r="H739" s="158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</row>
    <row r="740" spans="1:26" ht="18.75">
      <c r="A740" s="149"/>
      <c r="B740" s="146"/>
      <c r="C740" s="147"/>
      <c r="D740" s="148"/>
      <c r="E740" s="148"/>
      <c r="F740" s="149"/>
      <c r="G740" s="156"/>
      <c r="H740" s="156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</row>
    <row r="741" spans="1:26" ht="18.75">
      <c r="A741" s="149"/>
      <c r="B741" s="146"/>
      <c r="C741" s="147"/>
      <c r="D741" s="148"/>
      <c r="E741" s="148"/>
      <c r="F741" s="149"/>
      <c r="G741" s="158"/>
      <c r="H741" s="158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</row>
    <row r="742" spans="1:26" ht="18.75">
      <c r="A742" s="149"/>
      <c r="B742" s="146"/>
      <c r="C742" s="147"/>
      <c r="D742" s="148"/>
      <c r="E742" s="148"/>
      <c r="F742" s="149"/>
      <c r="G742" s="156"/>
      <c r="H742" s="156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/>
    </row>
    <row r="743" spans="1:26" ht="18.75">
      <c r="A743" s="149"/>
      <c r="B743" s="146"/>
      <c r="C743" s="147"/>
      <c r="D743" s="148"/>
      <c r="E743" s="148"/>
      <c r="F743" s="149"/>
      <c r="G743" s="158"/>
      <c r="H743" s="158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</row>
    <row r="744" spans="1:26" ht="18.75">
      <c r="A744" s="149"/>
      <c r="B744" s="146"/>
      <c r="C744" s="147"/>
      <c r="D744" s="148"/>
      <c r="E744" s="148"/>
      <c r="F744" s="149"/>
      <c r="G744" s="156"/>
      <c r="H744" s="156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</row>
    <row r="745" spans="1:26" ht="18.75">
      <c r="A745" s="149"/>
      <c r="B745" s="146"/>
      <c r="C745" s="147"/>
      <c r="D745" s="148"/>
      <c r="E745" s="148"/>
      <c r="F745" s="149"/>
      <c r="G745" s="158"/>
      <c r="H745" s="158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</row>
    <row r="746" spans="1:26" ht="18.75">
      <c r="A746" s="149"/>
      <c r="B746" s="146"/>
      <c r="C746" s="147"/>
      <c r="D746" s="148"/>
      <c r="E746" s="148"/>
      <c r="F746" s="149"/>
      <c r="G746" s="156"/>
      <c r="H746" s="156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</row>
    <row r="747" spans="1:26" ht="18.75">
      <c r="A747" s="149"/>
      <c r="B747" s="146"/>
      <c r="C747" s="147"/>
      <c r="D747" s="148"/>
      <c r="E747" s="148"/>
      <c r="F747" s="149"/>
      <c r="G747" s="158"/>
      <c r="H747" s="158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</row>
    <row r="748" spans="1:26" ht="18.75">
      <c r="A748" s="149"/>
      <c r="B748" s="146"/>
      <c r="C748" s="147"/>
      <c r="D748" s="148"/>
      <c r="E748" s="148"/>
      <c r="F748" s="149"/>
      <c r="G748" s="156"/>
      <c r="H748" s="156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</row>
    <row r="749" spans="1:26" ht="18.75">
      <c r="A749" s="149"/>
      <c r="B749" s="146"/>
      <c r="C749" s="147"/>
      <c r="D749" s="148"/>
      <c r="E749" s="148"/>
      <c r="F749" s="149"/>
      <c r="G749" s="158"/>
      <c r="H749" s="158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</row>
    <row r="750" spans="1:26" ht="18.75">
      <c r="A750" s="149"/>
      <c r="B750" s="146"/>
      <c r="C750" s="147"/>
      <c r="D750" s="148"/>
      <c r="E750" s="148"/>
      <c r="F750" s="149"/>
      <c r="G750" s="156"/>
      <c r="H750" s="156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</row>
    <row r="751" spans="1:26" ht="18.75">
      <c r="A751" s="149"/>
      <c r="B751" s="146"/>
      <c r="C751" s="147"/>
      <c r="D751" s="148"/>
      <c r="E751" s="148"/>
      <c r="F751" s="149"/>
      <c r="G751" s="158"/>
      <c r="H751" s="158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</row>
    <row r="752" spans="1:26" ht="18.75">
      <c r="A752" s="149"/>
      <c r="B752" s="146"/>
      <c r="C752" s="147"/>
      <c r="D752" s="148"/>
      <c r="E752" s="148"/>
      <c r="F752" s="149"/>
      <c r="G752" s="156"/>
      <c r="H752" s="156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/>
    </row>
    <row r="753" spans="1:26" ht="18.75">
      <c r="A753" s="149"/>
      <c r="B753" s="146"/>
      <c r="C753" s="147"/>
      <c r="D753" s="148"/>
      <c r="E753" s="148"/>
      <c r="F753" s="149"/>
      <c r="G753" s="158"/>
      <c r="H753" s="158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/>
    </row>
    <row r="754" spans="1:26" ht="18.75">
      <c r="A754" s="149"/>
      <c r="B754" s="146"/>
      <c r="C754" s="147"/>
      <c r="D754" s="148"/>
      <c r="E754" s="148"/>
      <c r="F754" s="149"/>
      <c r="G754" s="156"/>
      <c r="H754" s="156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/>
    </row>
    <row r="755" spans="1:26" ht="18.75">
      <c r="A755" s="149"/>
      <c r="B755" s="146"/>
      <c r="C755" s="147"/>
      <c r="D755" s="148"/>
      <c r="E755" s="148"/>
      <c r="F755" s="149"/>
      <c r="G755" s="158"/>
      <c r="H755" s="158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</row>
    <row r="756" spans="1:26" ht="18.75">
      <c r="A756" s="149"/>
      <c r="B756" s="146"/>
      <c r="C756" s="147"/>
      <c r="D756" s="148"/>
      <c r="E756" s="148"/>
      <c r="F756" s="149"/>
      <c r="G756" s="156"/>
      <c r="H756" s="156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</row>
    <row r="757" spans="1:26" ht="18.75">
      <c r="A757" s="149"/>
      <c r="B757" s="146"/>
      <c r="C757" s="147"/>
      <c r="D757" s="148"/>
      <c r="E757" s="148"/>
      <c r="F757" s="149"/>
      <c r="G757" s="158"/>
      <c r="H757" s="158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</row>
    <row r="758" spans="1:26" ht="18.75">
      <c r="A758" s="149"/>
      <c r="B758" s="146"/>
      <c r="C758" s="147"/>
      <c r="D758" s="148"/>
      <c r="E758" s="148"/>
      <c r="F758" s="149"/>
      <c r="G758" s="156"/>
      <c r="H758" s="156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</row>
    <row r="759" spans="1:26" ht="18.75">
      <c r="A759" s="149"/>
      <c r="B759" s="146"/>
      <c r="C759" s="147"/>
      <c r="D759" s="148"/>
      <c r="E759" s="148"/>
      <c r="F759" s="149"/>
      <c r="G759" s="158"/>
      <c r="H759" s="158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</row>
    <row r="760" spans="1:26" ht="18.75">
      <c r="A760" s="149"/>
      <c r="B760" s="146"/>
      <c r="C760" s="147"/>
      <c r="D760" s="148"/>
      <c r="E760" s="148"/>
      <c r="F760" s="149"/>
      <c r="G760" s="156"/>
      <c r="H760" s="156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</row>
    <row r="761" spans="1:26" ht="18.75">
      <c r="A761" s="149"/>
      <c r="B761" s="146"/>
      <c r="C761" s="147"/>
      <c r="D761" s="148"/>
      <c r="E761" s="148"/>
      <c r="F761" s="149"/>
      <c r="G761" s="158"/>
      <c r="H761" s="158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</row>
    <row r="762" spans="1:26" ht="18.75">
      <c r="A762" s="149"/>
      <c r="B762" s="146"/>
      <c r="C762" s="147"/>
      <c r="D762" s="148"/>
      <c r="E762" s="148"/>
      <c r="F762" s="149"/>
      <c r="G762" s="156"/>
      <c r="H762" s="156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</row>
    <row r="763" spans="1:26" ht="18.75">
      <c r="A763" s="149"/>
      <c r="B763" s="146"/>
      <c r="C763" s="147"/>
      <c r="D763" s="148"/>
      <c r="E763" s="148"/>
      <c r="F763" s="149"/>
      <c r="G763" s="158"/>
      <c r="H763" s="158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</row>
    <row r="764" spans="1:26" ht="18.75">
      <c r="A764" s="149"/>
      <c r="B764" s="146"/>
      <c r="C764" s="147"/>
      <c r="D764" s="148"/>
      <c r="E764" s="148"/>
      <c r="F764" s="149"/>
      <c r="G764" s="156"/>
      <c r="H764" s="156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</row>
    <row r="765" spans="1:26" ht="18.75">
      <c r="A765" s="149"/>
      <c r="B765" s="146"/>
      <c r="C765" s="147"/>
      <c r="D765" s="148"/>
      <c r="E765" s="148"/>
      <c r="F765" s="149"/>
      <c r="G765" s="158"/>
      <c r="H765" s="158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/>
    </row>
    <row r="766" spans="1:26" ht="18.75">
      <c r="A766" s="149"/>
      <c r="B766" s="146"/>
      <c r="C766" s="147"/>
      <c r="D766" s="148"/>
      <c r="E766" s="148"/>
      <c r="F766" s="149"/>
      <c r="G766" s="156"/>
      <c r="H766" s="156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</row>
    <row r="767" spans="1:26" ht="18.75">
      <c r="A767" s="149"/>
      <c r="B767" s="146"/>
      <c r="C767" s="147"/>
      <c r="D767" s="148"/>
      <c r="E767" s="148"/>
      <c r="F767" s="149"/>
      <c r="G767" s="158"/>
      <c r="H767" s="158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/>
    </row>
    <row r="768" spans="1:26" ht="18.75">
      <c r="A768" s="149"/>
      <c r="B768" s="146"/>
      <c r="C768" s="147"/>
      <c r="D768" s="148"/>
      <c r="E768" s="148"/>
      <c r="F768" s="149"/>
      <c r="G768" s="156"/>
      <c r="H768" s="156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/>
    </row>
    <row r="769" spans="1:26" ht="18.75">
      <c r="A769" s="149"/>
      <c r="B769" s="146"/>
      <c r="C769" s="147"/>
      <c r="D769" s="148"/>
      <c r="E769" s="148"/>
      <c r="F769" s="149"/>
      <c r="G769" s="158"/>
      <c r="H769" s="158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9"/>
    </row>
    <row r="770" spans="1:26" ht="18.75">
      <c r="A770" s="149"/>
      <c r="B770" s="146"/>
      <c r="C770" s="147"/>
      <c r="D770" s="148"/>
      <c r="E770" s="148"/>
      <c r="F770" s="149"/>
      <c r="G770" s="156"/>
      <c r="H770" s="156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9"/>
    </row>
    <row r="771" spans="1:26" ht="18.75">
      <c r="A771" s="149"/>
      <c r="B771" s="146"/>
      <c r="C771" s="147"/>
      <c r="D771" s="148"/>
      <c r="E771" s="148"/>
      <c r="F771" s="149"/>
      <c r="G771" s="158"/>
      <c r="H771" s="158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9"/>
    </row>
    <row r="772" spans="1:26" ht="18.75">
      <c r="A772" s="149"/>
      <c r="B772" s="146"/>
      <c r="C772" s="147"/>
      <c r="D772" s="148"/>
      <c r="E772" s="148"/>
      <c r="F772" s="149"/>
      <c r="G772" s="156"/>
      <c r="H772" s="156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/>
    </row>
    <row r="773" spans="1:26" ht="18.75">
      <c r="A773" s="149"/>
      <c r="B773" s="146"/>
      <c r="C773" s="147"/>
      <c r="D773" s="148"/>
      <c r="E773" s="148"/>
      <c r="F773" s="149"/>
      <c r="G773" s="158"/>
      <c r="H773" s="158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9"/>
    </row>
    <row r="774" spans="1:26" ht="18.75">
      <c r="A774" s="149"/>
      <c r="B774" s="146"/>
      <c r="C774" s="147"/>
      <c r="D774" s="148"/>
      <c r="E774" s="148"/>
      <c r="F774" s="149"/>
      <c r="G774" s="156"/>
      <c r="H774" s="156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9"/>
    </row>
    <row r="775" spans="1:26" ht="18.75">
      <c r="A775" s="149"/>
      <c r="B775" s="146"/>
      <c r="C775" s="147"/>
      <c r="D775" s="148"/>
      <c r="E775" s="148"/>
      <c r="F775" s="149"/>
      <c r="G775" s="158"/>
      <c r="H775" s="158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9"/>
    </row>
    <row r="776" spans="1:26" ht="18.75">
      <c r="A776" s="149"/>
      <c r="B776" s="146"/>
      <c r="C776" s="147"/>
      <c r="D776" s="148"/>
      <c r="E776" s="148"/>
      <c r="F776" s="149"/>
      <c r="G776" s="156"/>
      <c r="H776" s="156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9"/>
    </row>
    <row r="777" spans="1:26" ht="18.75">
      <c r="A777" s="149"/>
      <c r="B777" s="146"/>
      <c r="C777" s="147"/>
      <c r="D777" s="148"/>
      <c r="E777" s="148"/>
      <c r="F777" s="149"/>
      <c r="G777" s="158"/>
      <c r="H777" s="158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9"/>
    </row>
    <row r="778" spans="1:26" ht="18.75">
      <c r="A778" s="149"/>
      <c r="B778" s="146"/>
      <c r="C778" s="147"/>
      <c r="D778" s="148"/>
      <c r="E778" s="148"/>
      <c r="F778" s="149"/>
      <c r="G778" s="156"/>
      <c r="H778" s="156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9"/>
    </row>
    <row r="779" spans="1:26" ht="18.75">
      <c r="A779" s="149"/>
      <c r="B779" s="146"/>
      <c r="C779" s="147"/>
      <c r="D779" s="148"/>
      <c r="E779" s="148"/>
      <c r="F779" s="149"/>
      <c r="G779" s="158"/>
      <c r="H779" s="158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9"/>
    </row>
    <row r="780" spans="1:26" ht="18.75">
      <c r="A780" s="149"/>
      <c r="B780" s="146"/>
      <c r="C780" s="147"/>
      <c r="D780" s="148"/>
      <c r="E780" s="148"/>
      <c r="F780" s="149"/>
      <c r="G780" s="156"/>
      <c r="H780" s="156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9"/>
    </row>
    <row r="781" spans="1:26" ht="18.75">
      <c r="A781" s="149"/>
      <c r="B781" s="146"/>
      <c r="C781" s="147"/>
      <c r="D781" s="148"/>
      <c r="E781" s="148"/>
      <c r="F781" s="149"/>
      <c r="G781" s="158"/>
      <c r="H781" s="158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9"/>
    </row>
    <row r="782" spans="1:26" ht="18.75">
      <c r="A782" s="149"/>
      <c r="B782" s="146"/>
      <c r="C782" s="147"/>
      <c r="D782" s="148"/>
      <c r="E782" s="148"/>
      <c r="F782" s="149"/>
      <c r="G782" s="156"/>
      <c r="H782" s="156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</row>
    <row r="783" spans="1:26" ht="18.75">
      <c r="A783" s="149"/>
      <c r="B783" s="146"/>
      <c r="C783" s="147"/>
      <c r="D783" s="148"/>
      <c r="E783" s="148"/>
      <c r="F783" s="149"/>
      <c r="G783" s="158"/>
      <c r="H783" s="158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/>
    </row>
    <row r="784" spans="1:26" ht="18.75">
      <c r="A784" s="149"/>
      <c r="B784" s="146"/>
      <c r="C784" s="147"/>
      <c r="D784" s="148"/>
      <c r="E784" s="148"/>
      <c r="F784" s="149"/>
      <c r="G784" s="156"/>
      <c r="H784" s="156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9"/>
    </row>
    <row r="785" spans="1:26" ht="18.75">
      <c r="A785" s="149"/>
      <c r="B785" s="146"/>
      <c r="C785" s="147"/>
      <c r="D785" s="148"/>
      <c r="E785" s="148"/>
      <c r="F785" s="149"/>
      <c r="G785" s="158"/>
      <c r="H785" s="158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/>
    </row>
    <row r="786" spans="1:26" ht="18.75">
      <c r="A786" s="149"/>
      <c r="B786" s="146"/>
      <c r="C786" s="147"/>
      <c r="D786" s="148"/>
      <c r="E786" s="148"/>
      <c r="F786" s="149"/>
      <c r="G786" s="156"/>
      <c r="H786" s="156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/>
    </row>
    <row r="787" spans="1:26" ht="18.75">
      <c r="A787" s="149"/>
      <c r="B787" s="146"/>
      <c r="C787" s="147"/>
      <c r="D787" s="148"/>
      <c r="E787" s="148"/>
      <c r="F787" s="149"/>
      <c r="G787" s="158"/>
      <c r="H787" s="158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/>
    </row>
    <row r="788" spans="1:26" ht="18.75">
      <c r="A788" s="149"/>
      <c r="B788" s="146"/>
      <c r="C788" s="147"/>
      <c r="D788" s="148"/>
      <c r="E788" s="148"/>
      <c r="F788" s="149"/>
      <c r="G788" s="156"/>
      <c r="H788" s="156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9"/>
    </row>
    <row r="789" spans="1:26" ht="18.75">
      <c r="A789" s="149"/>
      <c r="B789" s="146"/>
      <c r="C789" s="147"/>
      <c r="D789" s="148"/>
      <c r="E789" s="148"/>
      <c r="F789" s="149"/>
      <c r="G789" s="158"/>
      <c r="H789" s="158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9"/>
    </row>
    <row r="790" spans="1:26" ht="18.75">
      <c r="A790" s="149"/>
      <c r="B790" s="146"/>
      <c r="C790" s="147"/>
      <c r="D790" s="148"/>
      <c r="E790" s="148"/>
      <c r="F790" s="149"/>
      <c r="G790" s="156"/>
      <c r="H790" s="156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9"/>
    </row>
    <row r="791" spans="1:26" ht="18.75">
      <c r="A791" s="149"/>
      <c r="B791" s="146"/>
      <c r="C791" s="147"/>
      <c r="D791" s="148"/>
      <c r="E791" s="148"/>
      <c r="F791" s="149"/>
      <c r="G791" s="158"/>
      <c r="H791" s="158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9"/>
    </row>
    <row r="792" spans="1:26" ht="18.75">
      <c r="A792" s="149"/>
      <c r="B792" s="146"/>
      <c r="C792" s="147"/>
      <c r="D792" s="148"/>
      <c r="E792" s="148"/>
      <c r="F792" s="149"/>
      <c r="G792" s="156"/>
      <c r="H792" s="156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9"/>
    </row>
    <row r="793" spans="1:26" ht="18.75">
      <c r="A793" s="149"/>
      <c r="B793" s="146"/>
      <c r="C793" s="147"/>
      <c r="D793" s="148"/>
      <c r="E793" s="148"/>
      <c r="F793" s="149"/>
      <c r="G793" s="158"/>
      <c r="H793" s="158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9"/>
    </row>
    <row r="794" spans="1:26" ht="18.75">
      <c r="A794" s="149"/>
      <c r="B794" s="146"/>
      <c r="C794" s="147"/>
      <c r="D794" s="148"/>
      <c r="E794" s="148"/>
      <c r="F794" s="149"/>
      <c r="G794" s="156"/>
      <c r="H794" s="156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9"/>
    </row>
    <row r="795" spans="1:26" ht="18.75">
      <c r="A795" s="149"/>
      <c r="B795" s="146"/>
      <c r="C795" s="147"/>
      <c r="D795" s="148"/>
      <c r="E795" s="148"/>
      <c r="F795" s="149"/>
      <c r="G795" s="158"/>
      <c r="H795" s="158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9"/>
    </row>
    <row r="796" spans="1:26" ht="18.75">
      <c r="A796" s="149"/>
      <c r="B796" s="146"/>
      <c r="C796" s="147"/>
      <c r="D796" s="148"/>
      <c r="E796" s="148"/>
      <c r="F796" s="149"/>
      <c r="G796" s="156"/>
      <c r="H796" s="156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9"/>
    </row>
    <row r="797" spans="1:26" ht="18.75">
      <c r="A797" s="149"/>
      <c r="B797" s="146"/>
      <c r="C797" s="147"/>
      <c r="D797" s="148"/>
      <c r="E797" s="148"/>
      <c r="F797" s="149"/>
      <c r="G797" s="158"/>
      <c r="H797" s="158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9"/>
    </row>
    <row r="798" spans="1:26" ht="18.75">
      <c r="A798" s="149"/>
      <c r="B798" s="146"/>
      <c r="C798" s="147"/>
      <c r="D798" s="148"/>
      <c r="E798" s="148"/>
      <c r="F798" s="149"/>
      <c r="G798" s="156"/>
      <c r="H798" s="156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/>
    </row>
    <row r="799" spans="1:26" ht="18.75">
      <c r="A799" s="149"/>
      <c r="B799" s="146"/>
      <c r="C799" s="147"/>
      <c r="D799" s="148"/>
      <c r="E799" s="148"/>
      <c r="F799" s="149"/>
      <c r="G799" s="158"/>
      <c r="H799" s="158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9"/>
    </row>
    <row r="800" spans="1:26" ht="18.75">
      <c r="A800" s="149"/>
      <c r="B800" s="146"/>
      <c r="C800" s="147"/>
      <c r="D800" s="148"/>
      <c r="E800" s="148"/>
      <c r="F800" s="149"/>
      <c r="G800" s="156"/>
      <c r="H800" s="156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9"/>
    </row>
    <row r="801" spans="1:26" ht="18.75">
      <c r="A801" s="149"/>
      <c r="B801" s="146"/>
      <c r="C801" s="147"/>
      <c r="D801" s="148"/>
      <c r="E801" s="148"/>
      <c r="F801" s="149"/>
      <c r="G801" s="158"/>
      <c r="H801" s="158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9"/>
    </row>
    <row r="802" spans="1:26" ht="18.75">
      <c r="A802" s="149"/>
      <c r="B802" s="146"/>
      <c r="C802" s="147"/>
      <c r="D802" s="148"/>
      <c r="E802" s="148"/>
      <c r="F802" s="149"/>
      <c r="G802" s="156"/>
      <c r="H802" s="156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9"/>
    </row>
    <row r="803" spans="1:26" ht="18.75">
      <c r="A803" s="149"/>
      <c r="B803" s="146"/>
      <c r="C803" s="147"/>
      <c r="D803" s="148"/>
      <c r="E803" s="148"/>
      <c r="F803" s="149"/>
      <c r="G803" s="158"/>
      <c r="H803" s="158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9"/>
    </row>
    <row r="804" spans="1:26" ht="18.75">
      <c r="A804" s="149"/>
      <c r="B804" s="146"/>
      <c r="C804" s="147"/>
      <c r="D804" s="148"/>
      <c r="E804" s="148"/>
      <c r="F804" s="149"/>
      <c r="G804" s="156"/>
      <c r="H804" s="156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9"/>
    </row>
    <row r="805" spans="1:26" ht="18.75">
      <c r="A805" s="149"/>
      <c r="B805" s="146"/>
      <c r="C805" s="147"/>
      <c r="D805" s="148"/>
      <c r="E805" s="148"/>
      <c r="F805" s="149"/>
      <c r="G805" s="158"/>
      <c r="H805" s="158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9"/>
    </row>
    <row r="806" spans="1:26" ht="18.75">
      <c r="A806" s="149"/>
      <c r="B806" s="146"/>
      <c r="C806" s="147"/>
      <c r="D806" s="148"/>
      <c r="E806" s="148"/>
      <c r="F806" s="149"/>
      <c r="G806" s="156"/>
      <c r="H806" s="156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9"/>
    </row>
    <row r="807" spans="1:26" ht="18.75">
      <c r="A807" s="149"/>
      <c r="B807" s="146"/>
      <c r="C807" s="147"/>
      <c r="D807" s="148"/>
      <c r="E807" s="148"/>
      <c r="F807" s="149"/>
      <c r="G807" s="158"/>
      <c r="H807" s="158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9"/>
    </row>
    <row r="808" spans="1:26" ht="18.75">
      <c r="A808" s="149"/>
      <c r="B808" s="146"/>
      <c r="C808" s="147"/>
      <c r="D808" s="148"/>
      <c r="E808" s="148"/>
      <c r="F808" s="149"/>
      <c r="G808" s="156"/>
      <c r="H808" s="156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9"/>
    </row>
    <row r="809" spans="1:26" ht="18.75">
      <c r="A809" s="149"/>
      <c r="B809" s="146"/>
      <c r="C809" s="147"/>
      <c r="D809" s="148"/>
      <c r="E809" s="148"/>
      <c r="F809" s="149"/>
      <c r="G809" s="158"/>
      <c r="H809" s="158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</row>
    <row r="810" spans="1:26" ht="18.75">
      <c r="A810" s="149"/>
      <c r="B810" s="146"/>
      <c r="C810" s="147"/>
      <c r="D810" s="148"/>
      <c r="E810" s="148"/>
      <c r="F810" s="149"/>
      <c r="G810" s="156"/>
      <c r="H810" s="156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</row>
    <row r="811" spans="1:26" ht="18.75">
      <c r="A811" s="149"/>
      <c r="B811" s="146"/>
      <c r="C811" s="147"/>
      <c r="D811" s="148"/>
      <c r="E811" s="148"/>
      <c r="F811" s="149"/>
      <c r="G811" s="158"/>
      <c r="H811" s="158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9"/>
    </row>
    <row r="812" spans="1:26" ht="18.75">
      <c r="A812" s="149"/>
      <c r="B812" s="146"/>
      <c r="C812" s="147"/>
      <c r="D812" s="148"/>
      <c r="E812" s="148"/>
      <c r="F812" s="149"/>
      <c r="G812" s="156"/>
      <c r="H812" s="156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9"/>
    </row>
    <row r="813" spans="1:26" ht="18.75">
      <c r="A813" s="149"/>
      <c r="B813" s="146"/>
      <c r="C813" s="147"/>
      <c r="D813" s="148"/>
      <c r="E813" s="148"/>
      <c r="F813" s="149"/>
      <c r="G813" s="158"/>
      <c r="H813" s="158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9"/>
    </row>
    <row r="814" spans="1:26" ht="18.75">
      <c r="A814" s="149"/>
      <c r="B814" s="146"/>
      <c r="C814" s="147"/>
      <c r="D814" s="148"/>
      <c r="E814" s="148"/>
      <c r="F814" s="149"/>
      <c r="G814" s="156"/>
      <c r="H814" s="156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9"/>
    </row>
    <row r="815" spans="1:26" ht="18.75">
      <c r="A815" s="149"/>
      <c r="B815" s="146"/>
      <c r="C815" s="147"/>
      <c r="D815" s="148"/>
      <c r="E815" s="148"/>
      <c r="F815" s="149"/>
      <c r="G815" s="158"/>
      <c r="H815" s="158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/>
    </row>
    <row r="816" spans="1:26" ht="18.75">
      <c r="A816" s="149"/>
      <c r="B816" s="146"/>
      <c r="C816" s="147"/>
      <c r="D816" s="148"/>
      <c r="E816" s="148"/>
      <c r="F816" s="149"/>
      <c r="G816" s="156"/>
      <c r="H816" s="156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/>
    </row>
    <row r="817" spans="1:26" ht="18.75">
      <c r="A817" s="149"/>
      <c r="B817" s="146"/>
      <c r="C817" s="147"/>
      <c r="D817" s="148"/>
      <c r="E817" s="148"/>
      <c r="F817" s="149"/>
      <c r="G817" s="158"/>
      <c r="H817" s="158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9"/>
    </row>
    <row r="818" spans="1:26" ht="18.75">
      <c r="A818" s="149"/>
      <c r="B818" s="146"/>
      <c r="C818" s="147"/>
      <c r="D818" s="148"/>
      <c r="E818" s="148"/>
      <c r="F818" s="149"/>
      <c r="G818" s="156"/>
      <c r="H818" s="156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9"/>
    </row>
    <row r="819" spans="1:26" ht="18.75">
      <c r="A819" s="149"/>
      <c r="B819" s="146"/>
      <c r="C819" s="147"/>
      <c r="D819" s="148"/>
      <c r="E819" s="148"/>
      <c r="F819" s="149"/>
      <c r="G819" s="158"/>
      <c r="H819" s="158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9"/>
    </row>
    <row r="820" spans="1:26" ht="18.75">
      <c r="A820" s="149"/>
      <c r="B820" s="146"/>
      <c r="C820" s="147"/>
      <c r="D820" s="148"/>
      <c r="E820" s="148"/>
      <c r="F820" s="149"/>
      <c r="G820" s="156"/>
      <c r="H820" s="156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9"/>
    </row>
    <row r="821" spans="1:26" ht="18.75">
      <c r="A821" s="149"/>
      <c r="B821" s="146"/>
      <c r="C821" s="147"/>
      <c r="D821" s="148"/>
      <c r="E821" s="148"/>
      <c r="F821" s="149"/>
      <c r="G821" s="158"/>
      <c r="H821" s="158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9"/>
    </row>
    <row r="822" spans="1:26" ht="18.75">
      <c r="A822" s="149"/>
      <c r="B822" s="146"/>
      <c r="C822" s="147"/>
      <c r="D822" s="148"/>
      <c r="E822" s="148"/>
      <c r="F822" s="149"/>
      <c r="G822" s="156"/>
      <c r="H822" s="156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9"/>
    </row>
    <row r="823" spans="1:26" ht="18.75">
      <c r="A823" s="149"/>
      <c r="B823" s="146"/>
      <c r="C823" s="147"/>
      <c r="D823" s="148"/>
      <c r="E823" s="148"/>
      <c r="F823" s="149"/>
      <c r="G823" s="158"/>
      <c r="H823" s="158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9"/>
    </row>
    <row r="824" spans="1:26" ht="18.75">
      <c r="A824" s="149"/>
      <c r="B824" s="146"/>
      <c r="C824" s="147"/>
      <c r="D824" s="148"/>
      <c r="E824" s="148"/>
      <c r="F824" s="149"/>
      <c r="G824" s="156"/>
      <c r="H824" s="156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9"/>
    </row>
    <row r="825" spans="1:26" ht="18.75">
      <c r="A825" s="149"/>
      <c r="B825" s="146"/>
      <c r="C825" s="147"/>
      <c r="D825" s="148"/>
      <c r="E825" s="148"/>
      <c r="F825" s="149"/>
      <c r="G825" s="158"/>
      <c r="H825" s="158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9"/>
    </row>
    <row r="826" spans="1:26" ht="18.75">
      <c r="A826" s="149"/>
      <c r="B826" s="146"/>
      <c r="C826" s="147"/>
      <c r="D826" s="148"/>
      <c r="E826" s="148"/>
      <c r="F826" s="149"/>
      <c r="G826" s="156"/>
      <c r="H826" s="156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9"/>
    </row>
    <row r="827" spans="1:26" ht="18.75">
      <c r="A827" s="149"/>
      <c r="B827" s="146"/>
      <c r="C827" s="147"/>
      <c r="D827" s="148"/>
      <c r="E827" s="148"/>
      <c r="F827" s="149"/>
      <c r="G827" s="158"/>
      <c r="H827" s="158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9"/>
    </row>
    <row r="828" spans="1:26" ht="18.75">
      <c r="A828" s="149"/>
      <c r="B828" s="146"/>
      <c r="C828" s="147"/>
      <c r="D828" s="148"/>
      <c r="E828" s="148"/>
      <c r="F828" s="149"/>
      <c r="G828" s="156"/>
      <c r="H828" s="156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9"/>
    </row>
    <row r="829" spans="1:26" ht="18.75">
      <c r="A829" s="149"/>
      <c r="B829" s="146"/>
      <c r="C829" s="147"/>
      <c r="D829" s="148"/>
      <c r="E829" s="148"/>
      <c r="F829" s="149"/>
      <c r="G829" s="158"/>
      <c r="H829" s="158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9"/>
    </row>
    <row r="830" spans="1:26" ht="18.75">
      <c r="A830" s="149"/>
      <c r="B830" s="146"/>
      <c r="C830" s="147"/>
      <c r="D830" s="148"/>
      <c r="E830" s="148"/>
      <c r="F830" s="149"/>
      <c r="G830" s="156"/>
      <c r="H830" s="156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9"/>
    </row>
    <row r="831" spans="1:26" ht="18.75">
      <c r="A831" s="149"/>
      <c r="B831" s="146"/>
      <c r="C831" s="147"/>
      <c r="D831" s="148"/>
      <c r="E831" s="148"/>
      <c r="F831" s="149"/>
      <c r="G831" s="158"/>
      <c r="H831" s="158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9"/>
    </row>
    <row r="832" spans="1:26" ht="18.75">
      <c r="A832" s="149"/>
      <c r="B832" s="146"/>
      <c r="C832" s="147"/>
      <c r="D832" s="148"/>
      <c r="E832" s="148"/>
      <c r="F832" s="149"/>
      <c r="G832" s="156"/>
      <c r="H832" s="156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9"/>
    </row>
    <row r="833" spans="1:26" ht="18.75">
      <c r="A833" s="149"/>
      <c r="B833" s="146"/>
      <c r="C833" s="147"/>
      <c r="D833" s="148"/>
      <c r="E833" s="148"/>
      <c r="F833" s="149"/>
      <c r="G833" s="158"/>
      <c r="H833" s="158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9"/>
    </row>
    <row r="834" spans="1:26" ht="18.75">
      <c r="A834" s="149"/>
      <c r="B834" s="146"/>
      <c r="C834" s="147"/>
      <c r="D834" s="148"/>
      <c r="E834" s="148"/>
      <c r="F834" s="149"/>
      <c r="G834" s="156"/>
      <c r="H834" s="156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9"/>
    </row>
    <row r="835" spans="1:26" ht="18.75">
      <c r="A835" s="149"/>
      <c r="B835" s="146"/>
      <c r="C835" s="147"/>
      <c r="D835" s="148"/>
      <c r="E835" s="148"/>
      <c r="F835" s="149"/>
      <c r="G835" s="158"/>
      <c r="H835" s="158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9"/>
    </row>
    <row r="836" spans="1:26" ht="18.75">
      <c r="A836" s="149"/>
      <c r="B836" s="146"/>
      <c r="C836" s="147"/>
      <c r="D836" s="148"/>
      <c r="E836" s="148"/>
      <c r="F836" s="149"/>
      <c r="G836" s="156"/>
      <c r="H836" s="156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9"/>
    </row>
    <row r="837" spans="1:26" ht="18.75">
      <c r="A837" s="149"/>
      <c r="B837" s="146"/>
      <c r="C837" s="147"/>
      <c r="D837" s="148"/>
      <c r="E837" s="148"/>
      <c r="F837" s="149"/>
      <c r="G837" s="158"/>
      <c r="H837" s="158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9"/>
    </row>
    <row r="838" spans="1:26" ht="18.75">
      <c r="A838" s="149"/>
      <c r="B838" s="146"/>
      <c r="C838" s="147"/>
      <c r="D838" s="148"/>
      <c r="E838" s="148"/>
      <c r="F838" s="149"/>
      <c r="G838" s="156"/>
      <c r="H838" s="156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9"/>
    </row>
    <row r="839" spans="1:26" ht="18.75">
      <c r="A839" s="149"/>
      <c r="B839" s="146"/>
      <c r="C839" s="147"/>
      <c r="D839" s="148"/>
      <c r="E839" s="148"/>
      <c r="F839" s="149"/>
      <c r="G839" s="158"/>
      <c r="H839" s="158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9"/>
    </row>
    <row r="840" spans="1:26" ht="18.75">
      <c r="A840" s="149"/>
      <c r="B840" s="146"/>
      <c r="C840" s="147"/>
      <c r="D840" s="148"/>
      <c r="E840" s="148"/>
      <c r="F840" s="149"/>
      <c r="G840" s="156"/>
      <c r="H840" s="156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9"/>
    </row>
    <row r="841" spans="1:26" ht="18.75">
      <c r="A841" s="149"/>
      <c r="B841" s="146"/>
      <c r="C841" s="147"/>
      <c r="D841" s="148"/>
      <c r="E841" s="148"/>
      <c r="F841" s="149"/>
      <c r="G841" s="158"/>
      <c r="H841" s="158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9"/>
    </row>
    <row r="842" spans="1:26" ht="18.75">
      <c r="A842" s="149"/>
      <c r="B842" s="146"/>
      <c r="C842" s="147"/>
      <c r="D842" s="148"/>
      <c r="E842" s="148"/>
      <c r="F842" s="149"/>
      <c r="G842" s="156"/>
      <c r="H842" s="156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9"/>
    </row>
    <row r="843" spans="1:26" ht="18.75">
      <c r="A843" s="149"/>
      <c r="B843" s="146"/>
      <c r="C843" s="147"/>
      <c r="D843" s="148"/>
      <c r="E843" s="148"/>
      <c r="F843" s="149"/>
      <c r="G843" s="158"/>
      <c r="H843" s="158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9"/>
    </row>
    <row r="844" spans="1:26" ht="18.75">
      <c r="A844" s="149"/>
      <c r="B844" s="146"/>
      <c r="C844" s="147"/>
      <c r="D844" s="148"/>
      <c r="E844" s="148"/>
      <c r="F844" s="149"/>
      <c r="G844" s="156"/>
      <c r="H844" s="156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9"/>
    </row>
    <row r="845" spans="1:26" ht="18.75">
      <c r="A845" s="149"/>
      <c r="B845" s="146"/>
      <c r="C845" s="147"/>
      <c r="D845" s="148"/>
      <c r="E845" s="148"/>
      <c r="F845" s="149"/>
      <c r="G845" s="158"/>
      <c r="H845" s="158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9"/>
    </row>
    <row r="846" spans="1:26" ht="18.75">
      <c r="A846" s="149"/>
      <c r="B846" s="146"/>
      <c r="C846" s="147"/>
      <c r="D846" s="148"/>
      <c r="E846" s="148"/>
      <c r="F846" s="149"/>
      <c r="G846" s="156"/>
      <c r="H846" s="156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9"/>
    </row>
    <row r="847" spans="1:26" ht="18.75">
      <c r="A847" s="149"/>
      <c r="B847" s="146"/>
      <c r="C847" s="147"/>
      <c r="D847" s="148"/>
      <c r="E847" s="148"/>
      <c r="F847" s="149"/>
      <c r="G847" s="158"/>
      <c r="H847" s="158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9"/>
    </row>
    <row r="848" spans="1:26" ht="18.75">
      <c r="A848" s="149"/>
      <c r="B848" s="146"/>
      <c r="C848" s="147"/>
      <c r="D848" s="148"/>
      <c r="E848" s="148"/>
      <c r="F848" s="149"/>
      <c r="G848" s="156"/>
      <c r="H848" s="156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9"/>
    </row>
    <row r="849" spans="1:26" ht="18.75">
      <c r="A849" s="149"/>
      <c r="B849" s="146"/>
      <c r="C849" s="147"/>
      <c r="D849" s="148"/>
      <c r="E849" s="148"/>
      <c r="F849" s="149"/>
      <c r="G849" s="158"/>
      <c r="H849" s="158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9"/>
    </row>
    <row r="850" spans="1:26" ht="18.75">
      <c r="A850" s="149"/>
      <c r="B850" s="146"/>
      <c r="C850" s="147"/>
      <c r="D850" s="148"/>
      <c r="E850" s="148"/>
      <c r="F850" s="149"/>
      <c r="G850" s="156"/>
      <c r="H850" s="156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9"/>
    </row>
    <row r="851" spans="1:26" ht="18.75">
      <c r="A851" s="149"/>
      <c r="B851" s="146"/>
      <c r="C851" s="147"/>
      <c r="D851" s="148"/>
      <c r="E851" s="148"/>
      <c r="F851" s="149"/>
      <c r="G851" s="158"/>
      <c r="H851" s="158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9"/>
    </row>
    <row r="852" spans="1:26" ht="18.75">
      <c r="A852" s="149"/>
      <c r="B852" s="146"/>
      <c r="C852" s="147"/>
      <c r="D852" s="148"/>
      <c r="E852" s="148"/>
      <c r="F852" s="149"/>
      <c r="G852" s="156"/>
      <c r="H852" s="156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9"/>
    </row>
    <row r="853" spans="1:26" ht="18.75">
      <c r="A853" s="149"/>
      <c r="B853" s="146"/>
      <c r="C853" s="147"/>
      <c r="D853" s="148"/>
      <c r="E853" s="148"/>
      <c r="F853" s="149"/>
      <c r="G853" s="158"/>
      <c r="H853" s="158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9"/>
    </row>
    <row r="854" spans="1:26" ht="18.75">
      <c r="A854" s="149"/>
      <c r="B854" s="146"/>
      <c r="C854" s="147"/>
      <c r="D854" s="148"/>
      <c r="E854" s="148"/>
      <c r="F854" s="149"/>
      <c r="G854" s="156"/>
      <c r="H854" s="156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9"/>
    </row>
    <row r="855" spans="1:26" ht="18.75">
      <c r="A855" s="149"/>
      <c r="B855" s="146"/>
      <c r="C855" s="147"/>
      <c r="D855" s="148"/>
      <c r="E855" s="148"/>
      <c r="F855" s="149"/>
      <c r="G855" s="158"/>
      <c r="H855" s="158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9"/>
    </row>
    <row r="856" spans="1:26" ht="18.75">
      <c r="A856" s="149"/>
      <c r="B856" s="146"/>
      <c r="C856" s="147"/>
      <c r="D856" s="148"/>
      <c r="E856" s="148"/>
      <c r="F856" s="149"/>
      <c r="G856" s="156"/>
      <c r="H856" s="156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9"/>
    </row>
    <row r="857" spans="1:26" ht="18.75">
      <c r="A857" s="149"/>
      <c r="B857" s="146"/>
      <c r="C857" s="147"/>
      <c r="D857" s="148"/>
      <c r="E857" s="148"/>
      <c r="F857" s="149"/>
      <c r="G857" s="158"/>
      <c r="H857" s="158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9"/>
    </row>
    <row r="858" spans="1:26" ht="18.75">
      <c r="A858" s="149"/>
      <c r="B858" s="146"/>
      <c r="C858" s="147"/>
      <c r="D858" s="148"/>
      <c r="E858" s="148"/>
      <c r="F858" s="149"/>
      <c r="G858" s="156"/>
      <c r="H858" s="156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9"/>
    </row>
    <row r="859" spans="1:26" ht="18.75">
      <c r="A859" s="149"/>
      <c r="B859" s="146"/>
      <c r="C859" s="147"/>
      <c r="D859" s="148"/>
      <c r="E859" s="148"/>
      <c r="F859" s="149"/>
      <c r="G859" s="158"/>
      <c r="H859" s="158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9"/>
    </row>
    <row r="860" spans="1:26" ht="18.75">
      <c r="A860" s="149"/>
      <c r="B860" s="146"/>
      <c r="C860" s="147"/>
      <c r="D860" s="148"/>
      <c r="E860" s="148"/>
      <c r="F860" s="149"/>
      <c r="G860" s="156"/>
      <c r="H860" s="156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9"/>
    </row>
    <row r="861" spans="1:26" ht="18.75">
      <c r="A861" s="149"/>
      <c r="B861" s="146"/>
      <c r="C861" s="147"/>
      <c r="D861" s="148"/>
      <c r="E861" s="148"/>
      <c r="F861" s="149"/>
      <c r="G861" s="158"/>
      <c r="H861" s="158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9"/>
    </row>
    <row r="862" spans="1:26" ht="18.75">
      <c r="A862" s="149"/>
      <c r="B862" s="146"/>
      <c r="C862" s="147"/>
      <c r="D862" s="148"/>
      <c r="E862" s="148"/>
      <c r="F862" s="149"/>
      <c r="G862" s="156"/>
      <c r="H862" s="156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9"/>
    </row>
    <row r="863" spans="1:26" ht="18.75">
      <c r="A863" s="149"/>
      <c r="B863" s="146"/>
      <c r="C863" s="147"/>
      <c r="D863" s="148"/>
      <c r="E863" s="148"/>
      <c r="F863" s="149"/>
      <c r="G863" s="158"/>
      <c r="H863" s="158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9"/>
    </row>
    <row r="864" spans="1:26" ht="18.75">
      <c r="A864" s="149"/>
      <c r="B864" s="146"/>
      <c r="C864" s="147"/>
      <c r="D864" s="148"/>
      <c r="E864" s="148"/>
      <c r="F864" s="149"/>
      <c r="G864" s="156"/>
      <c r="H864" s="156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9"/>
    </row>
    <row r="865" spans="1:26" ht="18.75">
      <c r="A865" s="149"/>
      <c r="B865" s="146"/>
      <c r="C865" s="147"/>
      <c r="D865" s="148"/>
      <c r="E865" s="148"/>
      <c r="F865" s="149"/>
      <c r="G865" s="158"/>
      <c r="H865" s="158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9"/>
    </row>
    <row r="866" spans="1:26" ht="18.75">
      <c r="A866" s="149"/>
      <c r="B866" s="146"/>
      <c r="C866" s="147"/>
      <c r="D866" s="148"/>
      <c r="E866" s="148"/>
      <c r="F866" s="149"/>
      <c r="G866" s="156"/>
      <c r="H866" s="156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9"/>
    </row>
    <row r="867" spans="1:26" ht="18.75">
      <c r="A867" s="149"/>
      <c r="B867" s="146"/>
      <c r="C867" s="147"/>
      <c r="D867" s="148"/>
      <c r="E867" s="148"/>
      <c r="F867" s="149"/>
      <c r="G867" s="158"/>
      <c r="H867" s="158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9"/>
    </row>
    <row r="868" spans="1:26" ht="18.75">
      <c r="A868" s="149"/>
      <c r="B868" s="146"/>
      <c r="C868" s="147"/>
      <c r="D868" s="148"/>
      <c r="E868" s="148"/>
      <c r="F868" s="149"/>
      <c r="G868" s="156"/>
      <c r="H868" s="156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  <c r="Z868" s="149"/>
    </row>
    <row r="869" spans="1:26" ht="18.75">
      <c r="A869" s="149"/>
      <c r="B869" s="146"/>
      <c r="C869" s="147"/>
      <c r="D869" s="148"/>
      <c r="E869" s="148"/>
      <c r="F869" s="149"/>
      <c r="G869" s="158"/>
      <c r="H869" s="158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  <c r="Z869" s="149"/>
    </row>
    <row r="870" spans="1:26" ht="18.75">
      <c r="A870" s="149"/>
      <c r="B870" s="146"/>
      <c r="C870" s="147"/>
      <c r="D870" s="148"/>
      <c r="E870" s="148"/>
      <c r="F870" s="149"/>
      <c r="G870" s="156"/>
      <c r="H870" s="156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9"/>
    </row>
    <row r="871" spans="1:26" ht="18.75">
      <c r="A871" s="149"/>
      <c r="B871" s="146"/>
      <c r="C871" s="147"/>
      <c r="D871" s="148"/>
      <c r="E871" s="148"/>
      <c r="F871" s="149"/>
      <c r="G871" s="158"/>
      <c r="H871" s="158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9"/>
    </row>
    <row r="872" spans="1:26" ht="18.75">
      <c r="A872" s="149"/>
      <c r="B872" s="146"/>
      <c r="C872" s="147"/>
      <c r="D872" s="148"/>
      <c r="E872" s="148"/>
      <c r="F872" s="149"/>
      <c r="G872" s="156"/>
      <c r="H872" s="156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9"/>
    </row>
    <row r="873" spans="1:26" ht="18.75">
      <c r="A873" s="149"/>
      <c r="B873" s="146"/>
      <c r="C873" s="147"/>
      <c r="D873" s="148"/>
      <c r="E873" s="148"/>
      <c r="F873" s="149"/>
      <c r="G873" s="158"/>
      <c r="H873" s="158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  <c r="Z873" s="149"/>
    </row>
    <row r="874" spans="1:26" ht="18.75">
      <c r="A874" s="149"/>
      <c r="B874" s="146"/>
      <c r="C874" s="147"/>
      <c r="D874" s="148"/>
      <c r="E874" s="148"/>
      <c r="F874" s="149"/>
      <c r="G874" s="156"/>
      <c r="H874" s="156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  <c r="Z874" s="149"/>
    </row>
    <row r="875" spans="1:26" ht="18.75">
      <c r="A875" s="149"/>
      <c r="B875" s="146"/>
      <c r="C875" s="147"/>
      <c r="D875" s="148"/>
      <c r="E875" s="148"/>
      <c r="F875" s="149"/>
      <c r="G875" s="158"/>
      <c r="H875" s="158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9"/>
    </row>
    <row r="876" spans="1:26" ht="18.75">
      <c r="A876" s="149"/>
      <c r="B876" s="146"/>
      <c r="C876" s="147"/>
      <c r="D876" s="148"/>
      <c r="E876" s="148"/>
      <c r="F876" s="149"/>
      <c r="G876" s="156"/>
      <c r="H876" s="156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  <c r="Z876" s="149"/>
    </row>
    <row r="877" spans="1:26" ht="18.75">
      <c r="A877" s="149"/>
      <c r="B877" s="146"/>
      <c r="C877" s="147"/>
      <c r="D877" s="148"/>
      <c r="E877" s="148"/>
      <c r="F877" s="149"/>
      <c r="G877" s="158"/>
      <c r="H877" s="158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  <c r="Z877" s="149"/>
    </row>
    <row r="878" spans="1:26" ht="18.75">
      <c r="A878" s="149"/>
      <c r="B878" s="146"/>
      <c r="C878" s="147"/>
      <c r="D878" s="148"/>
      <c r="E878" s="148"/>
      <c r="F878" s="149"/>
      <c r="G878" s="156"/>
      <c r="H878" s="156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9"/>
    </row>
    <row r="879" spans="1:26" ht="18.75">
      <c r="A879" s="149"/>
      <c r="B879" s="146"/>
      <c r="C879" s="147"/>
      <c r="D879" s="148"/>
      <c r="E879" s="148"/>
      <c r="F879" s="149"/>
      <c r="G879" s="158"/>
      <c r="H879" s="158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9"/>
    </row>
    <row r="880" spans="1:26" ht="18.75">
      <c r="A880" s="149"/>
      <c r="B880" s="146"/>
      <c r="C880" s="147"/>
      <c r="D880" s="148"/>
      <c r="E880" s="148"/>
      <c r="F880" s="149"/>
      <c r="G880" s="156"/>
      <c r="H880" s="156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9"/>
    </row>
    <row r="881" spans="1:26" ht="18.75">
      <c r="A881" s="149"/>
      <c r="B881" s="146"/>
      <c r="C881" s="147"/>
      <c r="D881" s="148"/>
      <c r="E881" s="148"/>
      <c r="F881" s="149"/>
      <c r="G881" s="158"/>
      <c r="H881" s="158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9"/>
    </row>
    <row r="882" spans="1:26" ht="18.75">
      <c r="A882" s="149"/>
      <c r="B882" s="146"/>
      <c r="C882" s="147"/>
      <c r="D882" s="148"/>
      <c r="E882" s="148"/>
      <c r="F882" s="149"/>
      <c r="G882" s="156"/>
      <c r="H882" s="156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9"/>
    </row>
    <row r="883" spans="1:26" ht="18.75">
      <c r="A883" s="149"/>
      <c r="B883" s="146"/>
      <c r="C883" s="147"/>
      <c r="D883" s="148"/>
      <c r="E883" s="148"/>
      <c r="F883" s="149"/>
      <c r="G883" s="158"/>
      <c r="H883" s="158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9"/>
    </row>
    <row r="884" spans="1:26" ht="18.75">
      <c r="A884" s="149"/>
      <c r="B884" s="146"/>
      <c r="C884" s="147"/>
      <c r="D884" s="148"/>
      <c r="E884" s="148"/>
      <c r="F884" s="149"/>
      <c r="G884" s="156"/>
      <c r="H884" s="156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9"/>
    </row>
    <row r="885" spans="1:26" ht="18.75">
      <c r="A885" s="149"/>
      <c r="B885" s="146"/>
      <c r="C885" s="147"/>
      <c r="D885" s="148"/>
      <c r="E885" s="148"/>
      <c r="F885" s="149"/>
      <c r="G885" s="158"/>
      <c r="H885" s="158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  <c r="Z885" s="149"/>
    </row>
    <row r="886" spans="1:26" ht="18.75">
      <c r="A886" s="149"/>
      <c r="B886" s="146"/>
      <c r="C886" s="147"/>
      <c r="D886" s="148"/>
      <c r="E886" s="148"/>
      <c r="F886" s="149"/>
      <c r="G886" s="156"/>
      <c r="H886" s="156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  <c r="Z886" s="149"/>
    </row>
    <row r="887" spans="1:26" ht="18.75">
      <c r="A887" s="149"/>
      <c r="B887" s="146"/>
      <c r="C887" s="147"/>
      <c r="D887" s="148"/>
      <c r="E887" s="148"/>
      <c r="F887" s="149"/>
      <c r="G887" s="158"/>
      <c r="H887" s="158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9"/>
    </row>
    <row r="888" spans="1:26" ht="18.75">
      <c r="A888" s="149"/>
      <c r="B888" s="146"/>
      <c r="C888" s="147"/>
      <c r="D888" s="148"/>
      <c r="E888" s="148"/>
      <c r="F888" s="149"/>
      <c r="G888" s="156"/>
      <c r="H888" s="156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</row>
    <row r="889" spans="1:26" ht="18.75">
      <c r="A889" s="149"/>
      <c r="B889" s="146"/>
      <c r="C889" s="147"/>
      <c r="D889" s="148"/>
      <c r="E889" s="148"/>
      <c r="F889" s="149"/>
      <c r="G889" s="158"/>
      <c r="H889" s="158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9"/>
    </row>
    <row r="890" spans="1:26" ht="18.75">
      <c r="A890" s="149"/>
      <c r="B890" s="146"/>
      <c r="C890" s="147"/>
      <c r="D890" s="148"/>
      <c r="E890" s="148"/>
      <c r="F890" s="149"/>
      <c r="G890" s="156"/>
      <c r="H890" s="156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9"/>
    </row>
    <row r="891" spans="1:26" ht="18.75">
      <c r="A891" s="149"/>
      <c r="B891" s="146"/>
      <c r="C891" s="147"/>
      <c r="D891" s="148"/>
      <c r="E891" s="148"/>
      <c r="F891" s="149"/>
      <c r="G891" s="158"/>
      <c r="H891" s="158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9"/>
    </row>
    <row r="892" spans="1:26" ht="18.75">
      <c r="A892" s="149"/>
      <c r="B892" s="146"/>
      <c r="C892" s="147"/>
      <c r="D892" s="148"/>
      <c r="E892" s="148"/>
      <c r="F892" s="149"/>
      <c r="G892" s="156"/>
      <c r="H892" s="156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9"/>
    </row>
    <row r="893" spans="1:26" ht="18.75">
      <c r="A893" s="149"/>
      <c r="B893" s="146"/>
      <c r="C893" s="147"/>
      <c r="D893" s="148"/>
      <c r="E893" s="148"/>
      <c r="F893" s="149"/>
      <c r="G893" s="158"/>
      <c r="H893" s="158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9"/>
    </row>
    <row r="894" spans="1:26" ht="18.75">
      <c r="A894" s="149"/>
      <c r="B894" s="146"/>
      <c r="C894" s="147"/>
      <c r="D894" s="148"/>
      <c r="E894" s="148"/>
      <c r="F894" s="149"/>
      <c r="G894" s="156"/>
      <c r="H894" s="156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9"/>
    </row>
    <row r="895" spans="1:26" ht="18.75">
      <c r="A895" s="149"/>
      <c r="B895" s="146"/>
      <c r="C895" s="147"/>
      <c r="D895" s="148"/>
      <c r="E895" s="148"/>
      <c r="F895" s="149"/>
      <c r="G895" s="158"/>
      <c r="H895" s="158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9"/>
    </row>
    <row r="896" spans="1:26" ht="18.75">
      <c r="A896" s="149"/>
      <c r="B896" s="146"/>
      <c r="C896" s="147"/>
      <c r="D896" s="148"/>
      <c r="E896" s="148"/>
      <c r="F896" s="149"/>
      <c r="G896" s="156"/>
      <c r="H896" s="156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9"/>
    </row>
    <row r="897" spans="1:26" ht="18.75">
      <c r="A897" s="149"/>
      <c r="B897" s="146"/>
      <c r="C897" s="147"/>
      <c r="D897" s="148"/>
      <c r="E897" s="148"/>
      <c r="F897" s="149"/>
      <c r="G897" s="158"/>
      <c r="H897" s="158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9"/>
    </row>
    <row r="898" spans="1:26" ht="18.75">
      <c r="A898" s="149"/>
      <c r="B898" s="146"/>
      <c r="C898" s="147"/>
      <c r="D898" s="148"/>
      <c r="E898" s="148"/>
      <c r="F898" s="149"/>
      <c r="G898" s="156"/>
      <c r="H898" s="156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9"/>
    </row>
    <row r="899" spans="1:26" ht="18.75">
      <c r="A899" s="149"/>
      <c r="B899" s="146"/>
      <c r="C899" s="147"/>
      <c r="D899" s="148"/>
      <c r="E899" s="148"/>
      <c r="F899" s="149"/>
      <c r="G899" s="158"/>
      <c r="H899" s="158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  <c r="Z899" s="149"/>
    </row>
    <row r="900" spans="1:26" ht="18.75">
      <c r="A900" s="149"/>
      <c r="B900" s="146"/>
      <c r="C900" s="147"/>
      <c r="D900" s="148"/>
      <c r="E900" s="148"/>
      <c r="F900" s="149"/>
      <c r="G900" s="156"/>
      <c r="H900" s="156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  <c r="Z900" s="149"/>
    </row>
    <row r="901" spans="1:26" ht="18.75">
      <c r="A901" s="149"/>
      <c r="B901" s="146"/>
      <c r="C901" s="147"/>
      <c r="D901" s="148"/>
      <c r="E901" s="148"/>
      <c r="F901" s="149"/>
      <c r="G901" s="158"/>
      <c r="H901" s="158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  <c r="Z901" s="149"/>
    </row>
    <row r="902" spans="1:26" ht="18.75">
      <c r="A902" s="149"/>
      <c r="B902" s="146"/>
      <c r="C902" s="147"/>
      <c r="D902" s="148"/>
      <c r="E902" s="148"/>
      <c r="F902" s="149"/>
      <c r="G902" s="156"/>
      <c r="H902" s="156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9"/>
    </row>
    <row r="903" spans="1:26" ht="18.75">
      <c r="A903" s="149"/>
      <c r="B903" s="146"/>
      <c r="C903" s="147"/>
      <c r="D903" s="148"/>
      <c r="E903" s="148"/>
      <c r="F903" s="149"/>
      <c r="G903" s="158"/>
      <c r="H903" s="158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9"/>
    </row>
    <row r="904" spans="1:26" ht="18.75">
      <c r="A904" s="149"/>
      <c r="B904" s="146"/>
      <c r="C904" s="147"/>
      <c r="D904" s="148"/>
      <c r="E904" s="148"/>
      <c r="F904" s="149"/>
      <c r="G904" s="156"/>
      <c r="H904" s="156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  <c r="Z904" s="149"/>
    </row>
    <row r="905" spans="1:26" ht="18.75">
      <c r="A905" s="149"/>
      <c r="B905" s="146"/>
      <c r="C905" s="147"/>
      <c r="D905" s="148"/>
      <c r="E905" s="148"/>
      <c r="F905" s="149"/>
      <c r="G905" s="158"/>
      <c r="H905" s="158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  <c r="Z905" s="149"/>
    </row>
    <row r="906" spans="1:26" ht="18.75">
      <c r="A906" s="149"/>
      <c r="B906" s="146"/>
      <c r="C906" s="147"/>
      <c r="D906" s="148"/>
      <c r="E906" s="148"/>
      <c r="F906" s="149"/>
      <c r="G906" s="156"/>
      <c r="H906" s="156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9"/>
    </row>
    <row r="907" spans="1:26" ht="18.75">
      <c r="A907" s="149"/>
      <c r="B907" s="146"/>
      <c r="C907" s="147"/>
      <c r="D907" s="148"/>
      <c r="E907" s="148"/>
      <c r="F907" s="149"/>
      <c r="G907" s="158"/>
      <c r="H907" s="158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9"/>
    </row>
    <row r="908" spans="1:26" ht="18.75">
      <c r="A908" s="149"/>
      <c r="B908" s="146"/>
      <c r="C908" s="147"/>
      <c r="D908" s="148"/>
      <c r="E908" s="148"/>
      <c r="F908" s="149"/>
      <c r="G908" s="156"/>
      <c r="H908" s="156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9"/>
    </row>
    <row r="909" spans="1:26" ht="18.75">
      <c r="A909" s="149"/>
      <c r="B909" s="146"/>
      <c r="C909" s="147"/>
      <c r="D909" s="148"/>
      <c r="E909" s="148"/>
      <c r="F909" s="149"/>
      <c r="G909" s="158"/>
      <c r="H909" s="158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9"/>
    </row>
    <row r="910" spans="1:26" ht="18.75">
      <c r="A910" s="149"/>
      <c r="B910" s="146"/>
      <c r="C910" s="147"/>
      <c r="D910" s="148"/>
      <c r="E910" s="148"/>
      <c r="F910" s="149"/>
      <c r="G910" s="156"/>
      <c r="H910" s="156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9"/>
    </row>
    <row r="911" spans="1:26" ht="18.75">
      <c r="A911" s="149"/>
      <c r="B911" s="146"/>
      <c r="C911" s="147"/>
      <c r="D911" s="148"/>
      <c r="E911" s="148"/>
      <c r="F911" s="149"/>
      <c r="G911" s="158"/>
      <c r="H911" s="158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9"/>
    </row>
    <row r="912" spans="1:26" ht="18.75">
      <c r="A912" s="149"/>
      <c r="B912" s="146"/>
      <c r="C912" s="147"/>
      <c r="D912" s="148"/>
      <c r="E912" s="148"/>
      <c r="F912" s="149"/>
      <c r="G912" s="156"/>
      <c r="H912" s="156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</row>
    <row r="913" spans="1:26" ht="18.75">
      <c r="A913" s="149"/>
      <c r="B913" s="146"/>
      <c r="C913" s="147"/>
      <c r="D913" s="148"/>
      <c r="E913" s="148"/>
      <c r="F913" s="149"/>
      <c r="G913" s="158"/>
      <c r="H913" s="158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</row>
    <row r="914" spans="1:26" ht="18.75">
      <c r="A914" s="149"/>
      <c r="B914" s="146"/>
      <c r="C914" s="147"/>
      <c r="D914" s="148"/>
      <c r="E914" s="148"/>
      <c r="F914" s="149"/>
      <c r="G914" s="156"/>
      <c r="H914" s="156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</row>
    <row r="915" spans="1:26" ht="18.75">
      <c r="A915" s="149"/>
      <c r="B915" s="146"/>
      <c r="C915" s="147"/>
      <c r="D915" s="148"/>
      <c r="E915" s="148"/>
      <c r="F915" s="149"/>
      <c r="G915" s="158"/>
      <c r="H915" s="158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/>
    </row>
    <row r="916" spans="1:26" ht="18.75">
      <c r="A916" s="149"/>
      <c r="B916" s="146"/>
      <c r="C916" s="147"/>
      <c r="D916" s="148"/>
      <c r="E916" s="148"/>
      <c r="F916" s="149"/>
      <c r="G916" s="156"/>
      <c r="H916" s="156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9"/>
    </row>
    <row r="917" spans="1:26" ht="18.75">
      <c r="A917" s="149"/>
      <c r="B917" s="146"/>
      <c r="C917" s="147"/>
      <c r="D917" s="148"/>
      <c r="E917" s="148"/>
      <c r="F917" s="149"/>
      <c r="G917" s="158"/>
      <c r="H917" s="158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9"/>
    </row>
    <row r="918" spans="1:26" ht="18.75">
      <c r="A918" s="149"/>
      <c r="B918" s="146"/>
      <c r="C918" s="147"/>
      <c r="D918" s="148"/>
      <c r="E918" s="148"/>
      <c r="F918" s="149"/>
      <c r="G918" s="156"/>
      <c r="H918" s="156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9"/>
    </row>
    <row r="919" spans="1:26" ht="18.75">
      <c r="A919" s="149"/>
      <c r="B919" s="146"/>
      <c r="C919" s="147"/>
      <c r="D919" s="148"/>
      <c r="E919" s="148"/>
      <c r="F919" s="149"/>
      <c r="G919" s="158"/>
      <c r="H919" s="158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9"/>
    </row>
    <row r="920" spans="1:26" ht="18.75">
      <c r="A920" s="149"/>
      <c r="B920" s="146"/>
      <c r="C920" s="147"/>
      <c r="D920" s="148"/>
      <c r="E920" s="148"/>
      <c r="F920" s="149"/>
      <c r="G920" s="156"/>
      <c r="H920" s="156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9"/>
    </row>
    <row r="921" spans="1:26" ht="18.75">
      <c r="A921" s="149"/>
      <c r="B921" s="146"/>
      <c r="C921" s="147"/>
      <c r="D921" s="148"/>
      <c r="E921" s="148"/>
      <c r="F921" s="149"/>
      <c r="G921" s="158"/>
      <c r="H921" s="158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9"/>
    </row>
    <row r="922" spans="1:26" ht="18.75">
      <c r="A922" s="149"/>
      <c r="B922" s="146"/>
      <c r="C922" s="147"/>
      <c r="D922" s="148"/>
      <c r="E922" s="148"/>
      <c r="F922" s="149"/>
      <c r="G922" s="156"/>
      <c r="H922" s="156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9"/>
    </row>
    <row r="923" spans="1:26" ht="18.75">
      <c r="A923" s="149"/>
      <c r="B923" s="146"/>
      <c r="C923" s="147"/>
      <c r="D923" s="148"/>
      <c r="E923" s="148"/>
      <c r="F923" s="149"/>
      <c r="G923" s="158"/>
      <c r="H923" s="158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9"/>
    </row>
    <row r="924" spans="1:26" ht="18.75">
      <c r="A924" s="149"/>
      <c r="B924" s="146"/>
      <c r="C924" s="147"/>
      <c r="D924" s="148"/>
      <c r="E924" s="148"/>
      <c r="F924" s="149"/>
      <c r="G924" s="156"/>
      <c r="H924" s="156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</row>
    <row r="925" spans="1:26" ht="18.75">
      <c r="A925" s="149"/>
      <c r="B925" s="146"/>
      <c r="C925" s="147"/>
      <c r="D925" s="148"/>
      <c r="E925" s="148"/>
      <c r="F925" s="149"/>
      <c r="G925" s="158"/>
      <c r="H925" s="158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/>
    </row>
    <row r="926" spans="1:26" ht="18.75">
      <c r="A926" s="149"/>
      <c r="B926" s="146"/>
      <c r="C926" s="147"/>
      <c r="D926" s="148"/>
      <c r="E926" s="148"/>
      <c r="F926" s="149"/>
      <c r="G926" s="156"/>
      <c r="H926" s="156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/>
    </row>
    <row r="927" spans="1:26" ht="18.75">
      <c r="A927" s="149"/>
      <c r="B927" s="146"/>
      <c r="C927" s="147"/>
      <c r="D927" s="148"/>
      <c r="E927" s="148"/>
      <c r="F927" s="149"/>
      <c r="G927" s="158"/>
      <c r="H927" s="158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</row>
    <row r="928" spans="1:26" ht="18.75">
      <c r="A928" s="149"/>
      <c r="B928" s="146"/>
      <c r="C928" s="147"/>
      <c r="D928" s="148"/>
      <c r="E928" s="148"/>
      <c r="F928" s="149"/>
      <c r="G928" s="156"/>
      <c r="H928" s="156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</row>
    <row r="929" spans="1:26" ht="18.75">
      <c r="A929" s="149"/>
      <c r="B929" s="146"/>
      <c r="C929" s="147"/>
      <c r="D929" s="148"/>
      <c r="E929" s="148"/>
      <c r="F929" s="149"/>
      <c r="G929" s="158"/>
      <c r="H929" s="158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</row>
    <row r="930" spans="1:26" ht="18.75">
      <c r="A930" s="149"/>
      <c r="B930" s="146"/>
      <c r="C930" s="147"/>
      <c r="D930" s="148"/>
      <c r="E930" s="148"/>
      <c r="F930" s="149"/>
      <c r="G930" s="156"/>
      <c r="H930" s="156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</row>
    <row r="931" spans="1:26" ht="18.75">
      <c r="A931" s="149"/>
      <c r="B931" s="146"/>
      <c r="C931" s="147"/>
      <c r="D931" s="148"/>
      <c r="E931" s="148"/>
      <c r="F931" s="149"/>
      <c r="G931" s="158"/>
      <c r="H931" s="158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</row>
    <row r="932" spans="1:26" ht="18.75">
      <c r="A932" s="149"/>
      <c r="B932" s="146"/>
      <c r="C932" s="147"/>
      <c r="D932" s="148"/>
      <c r="E932" s="148"/>
      <c r="F932" s="149"/>
      <c r="G932" s="156"/>
      <c r="H932" s="156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</row>
    <row r="933" spans="1:26" ht="18.75">
      <c r="A933" s="149"/>
      <c r="B933" s="146"/>
      <c r="C933" s="147"/>
      <c r="D933" s="148"/>
      <c r="E933" s="148"/>
      <c r="F933" s="149"/>
      <c r="G933" s="158"/>
      <c r="H933" s="158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/>
    </row>
    <row r="934" spans="1:26" ht="18.75">
      <c r="A934" s="149"/>
      <c r="B934" s="146"/>
      <c r="C934" s="147"/>
      <c r="D934" s="148"/>
      <c r="E934" s="148"/>
      <c r="F934" s="149"/>
      <c r="G934" s="156"/>
      <c r="H934" s="156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9"/>
    </row>
    <row r="935" spans="1:26" ht="18.75">
      <c r="A935" s="149"/>
      <c r="B935" s="146"/>
      <c r="C935" s="147"/>
      <c r="D935" s="148"/>
      <c r="E935" s="148"/>
      <c r="F935" s="149"/>
      <c r="G935" s="158"/>
      <c r="H935" s="158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9"/>
    </row>
    <row r="936" spans="1:26" ht="18.75">
      <c r="A936" s="149"/>
      <c r="B936" s="146"/>
      <c r="C936" s="147"/>
      <c r="D936" s="148"/>
      <c r="E936" s="148"/>
      <c r="F936" s="149"/>
      <c r="G936" s="156"/>
      <c r="H936" s="156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9"/>
    </row>
    <row r="937" spans="1:26" ht="18.75">
      <c r="A937" s="149"/>
      <c r="B937" s="146"/>
      <c r="C937" s="147"/>
      <c r="D937" s="148"/>
      <c r="E937" s="148"/>
      <c r="F937" s="149"/>
      <c r="G937" s="158"/>
      <c r="H937" s="158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9"/>
    </row>
    <row r="938" spans="1:26" ht="18.75">
      <c r="A938" s="149"/>
      <c r="B938" s="146"/>
      <c r="C938" s="147"/>
      <c r="D938" s="148"/>
      <c r="E938" s="148"/>
      <c r="F938" s="149"/>
      <c r="G938" s="156"/>
      <c r="H938" s="156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9"/>
    </row>
    <row r="939" spans="1:26" ht="18.75">
      <c r="A939" s="149"/>
      <c r="B939" s="146"/>
      <c r="C939" s="147"/>
      <c r="D939" s="148"/>
      <c r="E939" s="148"/>
      <c r="F939" s="149"/>
      <c r="G939" s="158"/>
      <c r="H939" s="158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9"/>
    </row>
    <row r="940" spans="1:26" ht="18.75">
      <c r="A940" s="149"/>
      <c r="B940" s="146"/>
      <c r="C940" s="147"/>
      <c r="D940" s="148"/>
      <c r="E940" s="148"/>
      <c r="F940" s="149"/>
      <c r="G940" s="156"/>
      <c r="H940" s="156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  <c r="Z940" s="149"/>
    </row>
    <row r="941" spans="1:26" ht="18.75">
      <c r="A941" s="149"/>
      <c r="B941" s="146"/>
      <c r="C941" s="147"/>
      <c r="D941" s="148"/>
      <c r="E941" s="148"/>
      <c r="F941" s="149"/>
      <c r="G941" s="158"/>
      <c r="H941" s="158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9"/>
    </row>
    <row r="942" spans="1:26" ht="18.75">
      <c r="A942" s="149"/>
      <c r="B942" s="146"/>
      <c r="C942" s="147"/>
      <c r="D942" s="148"/>
      <c r="E942" s="148"/>
      <c r="F942" s="149"/>
      <c r="G942" s="156"/>
      <c r="H942" s="156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9"/>
    </row>
    <row r="943" spans="1:26" ht="18.75">
      <c r="A943" s="149"/>
      <c r="B943" s="146"/>
      <c r="C943" s="147"/>
      <c r="D943" s="148"/>
      <c r="E943" s="148"/>
      <c r="F943" s="149"/>
      <c r="G943" s="158"/>
      <c r="H943" s="158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9"/>
    </row>
    <row r="944" spans="1:26" ht="18.75">
      <c r="A944" s="149"/>
      <c r="B944" s="146"/>
      <c r="C944" s="147"/>
      <c r="D944" s="148"/>
      <c r="E944" s="148"/>
      <c r="F944" s="149"/>
      <c r="G944" s="156"/>
      <c r="H944" s="156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9"/>
    </row>
    <row r="945" spans="1:26" ht="18.75">
      <c r="A945" s="149"/>
      <c r="B945" s="146"/>
      <c r="C945" s="147"/>
      <c r="D945" s="148"/>
      <c r="E945" s="148"/>
      <c r="F945" s="149"/>
      <c r="G945" s="158"/>
      <c r="H945" s="158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9"/>
    </row>
    <row r="946" spans="1:26" ht="18.75">
      <c r="A946" s="149"/>
      <c r="B946" s="146"/>
      <c r="C946" s="147"/>
      <c r="D946" s="148"/>
      <c r="E946" s="148"/>
      <c r="F946" s="149"/>
      <c r="G946" s="156"/>
      <c r="H946" s="156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9"/>
    </row>
    <row r="947" spans="1:26" ht="18.75">
      <c r="A947" s="149"/>
      <c r="B947" s="146"/>
      <c r="C947" s="147"/>
      <c r="D947" s="148"/>
      <c r="E947" s="148"/>
      <c r="F947" s="149"/>
      <c r="G947" s="158"/>
      <c r="H947" s="158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9"/>
    </row>
    <row r="948" spans="1:26" ht="18.75">
      <c r="A948" s="149"/>
      <c r="B948" s="146"/>
      <c r="C948" s="147"/>
      <c r="D948" s="148"/>
      <c r="E948" s="148"/>
      <c r="F948" s="149"/>
      <c r="G948" s="156"/>
      <c r="H948" s="156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9"/>
    </row>
    <row r="949" spans="1:26" ht="18.75">
      <c r="A949" s="149"/>
      <c r="B949" s="146"/>
      <c r="C949" s="147"/>
      <c r="D949" s="148"/>
      <c r="E949" s="148"/>
      <c r="F949" s="149"/>
      <c r="G949" s="158"/>
      <c r="H949" s="158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9"/>
    </row>
    <row r="950" spans="1:26" ht="18.75">
      <c r="A950" s="149"/>
      <c r="B950" s="146"/>
      <c r="C950" s="147"/>
      <c r="D950" s="148"/>
      <c r="E950" s="148"/>
      <c r="F950" s="149"/>
      <c r="G950" s="156"/>
      <c r="H950" s="156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  <c r="Z950" s="149"/>
    </row>
    <row r="951" spans="1:26" ht="18.75">
      <c r="A951" s="149"/>
      <c r="B951" s="146"/>
      <c r="C951" s="147"/>
      <c r="D951" s="148"/>
      <c r="E951" s="148"/>
      <c r="F951" s="149"/>
      <c r="G951" s="158"/>
      <c r="H951" s="158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  <c r="Z951" s="149"/>
    </row>
    <row r="952" spans="1:26" ht="18.75">
      <c r="A952" s="149"/>
      <c r="B952" s="146"/>
      <c r="C952" s="147"/>
      <c r="D952" s="148"/>
      <c r="E952" s="148"/>
      <c r="F952" s="149"/>
      <c r="G952" s="156"/>
      <c r="H952" s="156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  <c r="Z952" s="149"/>
    </row>
    <row r="953" spans="1:26" ht="18.75">
      <c r="A953" s="149"/>
      <c r="B953" s="146"/>
      <c r="C953" s="147"/>
      <c r="D953" s="148"/>
      <c r="E953" s="148"/>
      <c r="F953" s="149"/>
      <c r="G953" s="158"/>
      <c r="H953" s="158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  <c r="Z953" s="149"/>
    </row>
    <row r="954" spans="1:26" ht="18.75">
      <c r="A954" s="149"/>
      <c r="B954" s="146"/>
      <c r="C954" s="147"/>
      <c r="D954" s="148"/>
      <c r="E954" s="148"/>
      <c r="F954" s="149"/>
      <c r="G954" s="156"/>
      <c r="H954" s="156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  <c r="Z954" s="149"/>
    </row>
    <row r="955" spans="1:26" ht="18.75">
      <c r="A955" s="149"/>
      <c r="B955" s="146"/>
      <c r="C955" s="147"/>
      <c r="D955" s="148"/>
      <c r="E955" s="148"/>
      <c r="F955" s="149"/>
      <c r="G955" s="158"/>
      <c r="H955" s="158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  <c r="Z955" s="149"/>
    </row>
    <row r="956" spans="1:26" ht="18.75">
      <c r="A956" s="149"/>
      <c r="B956" s="146"/>
      <c r="C956" s="147"/>
      <c r="D956" s="148"/>
      <c r="E956" s="148"/>
      <c r="F956" s="149"/>
      <c r="G956" s="156"/>
      <c r="H956" s="156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  <c r="Z956" s="149"/>
    </row>
    <row r="957" spans="1:26" ht="18.75">
      <c r="A957" s="149"/>
      <c r="B957" s="146"/>
      <c r="C957" s="147"/>
      <c r="D957" s="148"/>
      <c r="E957" s="148"/>
      <c r="F957" s="149"/>
      <c r="G957" s="158"/>
      <c r="H957" s="158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  <c r="Z957" s="149"/>
    </row>
    <row r="958" spans="1:26" ht="18.75">
      <c r="A958" s="149"/>
      <c r="B958" s="146"/>
      <c r="C958" s="147"/>
      <c r="D958" s="148"/>
      <c r="E958" s="148"/>
      <c r="F958" s="149"/>
      <c r="G958" s="156"/>
      <c r="H958" s="156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  <c r="Z958" s="149"/>
    </row>
    <row r="959" spans="1:26" ht="18.75">
      <c r="A959" s="149"/>
      <c r="B959" s="146"/>
      <c r="C959" s="147"/>
      <c r="D959" s="148"/>
      <c r="E959" s="148"/>
      <c r="F959" s="149"/>
      <c r="G959" s="158"/>
      <c r="H959" s="158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  <c r="Z959" s="149"/>
    </row>
    <row r="960" spans="1:26" ht="18.75">
      <c r="A960" s="149"/>
      <c r="B960" s="146"/>
      <c r="C960" s="147"/>
      <c r="D960" s="148"/>
      <c r="E960" s="148"/>
      <c r="F960" s="149"/>
      <c r="G960" s="156"/>
      <c r="H960" s="156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  <c r="Z960" s="149"/>
    </row>
    <row r="961" spans="1:26" ht="18.75">
      <c r="A961" s="149"/>
      <c r="B961" s="146"/>
      <c r="C961" s="147"/>
      <c r="D961" s="148"/>
      <c r="E961" s="148"/>
      <c r="F961" s="149"/>
      <c r="G961" s="158"/>
      <c r="H961" s="158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9"/>
    </row>
    <row r="962" spans="1:26" ht="18.75">
      <c r="A962" s="149"/>
      <c r="B962" s="146"/>
      <c r="C962" s="147"/>
      <c r="D962" s="148"/>
      <c r="E962" s="148"/>
      <c r="F962" s="149"/>
      <c r="G962" s="156"/>
      <c r="H962" s="156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9"/>
    </row>
    <row r="963" spans="1:26" ht="18.75">
      <c r="A963" s="149"/>
      <c r="B963" s="146"/>
      <c r="C963" s="147"/>
      <c r="D963" s="148"/>
      <c r="E963" s="148"/>
      <c r="F963" s="149"/>
      <c r="G963" s="158"/>
      <c r="H963" s="158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9"/>
    </row>
    <row r="964" spans="1:26" ht="18.75">
      <c r="A964" s="149"/>
      <c r="B964" s="146"/>
      <c r="C964" s="147"/>
      <c r="D964" s="148"/>
      <c r="E964" s="148"/>
      <c r="F964" s="149"/>
      <c r="G964" s="156"/>
      <c r="H964" s="156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  <c r="Z964" s="149"/>
    </row>
    <row r="965" spans="1:26" ht="18.75">
      <c r="A965" s="149"/>
      <c r="B965" s="146"/>
      <c r="C965" s="147"/>
      <c r="D965" s="148"/>
      <c r="E965" s="148"/>
      <c r="F965" s="149"/>
      <c r="G965" s="158"/>
      <c r="H965" s="158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9"/>
    </row>
    <row r="966" spans="1:26" ht="18.75">
      <c r="A966" s="149"/>
      <c r="B966" s="146"/>
      <c r="C966" s="147"/>
      <c r="D966" s="148"/>
      <c r="E966" s="148"/>
      <c r="F966" s="149"/>
      <c r="G966" s="156"/>
      <c r="H966" s="156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  <c r="Z966" s="149"/>
    </row>
    <row r="967" spans="1:26" ht="18.75">
      <c r="A967" s="149"/>
      <c r="B967" s="146"/>
      <c r="C967" s="147"/>
      <c r="D967" s="148"/>
      <c r="E967" s="148"/>
      <c r="F967" s="149"/>
      <c r="G967" s="158"/>
      <c r="H967" s="158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  <c r="Z967" s="149"/>
    </row>
    <row r="968" spans="1:26" ht="18.75">
      <c r="A968" s="149"/>
      <c r="B968" s="146"/>
      <c r="C968" s="147"/>
      <c r="D968" s="148"/>
      <c r="E968" s="148"/>
      <c r="F968" s="149"/>
      <c r="G968" s="156"/>
      <c r="H968" s="156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  <c r="Z968" s="149"/>
    </row>
    <row r="969" spans="1:26" ht="18.75">
      <c r="A969" s="149"/>
      <c r="B969" s="146"/>
      <c r="C969" s="147"/>
      <c r="D969" s="148"/>
      <c r="E969" s="148"/>
      <c r="F969" s="149"/>
      <c r="G969" s="158"/>
      <c r="H969" s="158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  <c r="Z969" s="149"/>
    </row>
    <row r="970" spans="1:26" ht="18.75">
      <c r="A970" s="149"/>
      <c r="B970" s="146"/>
      <c r="C970" s="147"/>
      <c r="D970" s="148"/>
      <c r="E970" s="148"/>
      <c r="F970" s="149"/>
      <c r="G970" s="156"/>
      <c r="H970" s="156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  <c r="Y970" s="149"/>
      <c r="Z970" s="149"/>
    </row>
    <row r="971" spans="1:26" ht="18.75">
      <c r="A971" s="149"/>
      <c r="B971" s="146"/>
      <c r="C971" s="147"/>
      <c r="D971" s="148"/>
      <c r="E971" s="148"/>
      <c r="F971" s="149"/>
      <c r="G971" s="158"/>
      <c r="H971" s="158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  <c r="Y971" s="149"/>
      <c r="Z971" s="149"/>
    </row>
    <row r="972" spans="1:26" ht="18.75">
      <c r="A972" s="149"/>
      <c r="B972" s="146"/>
      <c r="C972" s="147"/>
      <c r="D972" s="148"/>
      <c r="E972" s="148"/>
      <c r="F972" s="149"/>
      <c r="G972" s="156"/>
      <c r="H972" s="156"/>
      <c r="I972" s="14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  <c r="Y972" s="149"/>
      <c r="Z972" s="149"/>
    </row>
    <row r="973" spans="1:26" ht="18.75">
      <c r="A973" s="149"/>
      <c r="B973" s="146"/>
      <c r="C973" s="147"/>
      <c r="D973" s="148"/>
      <c r="E973" s="148"/>
      <c r="F973" s="149"/>
      <c r="G973" s="158"/>
      <c r="H973" s="158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49"/>
      <c r="U973" s="149"/>
      <c r="V973" s="149"/>
      <c r="W973" s="149"/>
      <c r="X973" s="149"/>
      <c r="Y973" s="149"/>
      <c r="Z973" s="149"/>
    </row>
    <row r="974" spans="1:26" ht="18.75">
      <c r="A974" s="149"/>
      <c r="B974" s="146"/>
      <c r="C974" s="147"/>
      <c r="D974" s="148"/>
      <c r="E974" s="148"/>
      <c r="F974" s="149"/>
      <c r="G974" s="156"/>
      <c r="H974" s="156"/>
      <c r="I974" s="149"/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49"/>
      <c r="U974" s="149"/>
      <c r="V974" s="149"/>
      <c r="W974" s="149"/>
      <c r="X974" s="149"/>
      <c r="Y974" s="149"/>
      <c r="Z974" s="149"/>
    </row>
    <row r="975" spans="1:26" ht="18.75">
      <c r="A975" s="149"/>
      <c r="B975" s="146"/>
      <c r="C975" s="147"/>
      <c r="D975" s="148"/>
      <c r="E975" s="148"/>
      <c r="F975" s="149"/>
      <c r="G975" s="158"/>
      <c r="H975" s="158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49"/>
      <c r="U975" s="149"/>
      <c r="V975" s="149"/>
      <c r="W975" s="149"/>
      <c r="X975" s="149"/>
      <c r="Y975" s="149"/>
      <c r="Z975" s="149"/>
    </row>
    <row r="976" spans="1:26" ht="18.75">
      <c r="A976" s="149"/>
      <c r="B976" s="146"/>
      <c r="C976" s="147"/>
      <c r="D976" s="148"/>
      <c r="E976" s="148"/>
      <c r="F976" s="149"/>
      <c r="G976" s="156"/>
      <c r="H976" s="156"/>
      <c r="I976" s="149"/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  <c r="Y976" s="149"/>
      <c r="Z976" s="149"/>
    </row>
    <row r="977" spans="1:26" ht="18.75">
      <c r="A977" s="149"/>
      <c r="B977" s="146"/>
      <c r="C977" s="147"/>
      <c r="D977" s="148"/>
      <c r="E977" s="148"/>
      <c r="F977" s="149"/>
      <c r="G977" s="158"/>
      <c r="H977" s="158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  <c r="Z977" s="149"/>
    </row>
    <row r="978" spans="1:26" ht="18.75">
      <c r="A978" s="149"/>
      <c r="B978" s="146"/>
      <c r="C978" s="147"/>
      <c r="D978" s="148"/>
      <c r="E978" s="148"/>
      <c r="F978" s="149"/>
      <c r="G978" s="156"/>
      <c r="H978" s="156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9"/>
    </row>
    <row r="979" spans="1:26" ht="18.75">
      <c r="A979" s="149"/>
      <c r="B979" s="146"/>
      <c r="C979" s="147"/>
      <c r="D979" s="148"/>
      <c r="E979" s="148"/>
      <c r="F979" s="149"/>
      <c r="G979" s="158"/>
      <c r="H979" s="158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9"/>
    </row>
    <row r="980" spans="1:26" ht="18.75">
      <c r="A980" s="149"/>
      <c r="B980" s="146"/>
      <c r="C980" s="147"/>
      <c r="D980" s="148"/>
      <c r="E980" s="148"/>
      <c r="F980" s="149"/>
      <c r="G980" s="156"/>
      <c r="H980" s="156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9"/>
    </row>
    <row r="981" spans="1:26" ht="18.75">
      <c r="A981" s="149"/>
      <c r="B981" s="146"/>
      <c r="C981" s="147"/>
      <c r="D981" s="148"/>
      <c r="E981" s="148"/>
      <c r="F981" s="149"/>
      <c r="G981" s="158"/>
      <c r="H981" s="158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9"/>
    </row>
    <row r="982" spans="1:26" ht="18.75">
      <c r="A982" s="149"/>
      <c r="B982" s="146"/>
      <c r="C982" s="147"/>
      <c r="D982" s="148"/>
      <c r="E982" s="148"/>
      <c r="F982" s="149"/>
      <c r="G982" s="156"/>
      <c r="H982" s="156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9"/>
    </row>
    <row r="983" spans="1:26" ht="18.75">
      <c r="A983" s="149"/>
      <c r="B983" s="146"/>
      <c r="C983" s="147"/>
      <c r="D983" s="148"/>
      <c r="E983" s="148"/>
      <c r="F983" s="149"/>
      <c r="G983" s="158"/>
      <c r="H983" s="158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9"/>
    </row>
    <row r="984" spans="1:26" ht="18.75">
      <c r="A984" s="149"/>
      <c r="B984" s="146"/>
      <c r="C984" s="147"/>
      <c r="D984" s="148"/>
      <c r="E984" s="148"/>
      <c r="F984" s="149"/>
      <c r="G984" s="156"/>
      <c r="H984" s="156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9"/>
    </row>
    <row r="985" spans="1:26" ht="18.75">
      <c r="A985" s="149"/>
      <c r="B985" s="146"/>
      <c r="C985" s="147"/>
      <c r="D985" s="148"/>
      <c r="E985" s="148"/>
      <c r="F985" s="149"/>
      <c r="G985" s="158"/>
      <c r="H985" s="158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9"/>
    </row>
    <row r="986" spans="1:26" ht="18.75">
      <c r="A986" s="149"/>
      <c r="B986" s="146"/>
      <c r="C986" s="147"/>
      <c r="D986" s="148"/>
      <c r="E986" s="148"/>
      <c r="F986" s="149"/>
      <c r="G986" s="156"/>
      <c r="H986" s="156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9"/>
    </row>
    <row r="987" spans="1:26" ht="18.75">
      <c r="A987" s="149"/>
      <c r="B987" s="146"/>
      <c r="C987" s="147"/>
      <c r="D987" s="148"/>
      <c r="E987" s="148"/>
      <c r="F987" s="149"/>
      <c r="G987" s="158"/>
      <c r="H987" s="158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  <c r="Y987" s="149"/>
      <c r="Z987" s="149"/>
    </row>
    <row r="988" spans="1:26" ht="18.75">
      <c r="A988" s="149"/>
      <c r="B988" s="146"/>
      <c r="C988" s="147"/>
      <c r="D988" s="148"/>
      <c r="E988" s="148"/>
      <c r="F988" s="149"/>
      <c r="G988" s="156"/>
      <c r="H988" s="156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  <c r="Y988" s="149"/>
      <c r="Z988" s="149"/>
    </row>
    <row r="989" spans="1:26" ht="18.75">
      <c r="A989" s="149"/>
      <c r="B989" s="146"/>
      <c r="C989" s="147"/>
      <c r="D989" s="148"/>
      <c r="E989" s="148"/>
      <c r="F989" s="149"/>
      <c r="G989" s="158"/>
      <c r="H989" s="158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  <c r="Y989" s="149"/>
      <c r="Z989" s="149"/>
    </row>
    <row r="990" spans="1:26" ht="18.75">
      <c r="A990" s="149"/>
      <c r="B990" s="146"/>
      <c r="C990" s="147"/>
      <c r="D990" s="148"/>
      <c r="E990" s="148"/>
      <c r="F990" s="149"/>
      <c r="G990" s="156"/>
      <c r="H990" s="156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  <c r="Y990" s="149"/>
      <c r="Z990" s="149"/>
    </row>
    <row r="991" spans="1:26" ht="18.75">
      <c r="A991" s="149"/>
      <c r="B991" s="146"/>
      <c r="C991" s="147"/>
      <c r="D991" s="148"/>
      <c r="E991" s="148"/>
      <c r="F991" s="149"/>
      <c r="G991" s="158"/>
      <c r="H991" s="158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  <c r="Y991" s="149"/>
      <c r="Z991" s="149"/>
    </row>
    <row r="992" spans="1:26" ht="18.75">
      <c r="A992" s="149"/>
      <c r="B992" s="146"/>
      <c r="C992" s="147"/>
      <c r="D992" s="148"/>
      <c r="E992" s="148"/>
      <c r="F992" s="149"/>
      <c r="G992" s="156"/>
      <c r="H992" s="156"/>
      <c r="I992" s="149"/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  <c r="Y992" s="149"/>
      <c r="Z992" s="149"/>
    </row>
    <row r="993" spans="1:26" ht="18.75">
      <c r="A993" s="149"/>
      <c r="B993" s="146"/>
      <c r="C993" s="147"/>
      <c r="D993" s="148"/>
      <c r="E993" s="148"/>
      <c r="F993" s="149"/>
      <c r="G993" s="158"/>
      <c r="H993" s="158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49"/>
      <c r="U993" s="149"/>
      <c r="V993" s="149"/>
      <c r="W993" s="149"/>
      <c r="X993" s="149"/>
      <c r="Y993" s="149"/>
      <c r="Z993" s="149"/>
    </row>
    <row r="994" spans="1:26" ht="18.75">
      <c r="A994" s="149"/>
      <c r="B994" s="146"/>
      <c r="C994" s="147"/>
      <c r="D994" s="148"/>
      <c r="E994" s="148"/>
      <c r="F994" s="149"/>
      <c r="G994" s="156"/>
      <c r="H994" s="156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49"/>
      <c r="U994" s="149"/>
      <c r="V994" s="149"/>
      <c r="W994" s="149"/>
      <c r="X994" s="149"/>
      <c r="Y994" s="149"/>
      <c r="Z994" s="149"/>
    </row>
    <row r="995" spans="1:26" ht="18.75">
      <c r="A995" s="149"/>
      <c r="B995" s="146"/>
      <c r="C995" s="147"/>
      <c r="D995" s="148"/>
      <c r="E995" s="148"/>
      <c r="F995" s="149"/>
      <c r="G995" s="158"/>
      <c r="H995" s="158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49"/>
      <c r="U995" s="149"/>
      <c r="V995" s="149"/>
      <c r="W995" s="149"/>
      <c r="X995" s="149"/>
      <c r="Y995" s="149"/>
      <c r="Z995" s="149"/>
    </row>
    <row r="996" spans="1:26" ht="18.75">
      <c r="A996" s="149"/>
      <c r="B996" s="146"/>
      <c r="C996" s="147"/>
      <c r="D996" s="148"/>
      <c r="E996" s="148"/>
      <c r="F996" s="149"/>
      <c r="G996" s="156"/>
      <c r="H996" s="156"/>
      <c r="I996" s="149"/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49"/>
      <c r="U996" s="149"/>
      <c r="V996" s="149"/>
      <c r="W996" s="149"/>
      <c r="X996" s="149"/>
      <c r="Y996" s="149"/>
      <c r="Z996" s="149"/>
    </row>
    <row r="997" spans="1:26" ht="18.75">
      <c r="A997" s="149"/>
      <c r="B997" s="146"/>
      <c r="C997" s="147"/>
      <c r="D997" s="148"/>
      <c r="E997" s="148"/>
      <c r="F997" s="149"/>
      <c r="G997" s="158"/>
      <c r="H997" s="158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49"/>
      <c r="U997" s="149"/>
      <c r="V997" s="149"/>
      <c r="W997" s="149"/>
      <c r="X997" s="149"/>
      <c r="Y997" s="149"/>
      <c r="Z997" s="149"/>
    </row>
    <row r="998" spans="1:26" ht="18.75">
      <c r="A998" s="149"/>
      <c r="B998" s="146"/>
      <c r="C998" s="147"/>
      <c r="D998" s="148"/>
      <c r="E998" s="148"/>
      <c r="F998" s="149"/>
      <c r="G998" s="156"/>
      <c r="H998" s="156"/>
      <c r="I998" s="149"/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49"/>
      <c r="U998" s="149"/>
      <c r="V998" s="149"/>
      <c r="W998" s="149"/>
      <c r="X998" s="149"/>
      <c r="Y998" s="149"/>
      <c r="Z998" s="149"/>
    </row>
    <row r="999" spans="1:26" ht="18.75">
      <c r="A999" s="149"/>
      <c r="B999" s="146"/>
      <c r="C999" s="147"/>
      <c r="D999" s="148"/>
      <c r="E999" s="148"/>
      <c r="F999" s="149"/>
      <c r="G999" s="158"/>
      <c r="H999" s="158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49"/>
      <c r="U999" s="149"/>
      <c r="V999" s="149"/>
      <c r="W999" s="149"/>
      <c r="X999" s="149"/>
      <c r="Y999" s="149"/>
      <c r="Z999" s="149"/>
    </row>
    <row r="1000" spans="1:26" ht="18.75">
      <c r="A1000" s="149"/>
      <c r="B1000" s="146"/>
      <c r="C1000" s="147"/>
      <c r="D1000" s="148"/>
      <c r="E1000" s="148"/>
      <c r="F1000" s="149"/>
      <c r="G1000" s="156"/>
      <c r="H1000" s="156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49"/>
      <c r="U1000" s="149"/>
      <c r="V1000" s="149"/>
      <c r="W1000" s="149"/>
      <c r="X1000" s="149"/>
      <c r="Y1000" s="149"/>
      <c r="Z1000" s="149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2" max="2" width="45" customWidth="1"/>
    <col min="3" max="3" width="39.140625" customWidth="1"/>
  </cols>
  <sheetData>
    <row r="1" spans="1:26" ht="15" customHeight="1">
      <c r="A1" s="145" t="str">
        <f ca="1">IFERROR(__xludf.DUMMYFUNCTION("query(Subida!A1:Z1000,""select * where A='FIN' OR A='FIN/PROPÓSITO'"")"),"")</f>
        <v/>
      </c>
      <c r="B1" s="146" t="str">
        <f ca="1">IFERROR(__xludf.DUMMYFUNCTION("""COMPUTED_VALUE"""),"RESUMEN NARRATIVO")</f>
        <v>RESUMEN NARRATIVO</v>
      </c>
      <c r="C1" s="147" t="str">
        <f ca="1">IFERROR(__xludf.DUMMYFUNCTION("""COMPUTED_VALUE"""),"OBJETIVOS DE RESULTADO")</f>
        <v>OBJETIVOS DE RESULTADO</v>
      </c>
      <c r="D1" s="159" t="str">
        <f ca="1">IFERROR(__xludf.DUMMYFUNCTION("""COMPUTED_VALUE"""),"UNIDAD DE MEDIDA")</f>
        <v>UNIDAD DE MEDIDA</v>
      </c>
      <c r="E1" s="148" t="str">
        <f ca="1">IFERROR(__xludf.DUMMYFUNCTION("""COMPUTED_VALUE"""),"Acumulado")</f>
        <v>Acumulado</v>
      </c>
      <c r="F1" s="149" t="str">
        <f ca="1">IFERROR(__xludf.DUMMYFUNCTION("""COMPUTED_VALUE"""),"META PROGRAMADA")</f>
        <v>META PROGRAMADA</v>
      </c>
      <c r="G1" s="150" t="str">
        <f ca="1">IFERROR(__xludf.DUMMYFUNCTION("""COMPUTED_VALUE"""),"cOMENTARIO")</f>
        <v>cOMENTARIO</v>
      </c>
      <c r="H1" s="150" t="str">
        <f ca="1">IFERROR(__xludf.DUMMYFUNCTION("""COMPUTED_VALUE"""),"SUBIDA")</f>
        <v>SUBIDA</v>
      </c>
      <c r="I1" s="149" t="str">
        <f ca="1">IFERROR(__xludf.DUMMYFUNCTION("""COMPUTED_VALUE"""),"")</f>
        <v/>
      </c>
      <c r="J1" s="149" t="str">
        <f ca="1">IFERROR(__xludf.DUMMYFUNCTION("""COMPUTED_VALUE"""),"")</f>
        <v/>
      </c>
      <c r="K1" s="149" t="str">
        <f ca="1">IFERROR(__xludf.DUMMYFUNCTION("""COMPUTED_VALUE"""),"")</f>
        <v/>
      </c>
      <c r="L1" s="149" t="str">
        <f ca="1">IFERROR(__xludf.DUMMYFUNCTION("""COMPUTED_VALUE"""),"")</f>
        <v/>
      </c>
      <c r="M1" s="149" t="str">
        <f ca="1">IFERROR(__xludf.DUMMYFUNCTION("""COMPUTED_VALUE"""),"")</f>
        <v/>
      </c>
      <c r="N1" s="149" t="str">
        <f ca="1">IFERROR(__xludf.DUMMYFUNCTION("""COMPUTED_VALUE"""),"")</f>
        <v/>
      </c>
      <c r="O1" s="149" t="str">
        <f ca="1">IFERROR(__xludf.DUMMYFUNCTION("""COMPUTED_VALUE"""),"")</f>
        <v/>
      </c>
      <c r="P1" s="149" t="str">
        <f ca="1">IFERROR(__xludf.DUMMYFUNCTION("""COMPUTED_VALUE"""),"")</f>
        <v/>
      </c>
      <c r="Q1" s="149" t="str">
        <f ca="1">IFERROR(__xludf.DUMMYFUNCTION("""COMPUTED_VALUE"""),"")</f>
        <v/>
      </c>
      <c r="R1" s="149" t="str">
        <f ca="1">IFERROR(__xludf.DUMMYFUNCTION("""COMPUTED_VALUE"""),"")</f>
        <v/>
      </c>
      <c r="S1" s="149" t="str">
        <f ca="1">IFERROR(__xludf.DUMMYFUNCTION("""COMPUTED_VALUE"""),"")</f>
        <v/>
      </c>
      <c r="T1" s="149" t="str">
        <f ca="1">IFERROR(__xludf.DUMMYFUNCTION("""COMPUTED_VALUE"""),"")</f>
        <v/>
      </c>
      <c r="U1" s="149" t="str">
        <f ca="1">IFERROR(__xludf.DUMMYFUNCTION("""COMPUTED_VALUE"""),"")</f>
        <v/>
      </c>
      <c r="V1" s="149" t="str">
        <f ca="1">IFERROR(__xludf.DUMMYFUNCTION("""COMPUTED_VALUE"""),"")</f>
        <v/>
      </c>
      <c r="W1" s="149" t="str">
        <f ca="1">IFERROR(__xludf.DUMMYFUNCTION("""COMPUTED_VALUE"""),"")</f>
        <v/>
      </c>
      <c r="X1" s="149" t="str">
        <f ca="1">IFERROR(__xludf.DUMMYFUNCTION("""COMPUTED_VALUE"""),"")</f>
        <v/>
      </c>
      <c r="Y1" s="149" t="str">
        <f ca="1">IFERROR(__xludf.DUMMYFUNCTION("""COMPUTED_VALUE"""),"")</f>
        <v/>
      </c>
      <c r="Z1" s="149" t="str">
        <f ca="1">IFERROR(__xludf.DUMMYFUNCTION("""COMPUTED_VALUE"""),"")</f>
        <v/>
      </c>
    </row>
    <row r="2" spans="1:26" ht="15" customHeight="1">
      <c r="A2" s="149" t="str">
        <f ca="1">IFERROR(__xludf.DUMMYFUNCTION("""COMPUTED_VALUE"""),"FIN")</f>
        <v>FIN</v>
      </c>
      <c r="B2" s="146" t="str">
        <f ca="1">IFERROR(__xludf.DUMMYFUNCTION("""COMPUTED_VALUE"""),"ACTIVIDAD 1.1")</f>
        <v>ACTIVIDAD 1.1</v>
      </c>
      <c r="C2" s="147" t="str">
        <f ca="1">IFERROR(__xludf.DUMMYFUNCTION("""COMPUTED_VALUE"""),"Apoyos asistenciales entregados a la población vulnerable que radica en la municipalidad de Guadalajara y en tránsito en el programa de Trabajo Social Asistencial durante el 2023")</f>
        <v>Apoyos asistenciales entregados a la población vulnerable que radica en la municipalidad de Guadalajara y en tránsito en el programa de Trabajo Social Asistencial durante el 2023</v>
      </c>
      <c r="D2" s="159" t="str">
        <f ca="1">IFERROR(__xludf.DUMMYFUNCTION("""COMPUTED_VALUE"""),"Porcentaje")</f>
        <v>Porcentaje</v>
      </c>
      <c r="E2" s="148">
        <f ca="1">IFERROR(__xludf.DUMMYFUNCTION("""COMPUTED_VALUE"""),463)</f>
        <v>463</v>
      </c>
      <c r="F2" s="149">
        <f ca="1">IFERROR(__xludf.DUMMYFUNCTION("""COMPUTED_VALUE"""),7450)</f>
        <v>7450</v>
      </c>
      <c r="G2" s="151" t="str">
        <f ca="1">IFERROR(__xludf.DUMMYFUNCTION("""COMPUTED_VALUE"""),"Sin comentarios")</f>
        <v>Sin comentarios</v>
      </c>
      <c r="H2" s="152" t="b">
        <f ca="1">IFERROR(__xludf.DUMMYFUNCTION("""COMPUTED_VALUE"""),TRUE)</f>
        <v>1</v>
      </c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26" ht="15" customHeight="1">
      <c r="A3" s="149" t="str">
        <f ca="1">IFERROR(__xludf.DUMMYFUNCTION("""COMPUTED_VALUE"""),"FIN/PROPÓSITO")</f>
        <v>FIN/PROPÓSITO</v>
      </c>
      <c r="B3" s="146" t="str">
        <f ca="1">IFERROR(__xludf.DUMMYFUNCTION("""COMPUTED_VALUE"""),"ACTIVIDAD 1.3")</f>
        <v>ACTIVIDAD 1.3</v>
      </c>
      <c r="C3" s="147" t="str">
        <f ca="1">IFERROR(__xludf.DUMMYFUNCTION("""COMPUTED_VALUE"""),"Servicios médicos de atención y prevención de primer nivel brindados, durante el 2023")</f>
        <v>Servicios médicos de atención y prevención de primer nivel brindados, durante el 2023</v>
      </c>
      <c r="D3" s="159" t="str">
        <f ca="1">IFERROR(__xludf.DUMMYFUNCTION("""COMPUTED_VALUE"""),"Porcentaje")</f>
        <v>Porcentaje</v>
      </c>
      <c r="E3" s="148">
        <f ca="1">IFERROR(__xludf.DUMMYFUNCTION("""COMPUTED_VALUE"""),3448)</f>
        <v>3448</v>
      </c>
      <c r="F3" s="149">
        <f ca="1">IFERROR(__xludf.DUMMYFUNCTION("""COMPUTED_VALUE"""),5000)</f>
        <v>5000</v>
      </c>
      <c r="G3" s="151" t="str">
        <f ca="1">IFERROR(__xludf.DUMMYFUNCTION("""COMPUTED_VALUE"""),"Sin comentarios")</f>
        <v>Sin comentarios</v>
      </c>
      <c r="H3" s="153" t="b">
        <f ca="1">IFERROR(__xludf.DUMMYFUNCTION("""COMPUTED_VALUE"""),TRUE)</f>
        <v>1</v>
      </c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26" ht="15" customHeight="1">
      <c r="A4" s="149" t="str">
        <f ca="1">IFERROR(__xludf.DUMMYFUNCTION("""COMPUTED_VALUE"""),"FIN")</f>
        <v>FIN</v>
      </c>
      <c r="B4" s="146" t="str">
        <f ca="1">IFERROR(__xludf.DUMMYFUNCTION("""COMPUTED_VALUE"""),"ACTIVIDAD 1.4")</f>
        <v>ACTIVIDAD 1.4</v>
      </c>
      <c r="C4" s="147" t="str">
        <f ca="1">IFERROR(__xludf.DUMMYFUNCTION("""COMPUTED_VALUE"""),"Alimentos nutritivos e inocuos entregados a la población con inseguridad alimentaria en el municipio de Guadalajara, durante el 2023")</f>
        <v>Alimentos nutritivos e inocuos entregados a la población con inseguridad alimentaria en el municipio de Guadalajara, durante el 2023</v>
      </c>
      <c r="D4" s="159" t="str">
        <f ca="1">IFERROR(__xludf.DUMMYFUNCTION("""COMPUTED_VALUE"""),"Porcentaje")</f>
        <v>Porcentaje</v>
      </c>
      <c r="E4" s="148">
        <f ca="1">IFERROR(__xludf.DUMMYFUNCTION("""COMPUTED_VALUE"""),7578)</f>
        <v>7578</v>
      </c>
      <c r="F4" s="149">
        <f ca="1">IFERROR(__xludf.DUMMYFUNCTION("""COMPUTED_VALUE"""),8791)</f>
        <v>8791</v>
      </c>
      <c r="G4" s="151" t="str">
        <f ca="1">IFERROR(__xludf.DUMMYFUNCTION("""COMPUTED_VALUE"""),"Sin comentarios")</f>
        <v>Sin comentarios</v>
      </c>
      <c r="H4" s="154" t="b">
        <f ca="1">IFERROR(__xludf.DUMMYFUNCTION("""COMPUTED_VALUE"""),TRUE)</f>
        <v>1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26" ht="15" customHeight="1">
      <c r="A5" s="149" t="str">
        <f ca="1">IFERROR(__xludf.DUMMYFUNCTION("""COMPUTED_VALUE"""),"FIN/PROPÓSITO")</f>
        <v>FIN/PROPÓSITO</v>
      </c>
      <c r="B5" s="146" t="str">
        <f ca="1">IFERROR(__xludf.DUMMYFUNCTION("""COMPUTED_VALUE"""),"ACTIVIDAD 1.8")</f>
        <v>ACTIVIDAD 1.8</v>
      </c>
      <c r="C5" s="147" t="str">
        <f ca="1">IFERROR(__xludf.DUMMYFUNCTION("""COMPUTED_VALUE"""),"Prácticas de autocuidado, prevención y atención a la salud bucal y maxilofacial a través de los servicios otorgados, durante el 2023")</f>
        <v>Prácticas de autocuidado, prevención y atención a la salud bucal y maxilofacial a través de los servicios otorgados, durante el 2023</v>
      </c>
      <c r="D5" s="159" t="str">
        <f ca="1">IFERROR(__xludf.DUMMYFUNCTION("""COMPUTED_VALUE"""),"Porcentaje")</f>
        <v>Porcentaje</v>
      </c>
      <c r="E5" s="148">
        <f ca="1">IFERROR(__xludf.DUMMYFUNCTION("""COMPUTED_VALUE"""),1940)</f>
        <v>1940</v>
      </c>
      <c r="F5" s="149">
        <f ca="1">IFERROR(__xludf.DUMMYFUNCTION("""COMPUTED_VALUE"""),6000)</f>
        <v>6000</v>
      </c>
      <c r="G5" s="151" t="str">
        <f ca="1">IFERROR(__xludf.DUMMYFUNCTION("""COMPUTED_VALUE"""),"Sin comentarios")</f>
        <v>Sin comentarios</v>
      </c>
      <c r="H5" s="155" t="b">
        <f ca="1">IFERROR(__xludf.DUMMYFUNCTION("""COMPUTED_VALUE"""),TRUE)</f>
        <v>1</v>
      </c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</row>
    <row r="6" spans="1:26" ht="15" customHeight="1">
      <c r="A6" s="149" t="str">
        <f ca="1">IFERROR(__xludf.DUMMYFUNCTION("""COMPUTED_VALUE"""),"FIN")</f>
        <v>FIN</v>
      </c>
      <c r="B6" s="146" t="str">
        <f ca="1">IFERROR(__xludf.DUMMYFUNCTION("""COMPUTED_VALUE"""),"ACTIVIDAD 1.9")</f>
        <v>ACTIVIDAD 1.9</v>
      </c>
      <c r="C6" s="147" t="str">
        <f ca="1">IFERROR(__xludf.DUMMYFUNCTION("""COMPUTED_VALUE"""),"Personas en situación de vulnerabilidad que recibieron atención psicológica en CDC, y CAETF en 2023")</f>
        <v>Personas en situación de vulnerabilidad que recibieron atención psicológica en CDC, y CAETF en 2023</v>
      </c>
      <c r="D6" s="159" t="str">
        <f ca="1">IFERROR(__xludf.DUMMYFUNCTION("""COMPUTED_VALUE"""),"Promedio")</f>
        <v>Promedio</v>
      </c>
      <c r="E6" s="148">
        <f ca="1">IFERROR(__xludf.DUMMYFUNCTION("""COMPUTED_VALUE"""),2292)</f>
        <v>2292</v>
      </c>
      <c r="F6" s="149">
        <f ca="1">IFERROR(__xludf.DUMMYFUNCTION("""COMPUTED_VALUE"""),850)</f>
        <v>850</v>
      </c>
      <c r="G6" s="160" t="str">
        <f ca="1">IFERROR(__xludf.DUMMYFUNCTION("""COMPUTED_VALUE"""),"764")</f>
        <v>764</v>
      </c>
      <c r="H6" s="152" t="b">
        <f ca="1">IFERROR(__xludf.DUMMYFUNCTION("""COMPUTED_VALUE"""),TRUE)</f>
        <v>1</v>
      </c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</row>
    <row r="7" spans="1:26" ht="15" customHeight="1">
      <c r="A7" s="149" t="str">
        <f ca="1">IFERROR(__xludf.DUMMYFUNCTION("""COMPUTED_VALUE"""),"FIN")</f>
        <v>FIN</v>
      </c>
      <c r="B7" s="146" t="str">
        <f ca="1">IFERROR(__xludf.DUMMYFUNCTION("""COMPUTED_VALUE"""),"ACTIVIDAD 1.12")</f>
        <v>ACTIVIDAD 1.12</v>
      </c>
      <c r="C7" s="147" t="str">
        <f ca="1">IFERROR(__xludf.DUMMYFUNCTION("""COMPUTED_VALUE"""),"Usuarios y usuarias recibieron raciones alimenticias en los comedores comunitarios, durante el 2023")</f>
        <v>Usuarios y usuarias recibieron raciones alimenticias en los comedores comunitarios, durante el 2023</v>
      </c>
      <c r="D7" s="159" t="str">
        <f ca="1">IFERROR(__xludf.DUMMYFUNCTION("""COMPUTED_VALUE"""),"Promedio")</f>
        <v>Promedio</v>
      </c>
      <c r="E7" s="148">
        <f ca="1">IFERROR(__xludf.DUMMYFUNCTION("""COMPUTED_VALUE"""),1530)</f>
        <v>1530</v>
      </c>
      <c r="F7" s="149">
        <f ca="1">IFERROR(__xludf.DUMMYFUNCTION("""COMPUTED_VALUE"""),500)</f>
        <v>500</v>
      </c>
      <c r="G7" s="160" t="str">
        <f ca="1">IFERROR(__xludf.DUMMYFUNCTION("""COMPUTED_VALUE"""),"510")</f>
        <v>510</v>
      </c>
      <c r="H7" s="155" t="b">
        <f ca="1">IFERROR(__xludf.DUMMYFUNCTION("""COMPUTED_VALUE"""),TRUE)</f>
        <v>1</v>
      </c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</row>
    <row r="8" spans="1:26" ht="15" customHeight="1">
      <c r="A8" s="149" t="str">
        <f ca="1">IFERROR(__xludf.DUMMYFUNCTION("""COMPUTED_VALUE"""),"FIN")</f>
        <v>FIN</v>
      </c>
      <c r="B8" s="146" t="str">
        <f ca="1">IFERROR(__xludf.DUMMYFUNCTION("""COMPUTED_VALUE"""),"ACTIVIDAD 1.14")</f>
        <v>ACTIVIDAD 1.14</v>
      </c>
      <c r="C8" s="147" t="str">
        <f ca="1">IFERROR(__xludf.DUMMYFUNCTION("""COMPUTED_VALUE"""),"Usuarios que asistieron a talleres y cursos realizados en CDC e ICAS trimestralmente en 2023")</f>
        <v>Usuarios que asistieron a talleres y cursos realizados en CDC e ICAS trimestralmente en 2023</v>
      </c>
      <c r="D8" s="159" t="str">
        <f ca="1">IFERROR(__xludf.DUMMYFUNCTION("""COMPUTED_VALUE"""),"Promedio")</f>
        <v>Promedio</v>
      </c>
      <c r="E8" s="148">
        <f ca="1">IFERROR(__xludf.DUMMYFUNCTION("""COMPUTED_VALUE"""),5082)</f>
        <v>5082</v>
      </c>
      <c r="F8" s="149">
        <f ca="1">IFERROR(__xludf.DUMMYFUNCTION("""COMPUTED_VALUE"""),1300)</f>
        <v>1300</v>
      </c>
      <c r="G8" s="160" t="str">
        <f ca="1">IFERROR(__xludf.DUMMYFUNCTION("""COMPUTED_VALUE"""),"1694")</f>
        <v>1694</v>
      </c>
      <c r="H8" s="152" t="b">
        <f ca="1">IFERROR(__xludf.DUMMYFUNCTION("""COMPUTED_VALUE"""),TRUE)</f>
        <v>1</v>
      </c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ht="15" customHeight="1">
      <c r="A9" s="149" t="str">
        <f ca="1">IFERROR(__xludf.DUMMYFUNCTION("""COMPUTED_VALUE"""),"FIN")</f>
        <v>FIN</v>
      </c>
      <c r="B9" s="146" t="str">
        <f ca="1">IFERROR(__xludf.DUMMYFUNCTION("""COMPUTED_VALUE"""),"ACTIVIDAD 1.16")</f>
        <v>ACTIVIDAD 1.16</v>
      </c>
      <c r="C9" s="147" t="str">
        <f ca="1">IFERROR(__xludf.DUMMYFUNCTION("""COMPUTED_VALUE"""),"Niñas y niños en condición de vulnerabilidad económica que terminaron ciclo escolar de nivel preescolar en 2023")</f>
        <v>Niñas y niños en condición de vulnerabilidad económica que terminaron ciclo escolar de nivel preescolar en 2023</v>
      </c>
      <c r="D9" s="159" t="str">
        <f ca="1">IFERROR(__xludf.DUMMYFUNCTION("""COMPUTED_VALUE"""),"Porcentaje")</f>
        <v>Porcentaje</v>
      </c>
      <c r="E9" s="148">
        <f ca="1">IFERROR(__xludf.DUMMYFUNCTION("""COMPUTED_VALUE"""),0)</f>
        <v>0</v>
      </c>
      <c r="F9" s="149">
        <f ca="1">IFERROR(__xludf.DUMMYFUNCTION("""COMPUTED_VALUE"""),2030)</f>
        <v>2030</v>
      </c>
      <c r="G9" s="151" t="str">
        <f ca="1">IFERROR(__xludf.DUMMYFUNCTION("""COMPUTED_VALUE"""),"Sin comentarios")</f>
        <v>Sin comentarios</v>
      </c>
      <c r="H9" s="155" t="b">
        <f ca="1">IFERROR(__xludf.DUMMYFUNCTION("""COMPUTED_VALUE"""),TRUE)</f>
        <v>1</v>
      </c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</row>
    <row r="10" spans="1:26" ht="15" customHeight="1">
      <c r="A10" s="149" t="str">
        <f ca="1">IFERROR(__xludf.DUMMYFUNCTION("""COMPUTED_VALUE"""),"FIN")</f>
        <v>FIN</v>
      </c>
      <c r="B10" s="146" t="str">
        <f ca="1">IFERROR(__xludf.DUMMYFUNCTION("""COMPUTED_VALUE"""),"COMPONENTE 2")</f>
        <v>COMPONENTE 2</v>
      </c>
      <c r="C10" s="147" t="str">
        <f ca="1">IFERROR(__xludf.DUMMYFUNCTION("""COMPUTED_VALUE"""),"Apoyos asistenciales entregados a población en situación de emergencia, durante el 2023")</f>
        <v>Apoyos asistenciales entregados a población en situación de emergencia, durante el 2023</v>
      </c>
      <c r="D10" s="159" t="str">
        <f ca="1">IFERROR(__xludf.DUMMYFUNCTION("""COMPUTED_VALUE"""),"Porcentaje")</f>
        <v>Porcentaje</v>
      </c>
      <c r="E10" s="148">
        <f ca="1">IFERROR(__xludf.DUMMYFUNCTION("""COMPUTED_VALUE"""),33)</f>
        <v>33</v>
      </c>
      <c r="F10" s="149">
        <f ca="1">IFERROR(__xludf.DUMMYFUNCTION("""COMPUTED_VALUE"""),5000)</f>
        <v>5000</v>
      </c>
      <c r="G10" s="151" t="str">
        <f ca="1">IFERROR(__xludf.DUMMYFUNCTION("""COMPUTED_VALUE"""),"Sin comentarios")</f>
        <v>Sin comentarios</v>
      </c>
      <c r="H10" s="152" t="b">
        <f ca="1">IFERROR(__xludf.DUMMYFUNCTION("""COMPUTED_VALUE"""),TRUE)</f>
        <v>1</v>
      </c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</row>
    <row r="11" spans="1:26" ht="15" customHeight="1">
      <c r="A11" s="149" t="str">
        <f ca="1">IFERROR(__xludf.DUMMYFUNCTION("""COMPUTED_VALUE"""),"FIN")</f>
        <v>FIN</v>
      </c>
      <c r="B11" s="146" t="str">
        <f ca="1">IFERROR(__xludf.DUMMYFUNCTION("""COMPUTED_VALUE"""),"ACTIVIDAD 3.1")</f>
        <v>ACTIVIDAD 3.1</v>
      </c>
      <c r="C11" s="147" t="str">
        <f ca="1">IFERROR(__xludf.DUMMYFUNCTION("""COMPUTED_VALUE"""),"Aperturas de expedientes para la atención multidisciplinaria primaria realizadas a las personas que viven y/o ejercen violencia familiar en el Municipio de Guadalajara, durante el 2023")</f>
        <v>Aperturas de expedientes para la atención multidisciplinaria primaria realizadas a las personas que viven y/o ejercen violencia familiar en el Municipio de Guadalajara, durante el 2023</v>
      </c>
      <c r="D11" s="159" t="str">
        <f ca="1">IFERROR(__xludf.DUMMYFUNCTION("""COMPUTED_VALUE"""),"Porcentaje")</f>
        <v>Porcentaje</v>
      </c>
      <c r="E11" s="148">
        <f ca="1">IFERROR(__xludf.DUMMYFUNCTION("""COMPUTED_VALUE"""),178)</f>
        <v>178</v>
      </c>
      <c r="F11" s="149">
        <f ca="1">IFERROR(__xludf.DUMMYFUNCTION("""COMPUTED_VALUE"""),700)</f>
        <v>700</v>
      </c>
      <c r="G11" s="151" t="str">
        <f ca="1">IFERROR(__xludf.DUMMYFUNCTION("""COMPUTED_VALUE"""),"Sin comentarios")</f>
        <v>Sin comentarios</v>
      </c>
      <c r="H11" s="155" t="b">
        <f ca="1">IFERROR(__xludf.DUMMYFUNCTION("""COMPUTED_VALUE"""),TRUE)</f>
        <v>1</v>
      </c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</row>
    <row r="12" spans="1:26" ht="15" customHeight="1">
      <c r="A12" s="149" t="str">
        <f ca="1">IFERROR(__xludf.DUMMYFUNCTION("""COMPUTED_VALUE"""),"FIN")</f>
        <v>FIN</v>
      </c>
      <c r="B12" s="146" t="str">
        <f ca="1">IFERROR(__xludf.DUMMYFUNCTION("""COMPUTED_VALUE"""),"ACTIVIDAD 4.1")</f>
        <v>ACTIVIDAD 4.1</v>
      </c>
      <c r="C12" s="147" t="str">
        <f ca="1">IFERROR(__xludf.DUMMYFUNCTION("""COMPUTED_VALUE"""),"Acompañamientos psicosociales para familiares de víctimas indirectas de desaparición brindadas, durante el 2023")</f>
        <v>Acompañamientos psicosociales para familiares de víctimas indirectas de desaparición brindadas, durante el 2023</v>
      </c>
      <c r="D12" s="159" t="str">
        <f ca="1">IFERROR(__xludf.DUMMYFUNCTION("""COMPUTED_VALUE"""),"Promedio")</f>
        <v>Promedio</v>
      </c>
      <c r="E12" s="148">
        <f ca="1">IFERROR(__xludf.DUMMYFUNCTION("""COMPUTED_VALUE"""),243)</f>
        <v>243</v>
      </c>
      <c r="F12" s="149">
        <f ca="1">IFERROR(__xludf.DUMMYFUNCTION("""COMPUTED_VALUE"""),110)</f>
        <v>110</v>
      </c>
      <c r="G12" s="160" t="str">
        <f ca="1">IFERROR(__xludf.DUMMYFUNCTION("""COMPUTED_VALUE"""),"81")</f>
        <v>81</v>
      </c>
      <c r="H12" s="152" t="b">
        <f ca="1">IFERROR(__xludf.DUMMYFUNCTION("""COMPUTED_VALUE"""),TRUE)</f>
        <v>1</v>
      </c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</row>
    <row r="13" spans="1:26" ht="15" customHeight="1">
      <c r="A13" s="149"/>
      <c r="B13" s="146"/>
      <c r="C13" s="147"/>
      <c r="D13" s="159"/>
      <c r="E13" s="148"/>
      <c r="F13" s="149"/>
      <c r="G13" s="156"/>
      <c r="H13" s="155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</row>
    <row r="14" spans="1:26" ht="15" customHeight="1">
      <c r="A14" s="149"/>
      <c r="B14" s="146"/>
      <c r="C14" s="147"/>
      <c r="D14" s="159"/>
      <c r="E14" s="148"/>
      <c r="F14" s="149"/>
      <c r="G14" s="151"/>
      <c r="H14" s="152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</row>
    <row r="15" spans="1:26" ht="15" customHeight="1">
      <c r="A15" s="149"/>
      <c r="B15" s="146"/>
      <c r="C15" s="147"/>
      <c r="D15" s="159"/>
      <c r="E15" s="148"/>
      <c r="F15" s="149"/>
      <c r="G15" s="151"/>
      <c r="H15" s="155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</row>
    <row r="16" spans="1:26" ht="15" customHeight="1">
      <c r="A16" s="149"/>
      <c r="B16" s="146"/>
      <c r="C16" s="147"/>
      <c r="D16" s="159"/>
      <c r="E16" s="148"/>
      <c r="F16" s="149"/>
      <c r="G16" s="156"/>
      <c r="H16" s="152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</row>
    <row r="17" spans="1:26" ht="15" customHeight="1">
      <c r="A17" s="149"/>
      <c r="B17" s="146"/>
      <c r="C17" s="147"/>
      <c r="D17" s="159"/>
      <c r="E17" s="148"/>
      <c r="F17" s="149"/>
      <c r="G17" s="151"/>
      <c r="H17" s="155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</row>
    <row r="18" spans="1:26" ht="15" customHeight="1">
      <c r="A18" s="149"/>
      <c r="B18" s="146"/>
      <c r="C18" s="147"/>
      <c r="D18" s="159"/>
      <c r="E18" s="148"/>
      <c r="F18" s="149"/>
      <c r="G18" s="156"/>
      <c r="H18" s="152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15" customHeight="1">
      <c r="A19" s="149"/>
      <c r="B19" s="146"/>
      <c r="C19" s="147"/>
      <c r="D19" s="159"/>
      <c r="E19" s="148"/>
      <c r="F19" s="149"/>
      <c r="G19" s="156"/>
      <c r="H19" s="155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</row>
    <row r="20" spans="1:26" ht="15" customHeight="1">
      <c r="A20" s="149"/>
      <c r="B20" s="146"/>
      <c r="C20" s="147"/>
      <c r="D20" s="159"/>
      <c r="E20" s="148"/>
      <c r="F20" s="149"/>
      <c r="G20" s="151"/>
      <c r="H20" s="152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</row>
    <row r="21" spans="1:26" ht="15" customHeight="1">
      <c r="A21" s="149"/>
      <c r="B21" s="146"/>
      <c r="C21" s="147"/>
      <c r="D21" s="159"/>
      <c r="E21" s="148"/>
      <c r="F21" s="149"/>
      <c r="G21" s="151"/>
      <c r="H21" s="155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</row>
    <row r="22" spans="1:26" ht="15" customHeight="1">
      <c r="A22" s="149"/>
      <c r="B22" s="146"/>
      <c r="C22" s="147"/>
      <c r="D22" s="159"/>
      <c r="E22" s="148"/>
      <c r="F22" s="149"/>
      <c r="G22" s="151"/>
      <c r="H22" s="152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ht="15" customHeight="1">
      <c r="A23" s="149"/>
      <c r="B23" s="146"/>
      <c r="C23" s="147"/>
      <c r="D23" s="159"/>
      <c r="E23" s="148"/>
      <c r="F23" s="149"/>
      <c r="G23" s="151"/>
      <c r="H23" s="155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</row>
    <row r="24" spans="1:26" ht="15" customHeight="1">
      <c r="A24" s="149"/>
      <c r="B24" s="146"/>
      <c r="C24" s="147"/>
      <c r="D24" s="159"/>
      <c r="E24" s="148"/>
      <c r="F24" s="149"/>
      <c r="G24" s="151"/>
      <c r="H24" s="152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</row>
    <row r="25" spans="1:26" ht="15" customHeight="1">
      <c r="A25" s="149"/>
      <c r="B25" s="146"/>
      <c r="C25" s="147"/>
      <c r="D25" s="159"/>
      <c r="E25" s="148"/>
      <c r="F25" s="149"/>
      <c r="G25" s="151"/>
      <c r="H25" s="155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</row>
    <row r="26" spans="1:26" ht="15" customHeight="1">
      <c r="A26" s="149"/>
      <c r="B26" s="146"/>
      <c r="C26" s="147"/>
      <c r="D26" s="159"/>
      <c r="E26" s="148"/>
      <c r="F26" s="149"/>
      <c r="G26" s="151"/>
      <c r="H26" s="152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</row>
    <row r="27" spans="1:26" ht="15" customHeight="1">
      <c r="A27" s="149"/>
      <c r="B27" s="146"/>
      <c r="C27" s="147"/>
      <c r="D27" s="159"/>
      <c r="E27" s="148"/>
      <c r="F27" s="149"/>
      <c r="G27" s="151"/>
      <c r="H27" s="155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</row>
    <row r="28" spans="1:26" ht="15" customHeight="1">
      <c r="A28" s="149"/>
      <c r="B28" s="146"/>
      <c r="C28" s="147"/>
      <c r="D28" s="159"/>
      <c r="E28" s="148"/>
      <c r="F28" s="149"/>
      <c r="G28" s="156"/>
      <c r="H28" s="152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</row>
    <row r="29" spans="1:26" ht="15" customHeight="1">
      <c r="A29" s="149"/>
      <c r="B29" s="146"/>
      <c r="C29" s="147"/>
      <c r="D29" s="159"/>
      <c r="E29" s="148"/>
      <c r="F29" s="149"/>
      <c r="G29" s="156"/>
      <c r="H29" s="155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</row>
    <row r="30" spans="1:26" ht="15" customHeight="1">
      <c r="A30" s="149"/>
      <c r="B30" s="146"/>
      <c r="C30" s="147"/>
      <c r="D30" s="159"/>
      <c r="E30" s="148"/>
      <c r="F30" s="149"/>
      <c r="G30" s="156"/>
      <c r="H30" s="156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</row>
    <row r="31" spans="1:26" ht="24.75">
      <c r="A31" s="149"/>
      <c r="B31" s="146"/>
      <c r="C31" s="147"/>
      <c r="D31" s="159"/>
      <c r="E31" s="148"/>
      <c r="F31" s="149"/>
      <c r="G31" s="158"/>
      <c r="H31" s="158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</row>
    <row r="32" spans="1:26" ht="24.75">
      <c r="A32" s="149"/>
      <c r="B32" s="146"/>
      <c r="C32" s="147"/>
      <c r="D32" s="159"/>
      <c r="E32" s="148"/>
      <c r="F32" s="149"/>
      <c r="G32" s="156"/>
      <c r="H32" s="156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</row>
    <row r="33" spans="1:26" ht="24.75">
      <c r="A33" s="149"/>
      <c r="B33" s="146"/>
      <c r="C33" s="147"/>
      <c r="D33" s="159"/>
      <c r="E33" s="148"/>
      <c r="F33" s="149"/>
      <c r="G33" s="158"/>
      <c r="H33" s="158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</row>
    <row r="34" spans="1:26" ht="24.75">
      <c r="A34" s="149"/>
      <c r="B34" s="146"/>
      <c r="C34" s="147"/>
      <c r="D34" s="159"/>
      <c r="E34" s="148"/>
      <c r="F34" s="149"/>
      <c r="G34" s="156"/>
      <c r="H34" s="156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</row>
    <row r="35" spans="1:26" ht="24.75">
      <c r="A35" s="149"/>
      <c r="B35" s="146"/>
      <c r="C35" s="147"/>
      <c r="D35" s="159"/>
      <c r="E35" s="148"/>
      <c r="F35" s="149"/>
      <c r="G35" s="158"/>
      <c r="H35" s="158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</row>
    <row r="36" spans="1:26" ht="24.75">
      <c r="A36" s="149"/>
      <c r="B36" s="146"/>
      <c r="C36" s="147"/>
      <c r="D36" s="159"/>
      <c r="E36" s="148"/>
      <c r="F36" s="149"/>
      <c r="G36" s="156"/>
      <c r="H36" s="156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1:26" ht="24.75">
      <c r="A37" s="149"/>
      <c r="B37" s="146"/>
      <c r="C37" s="147"/>
      <c r="D37" s="159"/>
      <c r="E37" s="148"/>
      <c r="F37" s="149"/>
      <c r="G37" s="158"/>
      <c r="H37" s="158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</row>
    <row r="38" spans="1:26" ht="24.75">
      <c r="A38" s="149"/>
      <c r="B38" s="146"/>
      <c r="C38" s="147"/>
      <c r="D38" s="159"/>
      <c r="E38" s="148"/>
      <c r="F38" s="149"/>
      <c r="G38" s="156"/>
      <c r="H38" s="156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</row>
    <row r="39" spans="1:26" ht="24.75">
      <c r="A39" s="149"/>
      <c r="B39" s="146"/>
      <c r="C39" s="147"/>
      <c r="D39" s="159"/>
      <c r="E39" s="148"/>
      <c r="F39" s="149"/>
      <c r="G39" s="158"/>
      <c r="H39" s="158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</row>
    <row r="40" spans="1:26" ht="24.75">
      <c r="A40" s="149"/>
      <c r="B40" s="146"/>
      <c r="C40" s="147"/>
      <c r="D40" s="159"/>
      <c r="E40" s="148"/>
      <c r="F40" s="149"/>
      <c r="G40" s="156"/>
      <c r="H40" s="156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</row>
    <row r="41" spans="1:26" ht="24.75">
      <c r="A41" s="149"/>
      <c r="B41" s="146"/>
      <c r="C41" s="147"/>
      <c r="D41" s="159"/>
      <c r="E41" s="148"/>
      <c r="F41" s="149"/>
      <c r="G41" s="158"/>
      <c r="H41" s="158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</row>
    <row r="42" spans="1:26" ht="24.75">
      <c r="A42" s="149"/>
      <c r="B42" s="146"/>
      <c r="C42" s="147"/>
      <c r="D42" s="159"/>
      <c r="E42" s="148"/>
      <c r="F42" s="149"/>
      <c r="G42" s="156"/>
      <c r="H42" s="156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</row>
    <row r="43" spans="1:26" ht="24.75">
      <c r="A43" s="149"/>
      <c r="B43" s="146"/>
      <c r="C43" s="147"/>
      <c r="D43" s="159"/>
      <c r="E43" s="148"/>
      <c r="F43" s="149"/>
      <c r="G43" s="158"/>
      <c r="H43" s="158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</row>
    <row r="44" spans="1:26" ht="24.75">
      <c r="A44" s="149"/>
      <c r="B44" s="146"/>
      <c r="C44" s="147"/>
      <c r="D44" s="159"/>
      <c r="E44" s="148"/>
      <c r="F44" s="149"/>
      <c r="G44" s="156"/>
      <c r="H44" s="156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</row>
    <row r="45" spans="1:26" ht="24.75">
      <c r="A45" s="149"/>
      <c r="B45" s="146"/>
      <c r="C45" s="147"/>
      <c r="D45" s="159"/>
      <c r="E45" s="148"/>
      <c r="F45" s="149"/>
      <c r="G45" s="158"/>
      <c r="H45" s="158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</row>
    <row r="46" spans="1:26" ht="24.75">
      <c r="A46" s="149"/>
      <c r="B46" s="146"/>
      <c r="C46" s="147"/>
      <c r="D46" s="159"/>
      <c r="E46" s="148"/>
      <c r="F46" s="149"/>
      <c r="G46" s="156"/>
      <c r="H46" s="156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</row>
    <row r="47" spans="1:26" ht="24.75">
      <c r="A47" s="149"/>
      <c r="B47" s="146"/>
      <c r="C47" s="147"/>
      <c r="D47" s="159"/>
      <c r="E47" s="148"/>
      <c r="F47" s="149"/>
      <c r="G47" s="158"/>
      <c r="H47" s="158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</row>
    <row r="48" spans="1:26" ht="24.75">
      <c r="A48" s="149"/>
      <c r="B48" s="146"/>
      <c r="C48" s="147"/>
      <c r="D48" s="159"/>
      <c r="E48" s="148"/>
      <c r="F48" s="149"/>
      <c r="G48" s="156"/>
      <c r="H48" s="156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</row>
    <row r="49" spans="1:26" ht="24.75">
      <c r="A49" s="149"/>
      <c r="B49" s="146"/>
      <c r="C49" s="147"/>
      <c r="D49" s="159"/>
      <c r="E49" s="148"/>
      <c r="F49" s="149"/>
      <c r="G49" s="158"/>
      <c r="H49" s="158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</row>
    <row r="50" spans="1:26" ht="24.75">
      <c r="A50" s="149"/>
      <c r="B50" s="146"/>
      <c r="C50" s="147"/>
      <c r="D50" s="159"/>
      <c r="E50" s="148"/>
      <c r="F50" s="149"/>
      <c r="G50" s="156"/>
      <c r="H50" s="156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ht="24.75">
      <c r="A51" s="149"/>
      <c r="B51" s="146"/>
      <c r="C51" s="147"/>
      <c r="D51" s="159"/>
      <c r="E51" s="148"/>
      <c r="F51" s="149"/>
      <c r="G51" s="158"/>
      <c r="H51" s="158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</row>
    <row r="52" spans="1:26" ht="24.75">
      <c r="A52" s="149"/>
      <c r="B52" s="146"/>
      <c r="C52" s="147"/>
      <c r="D52" s="159"/>
      <c r="E52" s="148"/>
      <c r="F52" s="149"/>
      <c r="G52" s="156"/>
      <c r="H52" s="156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</row>
    <row r="53" spans="1:26" ht="24.75">
      <c r="A53" s="149"/>
      <c r="B53" s="146"/>
      <c r="C53" s="147"/>
      <c r="D53" s="159"/>
      <c r="E53" s="148"/>
      <c r="F53" s="149"/>
      <c r="G53" s="158"/>
      <c r="H53" s="158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</row>
    <row r="54" spans="1:26" ht="24.75">
      <c r="A54" s="149"/>
      <c r="B54" s="146"/>
      <c r="C54" s="147"/>
      <c r="D54" s="159"/>
      <c r="E54" s="148"/>
      <c r="F54" s="149"/>
      <c r="G54" s="156"/>
      <c r="H54" s="156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</row>
    <row r="55" spans="1:26" ht="24.75">
      <c r="A55" s="149"/>
      <c r="B55" s="146"/>
      <c r="C55" s="147"/>
      <c r="D55" s="159"/>
      <c r="E55" s="148"/>
      <c r="F55" s="149"/>
      <c r="G55" s="158"/>
      <c r="H55" s="158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</row>
    <row r="56" spans="1:26" ht="24.75">
      <c r="A56" s="149"/>
      <c r="B56" s="146"/>
      <c r="C56" s="147"/>
      <c r="D56" s="159"/>
      <c r="E56" s="148"/>
      <c r="F56" s="149"/>
      <c r="G56" s="156"/>
      <c r="H56" s="156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</row>
    <row r="57" spans="1:26" ht="24.75">
      <c r="A57" s="149"/>
      <c r="B57" s="146"/>
      <c r="C57" s="147"/>
      <c r="D57" s="159"/>
      <c r="E57" s="148"/>
      <c r="F57" s="149"/>
      <c r="G57" s="158"/>
      <c r="H57" s="158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</row>
    <row r="58" spans="1:26" ht="24.75">
      <c r="A58" s="149"/>
      <c r="B58" s="146"/>
      <c r="C58" s="147"/>
      <c r="D58" s="159"/>
      <c r="E58" s="148"/>
      <c r="F58" s="149"/>
      <c r="G58" s="156"/>
      <c r="H58" s="156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</row>
    <row r="59" spans="1:26" ht="24.75">
      <c r="A59" s="149"/>
      <c r="B59" s="146"/>
      <c r="C59" s="147"/>
      <c r="D59" s="159"/>
      <c r="E59" s="148"/>
      <c r="F59" s="149"/>
      <c r="G59" s="158"/>
      <c r="H59" s="158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</row>
    <row r="60" spans="1:26" ht="24.75">
      <c r="A60" s="149"/>
      <c r="B60" s="146"/>
      <c r="C60" s="147"/>
      <c r="D60" s="159"/>
      <c r="E60" s="148"/>
      <c r="F60" s="149"/>
      <c r="G60" s="156"/>
      <c r="H60" s="156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</row>
    <row r="61" spans="1:26" ht="24.75">
      <c r="A61" s="149"/>
      <c r="B61" s="146"/>
      <c r="C61" s="147"/>
      <c r="D61" s="159"/>
      <c r="E61" s="148"/>
      <c r="F61" s="149"/>
      <c r="G61" s="158"/>
      <c r="H61" s="158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</row>
    <row r="62" spans="1:26" ht="24.75">
      <c r="A62" s="149"/>
      <c r="B62" s="146"/>
      <c r="C62" s="147"/>
      <c r="D62" s="159"/>
      <c r="E62" s="148"/>
      <c r="F62" s="149"/>
      <c r="G62" s="156"/>
      <c r="H62" s="156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</row>
    <row r="63" spans="1:26" ht="24.75">
      <c r="A63" s="149"/>
      <c r="B63" s="146"/>
      <c r="C63" s="147"/>
      <c r="D63" s="159"/>
      <c r="E63" s="148"/>
      <c r="F63" s="149"/>
      <c r="G63" s="158"/>
      <c r="H63" s="158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</row>
    <row r="64" spans="1:26" ht="24.75">
      <c r="A64" s="149"/>
      <c r="B64" s="146"/>
      <c r="C64" s="147"/>
      <c r="D64" s="159"/>
      <c r="E64" s="148"/>
      <c r="F64" s="149"/>
      <c r="G64" s="156"/>
      <c r="H64" s="156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1:26" ht="24.75">
      <c r="A65" s="149"/>
      <c r="B65" s="146"/>
      <c r="C65" s="147"/>
      <c r="D65" s="159"/>
      <c r="E65" s="148"/>
      <c r="F65" s="149"/>
      <c r="G65" s="158"/>
      <c r="H65" s="158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</row>
    <row r="66" spans="1:26" ht="24.75">
      <c r="A66" s="149"/>
      <c r="B66" s="146"/>
      <c r="C66" s="147"/>
      <c r="D66" s="159"/>
      <c r="E66" s="148"/>
      <c r="F66" s="149"/>
      <c r="G66" s="156"/>
      <c r="H66" s="156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</row>
    <row r="67" spans="1:26" ht="24.75">
      <c r="A67" s="149"/>
      <c r="B67" s="146"/>
      <c r="C67" s="147"/>
      <c r="D67" s="159"/>
      <c r="E67" s="148"/>
      <c r="F67" s="149"/>
      <c r="G67" s="158"/>
      <c r="H67" s="158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</row>
    <row r="68" spans="1:26" ht="24.75">
      <c r="A68" s="149"/>
      <c r="B68" s="146"/>
      <c r="C68" s="147"/>
      <c r="D68" s="159"/>
      <c r="E68" s="148"/>
      <c r="F68" s="149"/>
      <c r="G68" s="156"/>
      <c r="H68" s="156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</row>
    <row r="69" spans="1:26" ht="24.75">
      <c r="A69" s="149"/>
      <c r="B69" s="146"/>
      <c r="C69" s="147"/>
      <c r="D69" s="159"/>
      <c r="E69" s="148"/>
      <c r="F69" s="149"/>
      <c r="G69" s="158"/>
      <c r="H69" s="158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</row>
    <row r="70" spans="1:26" ht="24.75">
      <c r="A70" s="149"/>
      <c r="B70" s="146"/>
      <c r="C70" s="147"/>
      <c r="D70" s="159"/>
      <c r="E70" s="148"/>
      <c r="F70" s="149"/>
      <c r="G70" s="156"/>
      <c r="H70" s="156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</row>
    <row r="71" spans="1:26" ht="24.75">
      <c r="A71" s="149"/>
      <c r="B71" s="146"/>
      <c r="C71" s="147"/>
      <c r="D71" s="159"/>
      <c r="E71" s="148"/>
      <c r="F71" s="149"/>
      <c r="G71" s="158"/>
      <c r="H71" s="158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</row>
    <row r="72" spans="1:26" ht="24.75">
      <c r="A72" s="149"/>
      <c r="B72" s="146"/>
      <c r="C72" s="147"/>
      <c r="D72" s="159"/>
      <c r="E72" s="148"/>
      <c r="F72" s="149"/>
      <c r="G72" s="156"/>
      <c r="H72" s="156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</row>
    <row r="73" spans="1:26" ht="24.75">
      <c r="A73" s="149"/>
      <c r="B73" s="146"/>
      <c r="C73" s="147"/>
      <c r="D73" s="159"/>
      <c r="E73" s="148"/>
      <c r="F73" s="149"/>
      <c r="G73" s="158"/>
      <c r="H73" s="158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</row>
    <row r="74" spans="1:26" ht="24.75">
      <c r="A74" s="149"/>
      <c r="B74" s="146"/>
      <c r="C74" s="147"/>
      <c r="D74" s="159"/>
      <c r="E74" s="148"/>
      <c r="F74" s="149"/>
      <c r="G74" s="156"/>
      <c r="H74" s="156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</row>
    <row r="75" spans="1:26" ht="24.75">
      <c r="A75" s="149"/>
      <c r="B75" s="146"/>
      <c r="C75" s="147"/>
      <c r="D75" s="159"/>
      <c r="E75" s="148"/>
      <c r="F75" s="149"/>
      <c r="G75" s="158"/>
      <c r="H75" s="158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</row>
    <row r="76" spans="1:26" ht="24.75">
      <c r="A76" s="149"/>
      <c r="B76" s="146"/>
      <c r="C76" s="147"/>
      <c r="D76" s="159"/>
      <c r="E76" s="148"/>
      <c r="F76" s="149"/>
      <c r="G76" s="156"/>
      <c r="H76" s="156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</row>
    <row r="77" spans="1:26" ht="24.75">
      <c r="A77" s="149"/>
      <c r="B77" s="146"/>
      <c r="C77" s="147"/>
      <c r="D77" s="159"/>
      <c r="E77" s="148"/>
      <c r="F77" s="149"/>
      <c r="G77" s="158"/>
      <c r="H77" s="158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</row>
    <row r="78" spans="1:26" ht="24.75">
      <c r="A78" s="149"/>
      <c r="B78" s="146"/>
      <c r="C78" s="147"/>
      <c r="D78" s="159"/>
      <c r="E78" s="148"/>
      <c r="F78" s="149"/>
      <c r="G78" s="156"/>
      <c r="H78" s="156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</row>
    <row r="79" spans="1:26" ht="24.75">
      <c r="A79" s="149"/>
      <c r="B79" s="146"/>
      <c r="C79" s="147"/>
      <c r="D79" s="159"/>
      <c r="E79" s="148"/>
      <c r="F79" s="149"/>
      <c r="G79" s="158"/>
      <c r="H79" s="158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</row>
    <row r="80" spans="1:26" ht="24.75">
      <c r="A80" s="149"/>
      <c r="B80" s="146"/>
      <c r="C80" s="147"/>
      <c r="D80" s="159"/>
      <c r="E80" s="148"/>
      <c r="F80" s="149"/>
      <c r="G80" s="156"/>
      <c r="H80" s="156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</row>
    <row r="81" spans="1:26" ht="24.75">
      <c r="A81" s="149"/>
      <c r="B81" s="146"/>
      <c r="C81" s="147"/>
      <c r="D81" s="159"/>
      <c r="E81" s="148"/>
      <c r="F81" s="149"/>
      <c r="G81" s="158"/>
      <c r="H81" s="158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</row>
    <row r="82" spans="1:26" ht="24.75">
      <c r="A82" s="149"/>
      <c r="B82" s="146"/>
      <c r="C82" s="147"/>
      <c r="D82" s="159"/>
      <c r="E82" s="148"/>
      <c r="F82" s="149"/>
      <c r="G82" s="156"/>
      <c r="H82" s="156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</row>
    <row r="83" spans="1:26" ht="24.75">
      <c r="A83" s="149"/>
      <c r="B83" s="146"/>
      <c r="C83" s="147"/>
      <c r="D83" s="159"/>
      <c r="E83" s="148"/>
      <c r="F83" s="149"/>
      <c r="G83" s="158"/>
      <c r="H83" s="158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</row>
    <row r="84" spans="1:26" ht="24.75">
      <c r="A84" s="149"/>
      <c r="B84" s="146"/>
      <c r="C84" s="147"/>
      <c r="D84" s="159"/>
      <c r="E84" s="148"/>
      <c r="F84" s="149"/>
      <c r="G84" s="156"/>
      <c r="H84" s="156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</row>
    <row r="85" spans="1:26" ht="24.75">
      <c r="A85" s="149"/>
      <c r="B85" s="146"/>
      <c r="C85" s="147"/>
      <c r="D85" s="159"/>
      <c r="E85" s="148"/>
      <c r="F85" s="149"/>
      <c r="G85" s="158"/>
      <c r="H85" s="158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</row>
    <row r="86" spans="1:26" ht="24.75">
      <c r="A86" s="149"/>
      <c r="B86" s="146"/>
      <c r="C86" s="147"/>
      <c r="D86" s="159"/>
      <c r="E86" s="148"/>
      <c r="F86" s="149"/>
      <c r="G86" s="156"/>
      <c r="H86" s="156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</row>
    <row r="87" spans="1:26" ht="24.75">
      <c r="A87" s="149"/>
      <c r="B87" s="146"/>
      <c r="C87" s="147"/>
      <c r="D87" s="159"/>
      <c r="E87" s="148"/>
      <c r="F87" s="149"/>
      <c r="G87" s="158"/>
      <c r="H87" s="158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</row>
    <row r="88" spans="1:26" ht="24.75">
      <c r="A88" s="149"/>
      <c r="B88" s="146"/>
      <c r="C88" s="147"/>
      <c r="D88" s="159"/>
      <c r="E88" s="148"/>
      <c r="F88" s="149"/>
      <c r="G88" s="156"/>
      <c r="H88" s="156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</row>
    <row r="89" spans="1:26" ht="24.75">
      <c r="A89" s="149"/>
      <c r="B89" s="146"/>
      <c r="C89" s="147"/>
      <c r="D89" s="159"/>
      <c r="E89" s="148"/>
      <c r="F89" s="149"/>
      <c r="G89" s="158"/>
      <c r="H89" s="158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</row>
    <row r="90" spans="1:26" ht="24.75">
      <c r="A90" s="149"/>
      <c r="B90" s="146"/>
      <c r="C90" s="147"/>
      <c r="D90" s="159"/>
      <c r="E90" s="148"/>
      <c r="F90" s="149"/>
      <c r="G90" s="156"/>
      <c r="H90" s="156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</row>
    <row r="91" spans="1:26" ht="24.75">
      <c r="A91" s="149"/>
      <c r="B91" s="146"/>
      <c r="C91" s="147"/>
      <c r="D91" s="159"/>
      <c r="E91" s="148"/>
      <c r="F91" s="149"/>
      <c r="G91" s="158"/>
      <c r="H91" s="158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</row>
    <row r="92" spans="1:26" ht="24.75">
      <c r="A92" s="149"/>
      <c r="B92" s="146"/>
      <c r="C92" s="147"/>
      <c r="D92" s="159"/>
      <c r="E92" s="148"/>
      <c r="F92" s="149"/>
      <c r="G92" s="156"/>
      <c r="H92" s="156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26" ht="24.75">
      <c r="A93" s="149"/>
      <c r="B93" s="146"/>
      <c r="C93" s="147"/>
      <c r="D93" s="159"/>
      <c r="E93" s="148"/>
      <c r="F93" s="149"/>
      <c r="G93" s="158"/>
      <c r="H93" s="158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</row>
    <row r="94" spans="1:26" ht="24.75">
      <c r="A94" s="149"/>
      <c r="B94" s="146"/>
      <c r="C94" s="147"/>
      <c r="D94" s="159"/>
      <c r="E94" s="148"/>
      <c r="F94" s="149"/>
      <c r="G94" s="156"/>
      <c r="H94" s="156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</row>
    <row r="95" spans="1:26" ht="24.75">
      <c r="A95" s="149"/>
      <c r="B95" s="146"/>
      <c r="C95" s="147"/>
      <c r="D95" s="159"/>
      <c r="E95" s="148"/>
      <c r="F95" s="149"/>
      <c r="G95" s="158"/>
      <c r="H95" s="158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</row>
    <row r="96" spans="1:26" ht="24.75">
      <c r="A96" s="149"/>
      <c r="B96" s="146"/>
      <c r="C96" s="147"/>
      <c r="D96" s="159"/>
      <c r="E96" s="148"/>
      <c r="F96" s="149"/>
      <c r="G96" s="156"/>
      <c r="H96" s="156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</row>
    <row r="97" spans="1:26" ht="24.75">
      <c r="A97" s="149"/>
      <c r="B97" s="146"/>
      <c r="C97" s="147"/>
      <c r="D97" s="159"/>
      <c r="E97" s="148"/>
      <c r="F97" s="149"/>
      <c r="G97" s="158"/>
      <c r="H97" s="158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</row>
    <row r="98" spans="1:26" ht="24.75">
      <c r="A98" s="149"/>
      <c r="B98" s="146"/>
      <c r="C98" s="147"/>
      <c r="D98" s="159"/>
      <c r="E98" s="148"/>
      <c r="F98" s="149"/>
      <c r="G98" s="156"/>
      <c r="H98" s="156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</row>
    <row r="99" spans="1:26" ht="24.75">
      <c r="A99" s="149"/>
      <c r="B99" s="146"/>
      <c r="C99" s="147"/>
      <c r="D99" s="159"/>
      <c r="E99" s="148"/>
      <c r="F99" s="149"/>
      <c r="G99" s="158"/>
      <c r="H99" s="158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</row>
    <row r="100" spans="1:26" ht="24.75">
      <c r="A100" s="149"/>
      <c r="B100" s="146"/>
      <c r="C100" s="147"/>
      <c r="D100" s="159"/>
      <c r="E100" s="148"/>
      <c r="F100" s="149"/>
      <c r="G100" s="156"/>
      <c r="H100" s="156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</row>
    <row r="101" spans="1:26" ht="24.75">
      <c r="A101" s="149"/>
      <c r="B101" s="146"/>
      <c r="C101" s="147"/>
      <c r="D101" s="159"/>
      <c r="E101" s="148"/>
      <c r="F101" s="149"/>
      <c r="G101" s="158"/>
      <c r="H101" s="158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</row>
    <row r="102" spans="1:26" ht="24.75">
      <c r="A102" s="149"/>
      <c r="B102" s="146"/>
      <c r="C102" s="147"/>
      <c r="D102" s="159"/>
      <c r="E102" s="148"/>
      <c r="F102" s="149"/>
      <c r="G102" s="156"/>
      <c r="H102" s="156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</row>
    <row r="103" spans="1:26" ht="24.75">
      <c r="A103" s="149"/>
      <c r="B103" s="146"/>
      <c r="C103" s="147"/>
      <c r="D103" s="159"/>
      <c r="E103" s="148"/>
      <c r="F103" s="149"/>
      <c r="G103" s="158"/>
      <c r="H103" s="158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</row>
    <row r="104" spans="1:26" ht="24.75">
      <c r="A104" s="149"/>
      <c r="B104" s="146"/>
      <c r="C104" s="147"/>
      <c r="D104" s="159"/>
      <c r="E104" s="148"/>
      <c r="F104" s="149"/>
      <c r="G104" s="156"/>
      <c r="H104" s="156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</row>
    <row r="105" spans="1:26" ht="24.75">
      <c r="A105" s="149"/>
      <c r="B105" s="146"/>
      <c r="C105" s="147"/>
      <c r="D105" s="159"/>
      <c r="E105" s="148"/>
      <c r="F105" s="149"/>
      <c r="G105" s="158"/>
      <c r="H105" s="158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</row>
    <row r="106" spans="1:26" ht="24.75">
      <c r="A106" s="149"/>
      <c r="B106" s="146"/>
      <c r="C106" s="147"/>
      <c r="D106" s="159"/>
      <c r="E106" s="148"/>
      <c r="F106" s="149"/>
      <c r="G106" s="156"/>
      <c r="H106" s="156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ht="24.75">
      <c r="A107" s="149"/>
      <c r="B107" s="146"/>
      <c r="C107" s="147"/>
      <c r="D107" s="159"/>
      <c r="E107" s="148"/>
      <c r="F107" s="149"/>
      <c r="G107" s="158"/>
      <c r="H107" s="158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</row>
    <row r="108" spans="1:26" ht="24.75">
      <c r="A108" s="149"/>
      <c r="B108" s="146"/>
      <c r="C108" s="147"/>
      <c r="D108" s="159"/>
      <c r="E108" s="148"/>
      <c r="F108" s="149"/>
      <c r="G108" s="156"/>
      <c r="H108" s="156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</row>
    <row r="109" spans="1:26" ht="24.75">
      <c r="A109" s="149"/>
      <c r="B109" s="146"/>
      <c r="C109" s="147"/>
      <c r="D109" s="159"/>
      <c r="E109" s="148"/>
      <c r="F109" s="149"/>
      <c r="G109" s="158"/>
      <c r="H109" s="158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</row>
    <row r="110" spans="1:26" ht="24.75">
      <c r="A110" s="149"/>
      <c r="B110" s="146"/>
      <c r="C110" s="147"/>
      <c r="D110" s="159"/>
      <c r="E110" s="148"/>
      <c r="F110" s="149"/>
      <c r="G110" s="156"/>
      <c r="H110" s="156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</row>
    <row r="111" spans="1:26" ht="24.75">
      <c r="A111" s="149"/>
      <c r="B111" s="146"/>
      <c r="C111" s="147"/>
      <c r="D111" s="159"/>
      <c r="E111" s="148"/>
      <c r="F111" s="149"/>
      <c r="G111" s="158"/>
      <c r="H111" s="158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</row>
    <row r="112" spans="1:26" ht="24.75">
      <c r="A112" s="149"/>
      <c r="B112" s="146"/>
      <c r="C112" s="147"/>
      <c r="D112" s="159"/>
      <c r="E112" s="148"/>
      <c r="F112" s="149"/>
      <c r="G112" s="156"/>
      <c r="H112" s="156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</row>
    <row r="113" spans="1:26" ht="24.75">
      <c r="A113" s="149"/>
      <c r="B113" s="146"/>
      <c r="C113" s="147"/>
      <c r="D113" s="159"/>
      <c r="E113" s="148"/>
      <c r="F113" s="149"/>
      <c r="G113" s="158"/>
      <c r="H113" s="158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</row>
    <row r="114" spans="1:26" ht="24.75">
      <c r="A114" s="149"/>
      <c r="B114" s="146"/>
      <c r="C114" s="147"/>
      <c r="D114" s="159"/>
      <c r="E114" s="148"/>
      <c r="F114" s="149"/>
      <c r="G114" s="156"/>
      <c r="H114" s="156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</row>
    <row r="115" spans="1:26" ht="24.75">
      <c r="A115" s="149"/>
      <c r="B115" s="146"/>
      <c r="C115" s="147"/>
      <c r="D115" s="159"/>
      <c r="E115" s="148"/>
      <c r="F115" s="149"/>
      <c r="G115" s="158"/>
      <c r="H115" s="158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</row>
    <row r="116" spans="1:26" ht="24.75">
      <c r="A116" s="149"/>
      <c r="B116" s="146"/>
      <c r="C116" s="147"/>
      <c r="D116" s="159"/>
      <c r="E116" s="148"/>
      <c r="F116" s="149"/>
      <c r="G116" s="156"/>
      <c r="H116" s="156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</row>
    <row r="117" spans="1:26" ht="24.75">
      <c r="A117" s="149"/>
      <c r="B117" s="146"/>
      <c r="C117" s="147"/>
      <c r="D117" s="159"/>
      <c r="E117" s="148"/>
      <c r="F117" s="149"/>
      <c r="G117" s="158"/>
      <c r="H117" s="158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</row>
    <row r="118" spans="1:26" ht="24.75">
      <c r="A118" s="149"/>
      <c r="B118" s="146"/>
      <c r="C118" s="147"/>
      <c r="D118" s="159"/>
      <c r="E118" s="148"/>
      <c r="F118" s="149"/>
      <c r="G118" s="156"/>
      <c r="H118" s="156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</row>
    <row r="119" spans="1:26" ht="24.75">
      <c r="A119" s="149"/>
      <c r="B119" s="146"/>
      <c r="C119" s="147"/>
      <c r="D119" s="159"/>
      <c r="E119" s="148"/>
      <c r="F119" s="149"/>
      <c r="G119" s="158"/>
      <c r="H119" s="158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</row>
    <row r="120" spans="1:26" ht="24.75">
      <c r="A120" s="149"/>
      <c r="B120" s="146"/>
      <c r="C120" s="147"/>
      <c r="D120" s="159"/>
      <c r="E120" s="148"/>
      <c r="F120" s="149"/>
      <c r="G120" s="156"/>
      <c r="H120" s="156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ht="24.75">
      <c r="A121" s="149"/>
      <c r="B121" s="146"/>
      <c r="C121" s="147"/>
      <c r="D121" s="159"/>
      <c r="E121" s="148"/>
      <c r="F121" s="149"/>
      <c r="G121" s="158"/>
      <c r="H121" s="158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</row>
    <row r="122" spans="1:26" ht="24.75">
      <c r="A122" s="149"/>
      <c r="B122" s="146"/>
      <c r="C122" s="147"/>
      <c r="D122" s="159"/>
      <c r="E122" s="148"/>
      <c r="F122" s="149"/>
      <c r="G122" s="156"/>
      <c r="H122" s="156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</row>
    <row r="123" spans="1:26" ht="24.75">
      <c r="A123" s="149"/>
      <c r="B123" s="146"/>
      <c r="C123" s="147"/>
      <c r="D123" s="159"/>
      <c r="E123" s="148"/>
      <c r="F123" s="149"/>
      <c r="G123" s="158"/>
      <c r="H123" s="158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</row>
    <row r="124" spans="1:26" ht="24.75">
      <c r="A124" s="149"/>
      <c r="B124" s="146"/>
      <c r="C124" s="147"/>
      <c r="D124" s="159"/>
      <c r="E124" s="148"/>
      <c r="F124" s="149"/>
      <c r="G124" s="156"/>
      <c r="H124" s="156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</row>
    <row r="125" spans="1:26" ht="24.75">
      <c r="A125" s="149"/>
      <c r="B125" s="146"/>
      <c r="C125" s="147"/>
      <c r="D125" s="159"/>
      <c r="E125" s="148"/>
      <c r="F125" s="149"/>
      <c r="G125" s="158"/>
      <c r="H125" s="158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</row>
    <row r="126" spans="1:26" ht="24.75">
      <c r="A126" s="149"/>
      <c r="B126" s="146"/>
      <c r="C126" s="147"/>
      <c r="D126" s="159"/>
      <c r="E126" s="148"/>
      <c r="F126" s="149"/>
      <c r="G126" s="156"/>
      <c r="H126" s="156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</row>
    <row r="127" spans="1:26" ht="24.75">
      <c r="A127" s="149"/>
      <c r="B127" s="146"/>
      <c r="C127" s="147"/>
      <c r="D127" s="159"/>
      <c r="E127" s="148"/>
      <c r="F127" s="149"/>
      <c r="G127" s="158"/>
      <c r="H127" s="158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</row>
    <row r="128" spans="1:26" ht="24.75">
      <c r="A128" s="149"/>
      <c r="B128" s="146"/>
      <c r="C128" s="147"/>
      <c r="D128" s="159"/>
      <c r="E128" s="148"/>
      <c r="F128" s="149"/>
      <c r="G128" s="156"/>
      <c r="H128" s="156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</row>
    <row r="129" spans="1:26" ht="24.75">
      <c r="A129" s="149"/>
      <c r="B129" s="146"/>
      <c r="C129" s="147"/>
      <c r="D129" s="159"/>
      <c r="E129" s="148"/>
      <c r="F129" s="149"/>
      <c r="G129" s="158"/>
      <c r="H129" s="158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</row>
    <row r="130" spans="1:26" ht="24.75">
      <c r="A130" s="149"/>
      <c r="B130" s="146"/>
      <c r="C130" s="147"/>
      <c r="D130" s="159"/>
      <c r="E130" s="148"/>
      <c r="F130" s="149"/>
      <c r="G130" s="156"/>
      <c r="H130" s="156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</row>
    <row r="131" spans="1:26" ht="24.75">
      <c r="A131" s="149"/>
      <c r="B131" s="146"/>
      <c r="C131" s="147"/>
      <c r="D131" s="159"/>
      <c r="E131" s="148"/>
      <c r="F131" s="149"/>
      <c r="G131" s="158"/>
      <c r="H131" s="158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</row>
    <row r="132" spans="1:26" ht="24.75">
      <c r="A132" s="149"/>
      <c r="B132" s="146"/>
      <c r="C132" s="147"/>
      <c r="D132" s="159"/>
      <c r="E132" s="148"/>
      <c r="F132" s="149"/>
      <c r="G132" s="156"/>
      <c r="H132" s="156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</row>
    <row r="133" spans="1:26" ht="24.75">
      <c r="A133" s="149"/>
      <c r="B133" s="146"/>
      <c r="C133" s="147"/>
      <c r="D133" s="159"/>
      <c r="E133" s="148"/>
      <c r="F133" s="149"/>
      <c r="G133" s="158"/>
      <c r="H133" s="158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</row>
    <row r="134" spans="1:26" ht="24.75">
      <c r="A134" s="149"/>
      <c r="B134" s="146"/>
      <c r="C134" s="147"/>
      <c r="D134" s="159"/>
      <c r="E134" s="148"/>
      <c r="F134" s="149"/>
      <c r="G134" s="156"/>
      <c r="H134" s="156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</row>
    <row r="135" spans="1:26" ht="24.75">
      <c r="A135" s="149"/>
      <c r="B135" s="146"/>
      <c r="C135" s="147"/>
      <c r="D135" s="159"/>
      <c r="E135" s="148"/>
      <c r="F135" s="149"/>
      <c r="G135" s="158"/>
      <c r="H135" s="158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</row>
    <row r="136" spans="1:26" ht="24.75">
      <c r="A136" s="149"/>
      <c r="B136" s="146"/>
      <c r="C136" s="147"/>
      <c r="D136" s="159"/>
      <c r="E136" s="148"/>
      <c r="F136" s="149"/>
      <c r="G136" s="156"/>
      <c r="H136" s="156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</row>
    <row r="137" spans="1:26" ht="24.75">
      <c r="A137" s="149"/>
      <c r="B137" s="146"/>
      <c r="C137" s="147"/>
      <c r="D137" s="159"/>
      <c r="E137" s="148"/>
      <c r="F137" s="149"/>
      <c r="G137" s="158"/>
      <c r="H137" s="158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</row>
    <row r="138" spans="1:26" ht="24.75">
      <c r="A138" s="149"/>
      <c r="B138" s="146"/>
      <c r="C138" s="147"/>
      <c r="D138" s="159"/>
      <c r="E138" s="148"/>
      <c r="F138" s="149"/>
      <c r="G138" s="156"/>
      <c r="H138" s="156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</row>
    <row r="139" spans="1:26" ht="24.75">
      <c r="A139" s="149"/>
      <c r="B139" s="146"/>
      <c r="C139" s="147"/>
      <c r="D139" s="159"/>
      <c r="E139" s="148"/>
      <c r="F139" s="149"/>
      <c r="G139" s="158"/>
      <c r="H139" s="158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</row>
    <row r="140" spans="1:26" ht="24.75">
      <c r="A140" s="149"/>
      <c r="B140" s="146"/>
      <c r="C140" s="147"/>
      <c r="D140" s="159"/>
      <c r="E140" s="148"/>
      <c r="F140" s="149"/>
      <c r="G140" s="156"/>
      <c r="H140" s="156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</row>
    <row r="141" spans="1:26" ht="24.75">
      <c r="A141" s="149"/>
      <c r="B141" s="146"/>
      <c r="C141" s="147"/>
      <c r="D141" s="159"/>
      <c r="E141" s="148"/>
      <c r="F141" s="149"/>
      <c r="G141" s="158"/>
      <c r="H141" s="158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</row>
    <row r="142" spans="1:26" ht="24.75">
      <c r="A142" s="149"/>
      <c r="B142" s="146"/>
      <c r="C142" s="147"/>
      <c r="D142" s="159"/>
      <c r="E142" s="148"/>
      <c r="F142" s="149"/>
      <c r="G142" s="156"/>
      <c r="H142" s="156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</row>
    <row r="143" spans="1:26" ht="24.75">
      <c r="A143" s="149"/>
      <c r="B143" s="146"/>
      <c r="C143" s="147"/>
      <c r="D143" s="159"/>
      <c r="E143" s="148"/>
      <c r="F143" s="149"/>
      <c r="G143" s="158"/>
      <c r="H143" s="158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</row>
    <row r="144" spans="1:26" ht="24.75">
      <c r="A144" s="149"/>
      <c r="B144" s="146"/>
      <c r="C144" s="147"/>
      <c r="D144" s="159"/>
      <c r="E144" s="148"/>
      <c r="F144" s="149"/>
      <c r="G144" s="156"/>
      <c r="H144" s="156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</row>
    <row r="145" spans="1:26" ht="24.75">
      <c r="A145" s="149"/>
      <c r="B145" s="146"/>
      <c r="C145" s="147"/>
      <c r="D145" s="159"/>
      <c r="E145" s="148"/>
      <c r="F145" s="149"/>
      <c r="G145" s="158"/>
      <c r="H145" s="158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</row>
    <row r="146" spans="1:26" ht="24.75">
      <c r="A146" s="149"/>
      <c r="B146" s="146"/>
      <c r="C146" s="147"/>
      <c r="D146" s="159"/>
      <c r="E146" s="148"/>
      <c r="F146" s="149"/>
      <c r="G146" s="156"/>
      <c r="H146" s="156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</row>
    <row r="147" spans="1:26" ht="24.75">
      <c r="A147" s="149"/>
      <c r="B147" s="146"/>
      <c r="C147" s="147"/>
      <c r="D147" s="159"/>
      <c r="E147" s="148"/>
      <c r="F147" s="149"/>
      <c r="G147" s="158"/>
      <c r="H147" s="158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</row>
    <row r="148" spans="1:26" ht="24.75">
      <c r="A148" s="149"/>
      <c r="B148" s="146"/>
      <c r="C148" s="147"/>
      <c r="D148" s="159"/>
      <c r="E148" s="148"/>
      <c r="F148" s="149"/>
      <c r="G148" s="156"/>
      <c r="H148" s="156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</row>
    <row r="149" spans="1:26" ht="24.75">
      <c r="A149" s="149"/>
      <c r="B149" s="146"/>
      <c r="C149" s="147"/>
      <c r="D149" s="159"/>
      <c r="E149" s="148"/>
      <c r="F149" s="149"/>
      <c r="G149" s="158"/>
      <c r="H149" s="158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</row>
    <row r="150" spans="1:26" ht="24.75">
      <c r="A150" s="149"/>
      <c r="B150" s="146"/>
      <c r="C150" s="147"/>
      <c r="D150" s="159"/>
      <c r="E150" s="148"/>
      <c r="F150" s="149"/>
      <c r="G150" s="156"/>
      <c r="H150" s="156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</row>
    <row r="151" spans="1:26" ht="24.75">
      <c r="A151" s="149"/>
      <c r="B151" s="146"/>
      <c r="C151" s="147"/>
      <c r="D151" s="159"/>
      <c r="E151" s="148"/>
      <c r="F151" s="149"/>
      <c r="G151" s="158"/>
      <c r="H151" s="158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</row>
    <row r="152" spans="1:26" ht="24.75">
      <c r="A152" s="149"/>
      <c r="B152" s="146"/>
      <c r="C152" s="147"/>
      <c r="D152" s="159"/>
      <c r="E152" s="148"/>
      <c r="F152" s="149"/>
      <c r="G152" s="156"/>
      <c r="H152" s="156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</row>
    <row r="153" spans="1:26" ht="24.75">
      <c r="A153" s="149"/>
      <c r="B153" s="146"/>
      <c r="C153" s="147"/>
      <c r="D153" s="159"/>
      <c r="E153" s="148"/>
      <c r="F153" s="149"/>
      <c r="G153" s="158"/>
      <c r="H153" s="158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</row>
    <row r="154" spans="1:26" ht="24.75">
      <c r="A154" s="149"/>
      <c r="B154" s="146"/>
      <c r="C154" s="147"/>
      <c r="D154" s="159"/>
      <c r="E154" s="148"/>
      <c r="F154" s="149"/>
      <c r="G154" s="156"/>
      <c r="H154" s="156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</row>
    <row r="155" spans="1:26" ht="24.75">
      <c r="A155" s="149"/>
      <c r="B155" s="146"/>
      <c r="C155" s="147"/>
      <c r="D155" s="159"/>
      <c r="E155" s="148"/>
      <c r="F155" s="149"/>
      <c r="G155" s="158"/>
      <c r="H155" s="158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</row>
    <row r="156" spans="1:26" ht="24.75">
      <c r="A156" s="149"/>
      <c r="B156" s="146"/>
      <c r="C156" s="147"/>
      <c r="D156" s="159"/>
      <c r="E156" s="148"/>
      <c r="F156" s="149"/>
      <c r="G156" s="156"/>
      <c r="H156" s="156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</row>
    <row r="157" spans="1:26" ht="24.75">
      <c r="A157" s="149"/>
      <c r="B157" s="146"/>
      <c r="C157" s="147"/>
      <c r="D157" s="159"/>
      <c r="E157" s="148"/>
      <c r="F157" s="149"/>
      <c r="G157" s="158"/>
      <c r="H157" s="158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</row>
    <row r="158" spans="1:26" ht="24.75">
      <c r="A158" s="149"/>
      <c r="B158" s="146"/>
      <c r="C158" s="147"/>
      <c r="D158" s="159"/>
      <c r="E158" s="148"/>
      <c r="F158" s="149"/>
      <c r="G158" s="156"/>
      <c r="H158" s="156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</row>
    <row r="159" spans="1:26" ht="24.75">
      <c r="A159" s="149"/>
      <c r="B159" s="146"/>
      <c r="C159" s="147"/>
      <c r="D159" s="159"/>
      <c r="E159" s="148"/>
      <c r="F159" s="149"/>
      <c r="G159" s="158"/>
      <c r="H159" s="158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</row>
    <row r="160" spans="1:26" ht="24.75">
      <c r="A160" s="149"/>
      <c r="B160" s="146"/>
      <c r="C160" s="147"/>
      <c r="D160" s="159"/>
      <c r="E160" s="148"/>
      <c r="F160" s="149"/>
      <c r="G160" s="156"/>
      <c r="H160" s="156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</row>
    <row r="161" spans="1:26" ht="24.75">
      <c r="A161" s="149"/>
      <c r="B161" s="146"/>
      <c r="C161" s="147"/>
      <c r="D161" s="159"/>
      <c r="E161" s="148"/>
      <c r="F161" s="149"/>
      <c r="G161" s="158"/>
      <c r="H161" s="158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</row>
    <row r="162" spans="1:26" ht="24.75">
      <c r="A162" s="149"/>
      <c r="B162" s="146"/>
      <c r="C162" s="147"/>
      <c r="D162" s="159"/>
      <c r="E162" s="148"/>
      <c r="F162" s="149"/>
      <c r="G162" s="156"/>
      <c r="H162" s="156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</row>
    <row r="163" spans="1:26" ht="24.75">
      <c r="A163" s="149"/>
      <c r="B163" s="146"/>
      <c r="C163" s="147"/>
      <c r="D163" s="159"/>
      <c r="E163" s="148"/>
      <c r="F163" s="149"/>
      <c r="G163" s="158"/>
      <c r="H163" s="158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</row>
    <row r="164" spans="1:26" ht="24.75">
      <c r="A164" s="149"/>
      <c r="B164" s="146"/>
      <c r="C164" s="147"/>
      <c r="D164" s="159"/>
      <c r="E164" s="148"/>
      <c r="F164" s="149"/>
      <c r="G164" s="156"/>
      <c r="H164" s="156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</row>
    <row r="165" spans="1:26" ht="24.75">
      <c r="A165" s="149"/>
      <c r="B165" s="146"/>
      <c r="C165" s="147"/>
      <c r="D165" s="159"/>
      <c r="E165" s="148"/>
      <c r="F165" s="149"/>
      <c r="G165" s="158"/>
      <c r="H165" s="158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</row>
    <row r="166" spans="1:26" ht="24.75">
      <c r="A166" s="149"/>
      <c r="B166" s="146"/>
      <c r="C166" s="147"/>
      <c r="D166" s="159"/>
      <c r="E166" s="148"/>
      <c r="F166" s="149"/>
      <c r="G166" s="156"/>
      <c r="H166" s="156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</row>
    <row r="167" spans="1:26" ht="24.75">
      <c r="A167" s="149"/>
      <c r="B167" s="146"/>
      <c r="C167" s="147"/>
      <c r="D167" s="159"/>
      <c r="E167" s="148"/>
      <c r="F167" s="149"/>
      <c r="G167" s="158"/>
      <c r="H167" s="158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</row>
    <row r="168" spans="1:26" ht="24.75">
      <c r="A168" s="149"/>
      <c r="B168" s="146"/>
      <c r="C168" s="147"/>
      <c r="D168" s="159"/>
      <c r="E168" s="148"/>
      <c r="F168" s="149"/>
      <c r="G168" s="156"/>
      <c r="H168" s="156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</row>
    <row r="169" spans="1:26" ht="24.75">
      <c r="A169" s="149"/>
      <c r="B169" s="146"/>
      <c r="C169" s="147"/>
      <c r="D169" s="159"/>
      <c r="E169" s="148"/>
      <c r="F169" s="149"/>
      <c r="G169" s="158"/>
      <c r="H169" s="158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</row>
    <row r="170" spans="1:26" ht="24.75">
      <c r="A170" s="149"/>
      <c r="B170" s="146"/>
      <c r="C170" s="147"/>
      <c r="D170" s="159"/>
      <c r="E170" s="148"/>
      <c r="F170" s="149"/>
      <c r="G170" s="156"/>
      <c r="H170" s="156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</row>
    <row r="171" spans="1:26" ht="24.75">
      <c r="A171" s="149"/>
      <c r="B171" s="146"/>
      <c r="C171" s="147"/>
      <c r="D171" s="159"/>
      <c r="E171" s="148"/>
      <c r="F171" s="149"/>
      <c r="G171" s="158"/>
      <c r="H171" s="158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</row>
    <row r="172" spans="1:26" ht="24.75">
      <c r="A172" s="149"/>
      <c r="B172" s="146"/>
      <c r="C172" s="147"/>
      <c r="D172" s="159"/>
      <c r="E172" s="148"/>
      <c r="F172" s="149"/>
      <c r="G172" s="156"/>
      <c r="H172" s="156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</row>
    <row r="173" spans="1:26" ht="24.75">
      <c r="A173" s="149"/>
      <c r="B173" s="146"/>
      <c r="C173" s="147"/>
      <c r="D173" s="159"/>
      <c r="E173" s="148"/>
      <c r="F173" s="149"/>
      <c r="G173" s="158"/>
      <c r="H173" s="158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</row>
    <row r="174" spans="1:26" ht="24.75">
      <c r="A174" s="149"/>
      <c r="B174" s="146"/>
      <c r="C174" s="147"/>
      <c r="D174" s="159"/>
      <c r="E174" s="148"/>
      <c r="F174" s="149"/>
      <c r="G174" s="156"/>
      <c r="H174" s="156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</row>
    <row r="175" spans="1:26" ht="24.75">
      <c r="A175" s="149"/>
      <c r="B175" s="146"/>
      <c r="C175" s="147"/>
      <c r="D175" s="159"/>
      <c r="E175" s="148"/>
      <c r="F175" s="149"/>
      <c r="G175" s="158"/>
      <c r="H175" s="158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</row>
    <row r="176" spans="1:26" ht="24.75">
      <c r="A176" s="149"/>
      <c r="B176" s="146"/>
      <c r="C176" s="147"/>
      <c r="D176" s="159"/>
      <c r="E176" s="148"/>
      <c r="F176" s="149"/>
      <c r="G176" s="156"/>
      <c r="H176" s="156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</row>
    <row r="177" spans="1:26" ht="24.75">
      <c r="A177" s="149"/>
      <c r="B177" s="146"/>
      <c r="C177" s="147"/>
      <c r="D177" s="159"/>
      <c r="E177" s="148"/>
      <c r="F177" s="149"/>
      <c r="G177" s="158"/>
      <c r="H177" s="158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</row>
    <row r="178" spans="1:26" ht="24.75">
      <c r="A178" s="149"/>
      <c r="B178" s="146"/>
      <c r="C178" s="147"/>
      <c r="D178" s="159"/>
      <c r="E178" s="148"/>
      <c r="F178" s="149"/>
      <c r="G178" s="156"/>
      <c r="H178" s="156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</row>
    <row r="179" spans="1:26" ht="24.75">
      <c r="A179" s="149"/>
      <c r="B179" s="146"/>
      <c r="C179" s="147"/>
      <c r="D179" s="159"/>
      <c r="E179" s="148"/>
      <c r="F179" s="149"/>
      <c r="G179" s="158"/>
      <c r="H179" s="158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</row>
    <row r="180" spans="1:26" ht="24.75">
      <c r="A180" s="149"/>
      <c r="B180" s="146"/>
      <c r="C180" s="147"/>
      <c r="D180" s="159"/>
      <c r="E180" s="148"/>
      <c r="F180" s="149"/>
      <c r="G180" s="156"/>
      <c r="H180" s="156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</row>
    <row r="181" spans="1:26" ht="24.75">
      <c r="A181" s="149"/>
      <c r="B181" s="146"/>
      <c r="C181" s="147"/>
      <c r="D181" s="159"/>
      <c r="E181" s="148"/>
      <c r="F181" s="149"/>
      <c r="G181" s="158"/>
      <c r="H181" s="158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</row>
    <row r="182" spans="1:26" ht="24.75">
      <c r="A182" s="149"/>
      <c r="B182" s="146"/>
      <c r="C182" s="147"/>
      <c r="D182" s="159"/>
      <c r="E182" s="148"/>
      <c r="F182" s="149"/>
      <c r="G182" s="156"/>
      <c r="H182" s="156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</row>
    <row r="183" spans="1:26" ht="24.75">
      <c r="A183" s="149"/>
      <c r="B183" s="146"/>
      <c r="C183" s="147"/>
      <c r="D183" s="159"/>
      <c r="E183" s="148"/>
      <c r="F183" s="149"/>
      <c r="G183" s="158"/>
      <c r="H183" s="158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</row>
    <row r="184" spans="1:26" ht="24.75">
      <c r="A184" s="149"/>
      <c r="B184" s="146"/>
      <c r="C184" s="147"/>
      <c r="D184" s="159"/>
      <c r="E184" s="148"/>
      <c r="F184" s="149"/>
      <c r="G184" s="156"/>
      <c r="H184" s="156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</row>
    <row r="185" spans="1:26" ht="24.75">
      <c r="A185" s="149"/>
      <c r="B185" s="146"/>
      <c r="C185" s="147"/>
      <c r="D185" s="159"/>
      <c r="E185" s="148"/>
      <c r="F185" s="149"/>
      <c r="G185" s="158"/>
      <c r="H185" s="158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</row>
    <row r="186" spans="1:26" ht="24.75">
      <c r="A186" s="149"/>
      <c r="B186" s="146"/>
      <c r="C186" s="147"/>
      <c r="D186" s="159"/>
      <c r="E186" s="148"/>
      <c r="F186" s="149"/>
      <c r="G186" s="156"/>
      <c r="H186" s="156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</row>
    <row r="187" spans="1:26" ht="24.75">
      <c r="A187" s="149"/>
      <c r="B187" s="146"/>
      <c r="C187" s="147"/>
      <c r="D187" s="159"/>
      <c r="E187" s="148"/>
      <c r="F187" s="149"/>
      <c r="G187" s="158"/>
      <c r="H187" s="158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</row>
    <row r="188" spans="1:26" ht="24.75">
      <c r="A188" s="149"/>
      <c r="B188" s="146"/>
      <c r="C188" s="147"/>
      <c r="D188" s="159"/>
      <c r="E188" s="148"/>
      <c r="F188" s="149"/>
      <c r="G188" s="156"/>
      <c r="H188" s="156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</row>
    <row r="189" spans="1:26" ht="24.75">
      <c r="A189" s="149"/>
      <c r="B189" s="146"/>
      <c r="C189" s="147"/>
      <c r="D189" s="159"/>
      <c r="E189" s="148"/>
      <c r="F189" s="149"/>
      <c r="G189" s="158"/>
      <c r="H189" s="158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</row>
    <row r="190" spans="1:26" ht="24.75">
      <c r="A190" s="149"/>
      <c r="B190" s="146"/>
      <c r="C190" s="147"/>
      <c r="D190" s="159"/>
      <c r="E190" s="148"/>
      <c r="F190" s="149"/>
      <c r="G190" s="156"/>
      <c r="H190" s="156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</row>
    <row r="191" spans="1:26" ht="24.75">
      <c r="A191" s="149"/>
      <c r="B191" s="146"/>
      <c r="C191" s="147"/>
      <c r="D191" s="159"/>
      <c r="E191" s="148"/>
      <c r="F191" s="149"/>
      <c r="G191" s="158"/>
      <c r="H191" s="158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</row>
    <row r="192" spans="1:26" ht="24.75">
      <c r="A192" s="149"/>
      <c r="B192" s="146"/>
      <c r="C192" s="147"/>
      <c r="D192" s="159"/>
      <c r="E192" s="148"/>
      <c r="F192" s="149"/>
      <c r="G192" s="156"/>
      <c r="H192" s="156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</row>
    <row r="193" spans="1:26" ht="24.75">
      <c r="A193" s="149"/>
      <c r="B193" s="146"/>
      <c r="C193" s="147"/>
      <c r="D193" s="159"/>
      <c r="E193" s="148"/>
      <c r="F193" s="149"/>
      <c r="G193" s="158"/>
      <c r="H193" s="158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</row>
    <row r="194" spans="1:26" ht="24.75">
      <c r="A194" s="149"/>
      <c r="B194" s="146"/>
      <c r="C194" s="147"/>
      <c r="D194" s="159"/>
      <c r="E194" s="148"/>
      <c r="F194" s="149"/>
      <c r="G194" s="156"/>
      <c r="H194" s="156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</row>
    <row r="195" spans="1:26" ht="24.75">
      <c r="A195" s="149"/>
      <c r="B195" s="146"/>
      <c r="C195" s="147"/>
      <c r="D195" s="159"/>
      <c r="E195" s="148"/>
      <c r="F195" s="149"/>
      <c r="G195" s="158"/>
      <c r="H195" s="158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</row>
    <row r="196" spans="1:26" ht="24.75">
      <c r="A196" s="149"/>
      <c r="B196" s="146"/>
      <c r="C196" s="147"/>
      <c r="D196" s="159"/>
      <c r="E196" s="148"/>
      <c r="F196" s="149"/>
      <c r="G196" s="156"/>
      <c r="H196" s="156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</row>
    <row r="197" spans="1:26" ht="24.75">
      <c r="A197" s="149"/>
      <c r="B197" s="146"/>
      <c r="C197" s="147"/>
      <c r="D197" s="159"/>
      <c r="E197" s="148"/>
      <c r="F197" s="149"/>
      <c r="G197" s="158"/>
      <c r="H197" s="158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</row>
    <row r="198" spans="1:26" ht="24.75">
      <c r="A198" s="149"/>
      <c r="B198" s="146"/>
      <c r="C198" s="147"/>
      <c r="D198" s="159"/>
      <c r="E198" s="148"/>
      <c r="F198" s="149"/>
      <c r="G198" s="156"/>
      <c r="H198" s="156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</row>
    <row r="199" spans="1:26" ht="24.75">
      <c r="A199" s="149"/>
      <c r="B199" s="146"/>
      <c r="C199" s="147"/>
      <c r="D199" s="159"/>
      <c r="E199" s="148"/>
      <c r="F199" s="149"/>
      <c r="G199" s="158"/>
      <c r="H199" s="158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</row>
    <row r="200" spans="1:26" ht="24.75">
      <c r="A200" s="149"/>
      <c r="B200" s="146"/>
      <c r="C200" s="147"/>
      <c r="D200" s="159"/>
      <c r="E200" s="148"/>
      <c r="F200" s="149"/>
      <c r="G200" s="156"/>
      <c r="H200" s="156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</row>
    <row r="201" spans="1:26" ht="24.75">
      <c r="A201" s="149"/>
      <c r="B201" s="146"/>
      <c r="C201" s="147"/>
      <c r="D201" s="159"/>
      <c r="E201" s="148"/>
      <c r="F201" s="149"/>
      <c r="G201" s="158"/>
      <c r="H201" s="158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</row>
    <row r="202" spans="1:26" ht="24.75">
      <c r="A202" s="149"/>
      <c r="B202" s="146"/>
      <c r="C202" s="147"/>
      <c r="D202" s="159"/>
      <c r="E202" s="148"/>
      <c r="F202" s="149"/>
      <c r="G202" s="156"/>
      <c r="H202" s="156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</row>
    <row r="203" spans="1:26" ht="24.75">
      <c r="A203" s="149"/>
      <c r="B203" s="146"/>
      <c r="C203" s="147"/>
      <c r="D203" s="159"/>
      <c r="E203" s="148"/>
      <c r="F203" s="149"/>
      <c r="G203" s="158"/>
      <c r="H203" s="158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</row>
    <row r="204" spans="1:26" ht="24.75">
      <c r="A204" s="149"/>
      <c r="B204" s="146"/>
      <c r="C204" s="147"/>
      <c r="D204" s="159"/>
      <c r="E204" s="148"/>
      <c r="F204" s="149"/>
      <c r="G204" s="156"/>
      <c r="H204" s="156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</row>
    <row r="205" spans="1:26" ht="24.75">
      <c r="A205" s="149"/>
      <c r="B205" s="146"/>
      <c r="C205" s="147"/>
      <c r="D205" s="159"/>
      <c r="E205" s="148"/>
      <c r="F205" s="149"/>
      <c r="G205" s="158"/>
      <c r="H205" s="158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</row>
    <row r="206" spans="1:26" ht="24.75">
      <c r="A206" s="149"/>
      <c r="B206" s="146"/>
      <c r="C206" s="147"/>
      <c r="D206" s="159"/>
      <c r="E206" s="148"/>
      <c r="F206" s="149"/>
      <c r="G206" s="156"/>
      <c r="H206" s="156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</row>
    <row r="207" spans="1:26" ht="24.75">
      <c r="A207" s="149"/>
      <c r="B207" s="146"/>
      <c r="C207" s="147"/>
      <c r="D207" s="159"/>
      <c r="E207" s="148"/>
      <c r="F207" s="149"/>
      <c r="G207" s="158"/>
      <c r="H207" s="158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</row>
    <row r="208" spans="1:26" ht="24.75">
      <c r="A208" s="149"/>
      <c r="B208" s="146"/>
      <c r="C208" s="147"/>
      <c r="D208" s="159"/>
      <c r="E208" s="148"/>
      <c r="F208" s="149"/>
      <c r="G208" s="156"/>
      <c r="H208" s="156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</row>
    <row r="209" spans="1:26" ht="24.75">
      <c r="A209" s="149"/>
      <c r="B209" s="146"/>
      <c r="C209" s="147"/>
      <c r="D209" s="159"/>
      <c r="E209" s="148"/>
      <c r="F209" s="149"/>
      <c r="G209" s="158"/>
      <c r="H209" s="158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</row>
    <row r="210" spans="1:26" ht="24.75">
      <c r="A210" s="149"/>
      <c r="B210" s="146"/>
      <c r="C210" s="147"/>
      <c r="D210" s="159"/>
      <c r="E210" s="148"/>
      <c r="F210" s="149"/>
      <c r="G210" s="156"/>
      <c r="H210" s="156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</row>
    <row r="211" spans="1:26" ht="24.75">
      <c r="A211" s="149"/>
      <c r="B211" s="146"/>
      <c r="C211" s="147"/>
      <c r="D211" s="159"/>
      <c r="E211" s="148"/>
      <c r="F211" s="149"/>
      <c r="G211" s="158"/>
      <c r="H211" s="158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</row>
    <row r="212" spans="1:26" ht="24.75">
      <c r="A212" s="149"/>
      <c r="B212" s="146"/>
      <c r="C212" s="147"/>
      <c r="D212" s="159"/>
      <c r="E212" s="148"/>
      <c r="F212" s="149"/>
      <c r="G212" s="156"/>
      <c r="H212" s="156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</row>
    <row r="213" spans="1:26" ht="24.75">
      <c r="A213" s="149"/>
      <c r="B213" s="146"/>
      <c r="C213" s="147"/>
      <c r="D213" s="159"/>
      <c r="E213" s="148"/>
      <c r="F213" s="149"/>
      <c r="G213" s="158"/>
      <c r="H213" s="158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</row>
    <row r="214" spans="1:26" ht="24.75">
      <c r="A214" s="149"/>
      <c r="B214" s="146"/>
      <c r="C214" s="147"/>
      <c r="D214" s="159"/>
      <c r="E214" s="148"/>
      <c r="F214" s="149"/>
      <c r="G214" s="156"/>
      <c r="H214" s="156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</row>
    <row r="215" spans="1:26" ht="24.75">
      <c r="A215" s="149"/>
      <c r="B215" s="146"/>
      <c r="C215" s="147"/>
      <c r="D215" s="159"/>
      <c r="E215" s="148"/>
      <c r="F215" s="149"/>
      <c r="G215" s="158"/>
      <c r="H215" s="158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</row>
    <row r="216" spans="1:26" ht="24.75">
      <c r="A216" s="149"/>
      <c r="B216" s="146"/>
      <c r="C216" s="147"/>
      <c r="D216" s="159"/>
      <c r="E216" s="148"/>
      <c r="F216" s="149"/>
      <c r="G216" s="156"/>
      <c r="H216" s="156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</row>
    <row r="217" spans="1:26" ht="24.75">
      <c r="A217" s="149"/>
      <c r="B217" s="146"/>
      <c r="C217" s="147"/>
      <c r="D217" s="159"/>
      <c r="E217" s="148"/>
      <c r="F217" s="149"/>
      <c r="G217" s="158"/>
      <c r="H217" s="158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</row>
    <row r="218" spans="1:26" ht="24.75">
      <c r="A218" s="149"/>
      <c r="B218" s="146"/>
      <c r="C218" s="147"/>
      <c r="D218" s="159"/>
      <c r="E218" s="148"/>
      <c r="F218" s="149"/>
      <c r="G218" s="156"/>
      <c r="H218" s="156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</row>
    <row r="219" spans="1:26" ht="24.75">
      <c r="A219" s="149"/>
      <c r="B219" s="146"/>
      <c r="C219" s="147"/>
      <c r="D219" s="159"/>
      <c r="E219" s="148"/>
      <c r="F219" s="149"/>
      <c r="G219" s="158"/>
      <c r="H219" s="158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</row>
    <row r="220" spans="1:26" ht="24.75">
      <c r="A220" s="149"/>
      <c r="B220" s="146"/>
      <c r="C220" s="147"/>
      <c r="D220" s="159"/>
      <c r="E220" s="148"/>
      <c r="F220" s="149"/>
      <c r="G220" s="156"/>
      <c r="H220" s="156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</row>
    <row r="221" spans="1:26" ht="24.75">
      <c r="A221" s="149"/>
      <c r="B221" s="146"/>
      <c r="C221" s="147"/>
      <c r="D221" s="159"/>
      <c r="E221" s="148"/>
      <c r="F221" s="149"/>
      <c r="G221" s="158"/>
      <c r="H221" s="158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</row>
    <row r="222" spans="1:26" ht="24.75">
      <c r="A222" s="149"/>
      <c r="B222" s="146"/>
      <c r="C222" s="147"/>
      <c r="D222" s="159"/>
      <c r="E222" s="148"/>
      <c r="F222" s="149"/>
      <c r="G222" s="156"/>
      <c r="H222" s="156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</row>
    <row r="223" spans="1:26" ht="24.75">
      <c r="A223" s="149"/>
      <c r="B223" s="146"/>
      <c r="C223" s="147"/>
      <c r="D223" s="159"/>
      <c r="E223" s="148"/>
      <c r="F223" s="149"/>
      <c r="G223" s="158"/>
      <c r="H223" s="158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</row>
    <row r="224" spans="1:26" ht="24.75">
      <c r="A224" s="149"/>
      <c r="B224" s="146"/>
      <c r="C224" s="147"/>
      <c r="D224" s="159"/>
      <c r="E224" s="148"/>
      <c r="F224" s="149"/>
      <c r="G224" s="156"/>
      <c r="H224" s="156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</row>
    <row r="225" spans="1:26" ht="24.75">
      <c r="A225" s="149"/>
      <c r="B225" s="146"/>
      <c r="C225" s="147"/>
      <c r="D225" s="159"/>
      <c r="E225" s="148"/>
      <c r="F225" s="149"/>
      <c r="G225" s="158"/>
      <c r="H225" s="158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</row>
    <row r="226" spans="1:26" ht="24.75">
      <c r="A226" s="149"/>
      <c r="B226" s="146"/>
      <c r="C226" s="147"/>
      <c r="D226" s="159"/>
      <c r="E226" s="148"/>
      <c r="F226" s="149"/>
      <c r="G226" s="156"/>
      <c r="H226" s="156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</row>
    <row r="227" spans="1:26" ht="24.75">
      <c r="A227" s="149"/>
      <c r="B227" s="146"/>
      <c r="C227" s="147"/>
      <c r="D227" s="159"/>
      <c r="E227" s="148"/>
      <c r="F227" s="149"/>
      <c r="G227" s="158"/>
      <c r="H227" s="158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</row>
    <row r="228" spans="1:26" ht="24.75">
      <c r="A228" s="149"/>
      <c r="B228" s="146"/>
      <c r="C228" s="147"/>
      <c r="D228" s="159"/>
      <c r="E228" s="148"/>
      <c r="F228" s="149"/>
      <c r="G228" s="156"/>
      <c r="H228" s="156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</row>
    <row r="229" spans="1:26" ht="24.75">
      <c r="A229" s="149"/>
      <c r="B229" s="146"/>
      <c r="C229" s="147"/>
      <c r="D229" s="159"/>
      <c r="E229" s="148"/>
      <c r="F229" s="149"/>
      <c r="G229" s="158"/>
      <c r="H229" s="158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</row>
    <row r="230" spans="1:26" ht="24.75">
      <c r="A230" s="149"/>
      <c r="B230" s="146"/>
      <c r="C230" s="147"/>
      <c r="D230" s="159"/>
      <c r="E230" s="148"/>
      <c r="F230" s="149"/>
      <c r="G230" s="156"/>
      <c r="H230" s="156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</row>
    <row r="231" spans="1:26" ht="24.75">
      <c r="A231" s="149"/>
      <c r="B231" s="146"/>
      <c r="C231" s="147"/>
      <c r="D231" s="159"/>
      <c r="E231" s="148"/>
      <c r="F231" s="149"/>
      <c r="G231" s="158"/>
      <c r="H231" s="158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</row>
    <row r="232" spans="1:26" ht="24.75">
      <c r="A232" s="149"/>
      <c r="B232" s="146"/>
      <c r="C232" s="147"/>
      <c r="D232" s="159"/>
      <c r="E232" s="148"/>
      <c r="F232" s="149"/>
      <c r="G232" s="156"/>
      <c r="H232" s="156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</row>
    <row r="233" spans="1:26" ht="24.75">
      <c r="A233" s="149"/>
      <c r="B233" s="146"/>
      <c r="C233" s="147"/>
      <c r="D233" s="159"/>
      <c r="E233" s="148"/>
      <c r="F233" s="149"/>
      <c r="G233" s="158"/>
      <c r="H233" s="158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</row>
    <row r="234" spans="1:26" ht="24.75">
      <c r="A234" s="149"/>
      <c r="B234" s="146"/>
      <c r="C234" s="147"/>
      <c r="D234" s="159"/>
      <c r="E234" s="148"/>
      <c r="F234" s="149"/>
      <c r="G234" s="156"/>
      <c r="H234" s="156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</row>
    <row r="235" spans="1:26" ht="24.75">
      <c r="A235" s="149"/>
      <c r="B235" s="146"/>
      <c r="C235" s="147"/>
      <c r="D235" s="159"/>
      <c r="E235" s="148"/>
      <c r="F235" s="149"/>
      <c r="G235" s="158"/>
      <c r="H235" s="158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</row>
    <row r="236" spans="1:26" ht="24.75">
      <c r="A236" s="149"/>
      <c r="B236" s="146"/>
      <c r="C236" s="147"/>
      <c r="D236" s="159"/>
      <c r="E236" s="148"/>
      <c r="F236" s="149"/>
      <c r="G236" s="156"/>
      <c r="H236" s="156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</row>
    <row r="237" spans="1:26" ht="24.75">
      <c r="A237" s="149"/>
      <c r="B237" s="146"/>
      <c r="C237" s="147"/>
      <c r="D237" s="159"/>
      <c r="E237" s="148"/>
      <c r="F237" s="149"/>
      <c r="G237" s="158"/>
      <c r="H237" s="158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</row>
    <row r="238" spans="1:26" ht="24.75">
      <c r="A238" s="149"/>
      <c r="B238" s="146"/>
      <c r="C238" s="147"/>
      <c r="D238" s="159"/>
      <c r="E238" s="148"/>
      <c r="F238" s="149"/>
      <c r="G238" s="156"/>
      <c r="H238" s="156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</row>
    <row r="239" spans="1:26" ht="24.75">
      <c r="A239" s="149"/>
      <c r="B239" s="146"/>
      <c r="C239" s="147"/>
      <c r="D239" s="159"/>
      <c r="E239" s="148"/>
      <c r="F239" s="149"/>
      <c r="G239" s="158"/>
      <c r="H239" s="158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</row>
    <row r="240" spans="1:26" ht="24.75">
      <c r="A240" s="149"/>
      <c r="B240" s="146"/>
      <c r="C240" s="147"/>
      <c r="D240" s="159"/>
      <c r="E240" s="148"/>
      <c r="F240" s="149"/>
      <c r="G240" s="156"/>
      <c r="H240" s="156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</row>
    <row r="241" spans="1:26" ht="24.75">
      <c r="A241" s="149"/>
      <c r="B241" s="146"/>
      <c r="C241" s="147"/>
      <c r="D241" s="159"/>
      <c r="E241" s="148"/>
      <c r="F241" s="149"/>
      <c r="G241" s="158"/>
      <c r="H241" s="158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</row>
    <row r="242" spans="1:26" ht="24.75">
      <c r="A242" s="149"/>
      <c r="B242" s="146"/>
      <c r="C242" s="147"/>
      <c r="D242" s="159"/>
      <c r="E242" s="148"/>
      <c r="F242" s="149"/>
      <c r="G242" s="156"/>
      <c r="H242" s="156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</row>
    <row r="243" spans="1:26" ht="24.75">
      <c r="A243" s="149"/>
      <c r="B243" s="146"/>
      <c r="C243" s="147"/>
      <c r="D243" s="159"/>
      <c r="E243" s="148"/>
      <c r="F243" s="149"/>
      <c r="G243" s="158"/>
      <c r="H243" s="158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</row>
    <row r="244" spans="1:26" ht="24.75">
      <c r="A244" s="149"/>
      <c r="B244" s="146"/>
      <c r="C244" s="147"/>
      <c r="D244" s="159"/>
      <c r="E244" s="148"/>
      <c r="F244" s="149"/>
      <c r="G244" s="156"/>
      <c r="H244" s="156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</row>
    <row r="245" spans="1:26" ht="24.75">
      <c r="A245" s="149"/>
      <c r="B245" s="146"/>
      <c r="C245" s="147"/>
      <c r="D245" s="159"/>
      <c r="E245" s="148"/>
      <c r="F245" s="149"/>
      <c r="G245" s="158"/>
      <c r="H245" s="158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</row>
    <row r="246" spans="1:26" ht="24.75">
      <c r="A246" s="149"/>
      <c r="B246" s="146"/>
      <c r="C246" s="147"/>
      <c r="D246" s="159"/>
      <c r="E246" s="148"/>
      <c r="F246" s="149"/>
      <c r="G246" s="156"/>
      <c r="H246" s="156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</row>
    <row r="247" spans="1:26" ht="24.75">
      <c r="A247" s="149"/>
      <c r="B247" s="146"/>
      <c r="C247" s="147"/>
      <c r="D247" s="159"/>
      <c r="E247" s="148"/>
      <c r="F247" s="149"/>
      <c r="G247" s="158"/>
      <c r="H247" s="158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</row>
    <row r="248" spans="1:26" ht="24.75">
      <c r="A248" s="149"/>
      <c r="B248" s="146"/>
      <c r="C248" s="147"/>
      <c r="D248" s="159"/>
      <c r="E248" s="148"/>
      <c r="F248" s="149"/>
      <c r="G248" s="156"/>
      <c r="H248" s="156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</row>
    <row r="249" spans="1:26" ht="24.75">
      <c r="A249" s="149"/>
      <c r="B249" s="146"/>
      <c r="C249" s="147"/>
      <c r="D249" s="159"/>
      <c r="E249" s="148"/>
      <c r="F249" s="149"/>
      <c r="G249" s="158"/>
      <c r="H249" s="158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</row>
    <row r="250" spans="1:26" ht="24.75">
      <c r="A250" s="149"/>
      <c r="B250" s="146"/>
      <c r="C250" s="147"/>
      <c r="D250" s="159"/>
      <c r="E250" s="148"/>
      <c r="F250" s="149"/>
      <c r="G250" s="156"/>
      <c r="H250" s="156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</row>
    <row r="251" spans="1:26" ht="24.75">
      <c r="A251" s="149"/>
      <c r="B251" s="146"/>
      <c r="C251" s="147"/>
      <c r="D251" s="159"/>
      <c r="E251" s="148"/>
      <c r="F251" s="149"/>
      <c r="G251" s="158"/>
      <c r="H251" s="158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</row>
    <row r="252" spans="1:26" ht="24.75">
      <c r="A252" s="149"/>
      <c r="B252" s="146"/>
      <c r="C252" s="147"/>
      <c r="D252" s="159"/>
      <c r="E252" s="148"/>
      <c r="F252" s="149"/>
      <c r="G252" s="156"/>
      <c r="H252" s="156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</row>
    <row r="253" spans="1:26" ht="24.75">
      <c r="A253" s="149"/>
      <c r="B253" s="146"/>
      <c r="C253" s="147"/>
      <c r="D253" s="159"/>
      <c r="E253" s="148"/>
      <c r="F253" s="149"/>
      <c r="G253" s="158"/>
      <c r="H253" s="158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</row>
    <row r="254" spans="1:26" ht="24.75">
      <c r="A254" s="149"/>
      <c r="B254" s="146"/>
      <c r="C254" s="147"/>
      <c r="D254" s="159"/>
      <c r="E254" s="148"/>
      <c r="F254" s="149"/>
      <c r="G254" s="156"/>
      <c r="H254" s="156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</row>
    <row r="255" spans="1:26" ht="24.75">
      <c r="A255" s="149"/>
      <c r="B255" s="146"/>
      <c r="C255" s="147"/>
      <c r="D255" s="159"/>
      <c r="E255" s="148"/>
      <c r="F255" s="149"/>
      <c r="G255" s="158"/>
      <c r="H255" s="158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</row>
    <row r="256" spans="1:26" ht="24.75">
      <c r="A256" s="149"/>
      <c r="B256" s="146"/>
      <c r="C256" s="147"/>
      <c r="D256" s="159"/>
      <c r="E256" s="148"/>
      <c r="F256" s="149"/>
      <c r="G256" s="156"/>
      <c r="H256" s="156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</row>
    <row r="257" spans="1:26" ht="24.75">
      <c r="A257" s="149"/>
      <c r="B257" s="146"/>
      <c r="C257" s="147"/>
      <c r="D257" s="159"/>
      <c r="E257" s="148"/>
      <c r="F257" s="149"/>
      <c r="G257" s="158"/>
      <c r="H257" s="158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</row>
    <row r="258" spans="1:26" ht="24.75">
      <c r="A258" s="149"/>
      <c r="B258" s="146"/>
      <c r="C258" s="147"/>
      <c r="D258" s="159"/>
      <c r="E258" s="148"/>
      <c r="F258" s="149"/>
      <c r="G258" s="156"/>
      <c r="H258" s="156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</row>
    <row r="259" spans="1:26" ht="24.75">
      <c r="A259" s="149"/>
      <c r="B259" s="146"/>
      <c r="C259" s="147"/>
      <c r="D259" s="159"/>
      <c r="E259" s="148"/>
      <c r="F259" s="149"/>
      <c r="G259" s="158"/>
      <c r="H259" s="158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</row>
    <row r="260" spans="1:26" ht="24.75">
      <c r="A260" s="149"/>
      <c r="B260" s="146"/>
      <c r="C260" s="147"/>
      <c r="D260" s="159"/>
      <c r="E260" s="148"/>
      <c r="F260" s="149"/>
      <c r="G260" s="156"/>
      <c r="H260" s="156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</row>
    <row r="261" spans="1:26" ht="24.75">
      <c r="A261" s="149"/>
      <c r="B261" s="146"/>
      <c r="C261" s="147"/>
      <c r="D261" s="159"/>
      <c r="E261" s="148"/>
      <c r="F261" s="149"/>
      <c r="G261" s="158"/>
      <c r="H261" s="158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</row>
    <row r="262" spans="1:26" ht="24.75">
      <c r="A262" s="149"/>
      <c r="B262" s="146"/>
      <c r="C262" s="147"/>
      <c r="D262" s="159"/>
      <c r="E262" s="148"/>
      <c r="F262" s="149"/>
      <c r="G262" s="156"/>
      <c r="H262" s="156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</row>
    <row r="263" spans="1:26" ht="24.75">
      <c r="A263" s="149"/>
      <c r="B263" s="146"/>
      <c r="C263" s="147"/>
      <c r="D263" s="159"/>
      <c r="E263" s="148"/>
      <c r="F263" s="149"/>
      <c r="G263" s="158"/>
      <c r="H263" s="158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</row>
    <row r="264" spans="1:26" ht="24.75">
      <c r="A264" s="149"/>
      <c r="B264" s="146"/>
      <c r="C264" s="147"/>
      <c r="D264" s="159"/>
      <c r="E264" s="148"/>
      <c r="F264" s="149"/>
      <c r="G264" s="156"/>
      <c r="H264" s="156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</row>
    <row r="265" spans="1:26" ht="24.75">
      <c r="A265" s="149"/>
      <c r="B265" s="146"/>
      <c r="C265" s="147"/>
      <c r="D265" s="159"/>
      <c r="E265" s="148"/>
      <c r="F265" s="149"/>
      <c r="G265" s="158"/>
      <c r="H265" s="158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</row>
    <row r="266" spans="1:26" ht="24.75">
      <c r="A266" s="149"/>
      <c r="B266" s="146"/>
      <c r="C266" s="147"/>
      <c r="D266" s="159"/>
      <c r="E266" s="148"/>
      <c r="F266" s="149"/>
      <c r="G266" s="156"/>
      <c r="H266" s="156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</row>
    <row r="267" spans="1:26" ht="24.75">
      <c r="A267" s="149"/>
      <c r="B267" s="146"/>
      <c r="C267" s="147"/>
      <c r="D267" s="159"/>
      <c r="E267" s="148"/>
      <c r="F267" s="149"/>
      <c r="G267" s="158"/>
      <c r="H267" s="158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</row>
    <row r="268" spans="1:26" ht="24.75">
      <c r="A268" s="149"/>
      <c r="B268" s="146"/>
      <c r="C268" s="147"/>
      <c r="D268" s="159"/>
      <c r="E268" s="148"/>
      <c r="F268" s="149"/>
      <c r="G268" s="156"/>
      <c r="H268" s="156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</row>
    <row r="269" spans="1:26" ht="24.75">
      <c r="A269" s="149"/>
      <c r="B269" s="146"/>
      <c r="C269" s="147"/>
      <c r="D269" s="159"/>
      <c r="E269" s="148"/>
      <c r="F269" s="149"/>
      <c r="G269" s="158"/>
      <c r="H269" s="158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</row>
    <row r="270" spans="1:26" ht="24.75">
      <c r="A270" s="149"/>
      <c r="B270" s="146"/>
      <c r="C270" s="147"/>
      <c r="D270" s="159"/>
      <c r="E270" s="148"/>
      <c r="F270" s="149"/>
      <c r="G270" s="156"/>
      <c r="H270" s="156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</row>
    <row r="271" spans="1:26" ht="24.75">
      <c r="A271" s="149"/>
      <c r="B271" s="146"/>
      <c r="C271" s="147"/>
      <c r="D271" s="159"/>
      <c r="E271" s="148"/>
      <c r="F271" s="149"/>
      <c r="G271" s="158"/>
      <c r="H271" s="158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</row>
    <row r="272" spans="1:26" ht="24.75">
      <c r="A272" s="149"/>
      <c r="B272" s="146"/>
      <c r="C272" s="147"/>
      <c r="D272" s="159"/>
      <c r="E272" s="148"/>
      <c r="F272" s="149"/>
      <c r="G272" s="156"/>
      <c r="H272" s="156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</row>
    <row r="273" spans="1:26" ht="24.75">
      <c r="A273" s="149"/>
      <c r="B273" s="146"/>
      <c r="C273" s="147"/>
      <c r="D273" s="159"/>
      <c r="E273" s="148"/>
      <c r="F273" s="149"/>
      <c r="G273" s="158"/>
      <c r="H273" s="158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</row>
    <row r="274" spans="1:26" ht="24.75">
      <c r="A274" s="149"/>
      <c r="B274" s="146"/>
      <c r="C274" s="147"/>
      <c r="D274" s="159"/>
      <c r="E274" s="148"/>
      <c r="F274" s="149"/>
      <c r="G274" s="156"/>
      <c r="H274" s="156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</row>
    <row r="275" spans="1:26" ht="24.75">
      <c r="A275" s="149"/>
      <c r="B275" s="146"/>
      <c r="C275" s="147"/>
      <c r="D275" s="159"/>
      <c r="E275" s="148"/>
      <c r="F275" s="149"/>
      <c r="G275" s="158"/>
      <c r="H275" s="158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</row>
    <row r="276" spans="1:26" ht="24.75">
      <c r="A276" s="149"/>
      <c r="B276" s="146"/>
      <c r="C276" s="147"/>
      <c r="D276" s="159"/>
      <c r="E276" s="148"/>
      <c r="F276" s="149"/>
      <c r="G276" s="156"/>
      <c r="H276" s="156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</row>
    <row r="277" spans="1:26" ht="24.75">
      <c r="A277" s="149"/>
      <c r="B277" s="146"/>
      <c r="C277" s="147"/>
      <c r="D277" s="159"/>
      <c r="E277" s="148"/>
      <c r="F277" s="149"/>
      <c r="G277" s="158"/>
      <c r="H277" s="158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</row>
    <row r="278" spans="1:26" ht="24.75">
      <c r="A278" s="149"/>
      <c r="B278" s="146"/>
      <c r="C278" s="147"/>
      <c r="D278" s="159"/>
      <c r="E278" s="148"/>
      <c r="F278" s="149"/>
      <c r="G278" s="156"/>
      <c r="H278" s="156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</row>
    <row r="279" spans="1:26" ht="24.75">
      <c r="A279" s="149"/>
      <c r="B279" s="146"/>
      <c r="C279" s="147"/>
      <c r="D279" s="159"/>
      <c r="E279" s="148"/>
      <c r="F279" s="149"/>
      <c r="G279" s="158"/>
      <c r="H279" s="158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</row>
    <row r="280" spans="1:26" ht="24.75">
      <c r="A280" s="149"/>
      <c r="B280" s="146"/>
      <c r="C280" s="147"/>
      <c r="D280" s="159"/>
      <c r="E280" s="148"/>
      <c r="F280" s="149"/>
      <c r="G280" s="156"/>
      <c r="H280" s="156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</row>
    <row r="281" spans="1:26" ht="24.75">
      <c r="A281" s="149"/>
      <c r="B281" s="146"/>
      <c r="C281" s="147"/>
      <c r="D281" s="159"/>
      <c r="E281" s="148"/>
      <c r="F281" s="149"/>
      <c r="G281" s="158"/>
      <c r="H281" s="158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</row>
    <row r="282" spans="1:26" ht="24.75">
      <c r="A282" s="149"/>
      <c r="B282" s="146"/>
      <c r="C282" s="147"/>
      <c r="D282" s="159"/>
      <c r="E282" s="148"/>
      <c r="F282" s="149"/>
      <c r="G282" s="156"/>
      <c r="H282" s="156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</row>
    <row r="283" spans="1:26" ht="24.75">
      <c r="A283" s="149"/>
      <c r="B283" s="146"/>
      <c r="C283" s="147"/>
      <c r="D283" s="159"/>
      <c r="E283" s="148"/>
      <c r="F283" s="149"/>
      <c r="G283" s="158"/>
      <c r="H283" s="158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</row>
    <row r="284" spans="1:26" ht="24.75">
      <c r="A284" s="149"/>
      <c r="B284" s="146"/>
      <c r="C284" s="147"/>
      <c r="D284" s="159"/>
      <c r="E284" s="148"/>
      <c r="F284" s="149"/>
      <c r="G284" s="156"/>
      <c r="H284" s="156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</row>
    <row r="285" spans="1:26" ht="24.75">
      <c r="A285" s="149"/>
      <c r="B285" s="146"/>
      <c r="C285" s="147"/>
      <c r="D285" s="159"/>
      <c r="E285" s="148"/>
      <c r="F285" s="149"/>
      <c r="G285" s="158"/>
      <c r="H285" s="158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</row>
    <row r="286" spans="1:26" ht="24.75">
      <c r="A286" s="149"/>
      <c r="B286" s="146"/>
      <c r="C286" s="147"/>
      <c r="D286" s="159"/>
      <c r="E286" s="148"/>
      <c r="F286" s="149"/>
      <c r="G286" s="156"/>
      <c r="H286" s="156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</row>
    <row r="287" spans="1:26" ht="24.75">
      <c r="A287" s="149"/>
      <c r="B287" s="146"/>
      <c r="C287" s="147"/>
      <c r="D287" s="159"/>
      <c r="E287" s="148"/>
      <c r="F287" s="149"/>
      <c r="G287" s="158"/>
      <c r="H287" s="158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</row>
    <row r="288" spans="1:26" ht="24.75">
      <c r="A288" s="149"/>
      <c r="B288" s="146"/>
      <c r="C288" s="147"/>
      <c r="D288" s="159"/>
      <c r="E288" s="148"/>
      <c r="F288" s="149"/>
      <c r="G288" s="156"/>
      <c r="H288" s="156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</row>
    <row r="289" spans="1:26" ht="24.75">
      <c r="A289" s="149"/>
      <c r="B289" s="146"/>
      <c r="C289" s="147"/>
      <c r="D289" s="159"/>
      <c r="E289" s="148"/>
      <c r="F289" s="149"/>
      <c r="G289" s="158"/>
      <c r="H289" s="158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</row>
    <row r="290" spans="1:26" ht="24.75">
      <c r="A290" s="149"/>
      <c r="B290" s="146"/>
      <c r="C290" s="147"/>
      <c r="D290" s="159"/>
      <c r="E290" s="148"/>
      <c r="F290" s="149"/>
      <c r="G290" s="156"/>
      <c r="H290" s="156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</row>
    <row r="291" spans="1:26" ht="24.75">
      <c r="A291" s="149"/>
      <c r="B291" s="146"/>
      <c r="C291" s="147"/>
      <c r="D291" s="159"/>
      <c r="E291" s="148"/>
      <c r="F291" s="149"/>
      <c r="G291" s="158"/>
      <c r="H291" s="158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</row>
    <row r="292" spans="1:26" ht="24.75">
      <c r="A292" s="149"/>
      <c r="B292" s="146"/>
      <c r="C292" s="147"/>
      <c r="D292" s="159"/>
      <c r="E292" s="148"/>
      <c r="F292" s="149"/>
      <c r="G292" s="156"/>
      <c r="H292" s="156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</row>
    <row r="293" spans="1:26" ht="24.75">
      <c r="A293" s="149"/>
      <c r="B293" s="146"/>
      <c r="C293" s="147"/>
      <c r="D293" s="159"/>
      <c r="E293" s="148"/>
      <c r="F293" s="149"/>
      <c r="G293" s="158"/>
      <c r="H293" s="158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</row>
    <row r="294" spans="1:26" ht="24.75">
      <c r="A294" s="149"/>
      <c r="B294" s="146"/>
      <c r="C294" s="147"/>
      <c r="D294" s="159"/>
      <c r="E294" s="148"/>
      <c r="F294" s="149"/>
      <c r="G294" s="156"/>
      <c r="H294" s="156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</row>
    <row r="295" spans="1:26" ht="24.75">
      <c r="A295" s="149"/>
      <c r="B295" s="146"/>
      <c r="C295" s="147"/>
      <c r="D295" s="159"/>
      <c r="E295" s="148"/>
      <c r="F295" s="149"/>
      <c r="G295" s="158"/>
      <c r="H295" s="158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</row>
    <row r="296" spans="1:26" ht="24.75">
      <c r="A296" s="149"/>
      <c r="B296" s="146"/>
      <c r="C296" s="147"/>
      <c r="D296" s="159"/>
      <c r="E296" s="148"/>
      <c r="F296" s="149"/>
      <c r="G296" s="156"/>
      <c r="H296" s="156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</row>
    <row r="297" spans="1:26" ht="24.75">
      <c r="A297" s="149"/>
      <c r="B297" s="146"/>
      <c r="C297" s="147"/>
      <c r="D297" s="159"/>
      <c r="E297" s="148"/>
      <c r="F297" s="149"/>
      <c r="G297" s="158"/>
      <c r="H297" s="158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</row>
    <row r="298" spans="1:26" ht="24.75">
      <c r="A298" s="149"/>
      <c r="B298" s="146"/>
      <c r="C298" s="147"/>
      <c r="D298" s="159"/>
      <c r="E298" s="148"/>
      <c r="F298" s="149"/>
      <c r="G298" s="156"/>
      <c r="H298" s="156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</row>
    <row r="299" spans="1:26" ht="24.75">
      <c r="A299" s="149"/>
      <c r="B299" s="146"/>
      <c r="C299" s="147"/>
      <c r="D299" s="159"/>
      <c r="E299" s="148"/>
      <c r="F299" s="149"/>
      <c r="G299" s="158"/>
      <c r="H299" s="158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</row>
    <row r="300" spans="1:26" ht="24.75">
      <c r="A300" s="149"/>
      <c r="B300" s="146"/>
      <c r="C300" s="147"/>
      <c r="D300" s="159"/>
      <c r="E300" s="148"/>
      <c r="F300" s="149"/>
      <c r="G300" s="156"/>
      <c r="H300" s="156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</row>
    <row r="301" spans="1:26" ht="24.75">
      <c r="A301" s="149"/>
      <c r="B301" s="146"/>
      <c r="C301" s="147"/>
      <c r="D301" s="159"/>
      <c r="E301" s="148"/>
      <c r="F301" s="149"/>
      <c r="G301" s="158"/>
      <c r="H301" s="158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9"/>
    </row>
    <row r="302" spans="1:26" ht="24.75">
      <c r="A302" s="149"/>
      <c r="B302" s="146"/>
      <c r="C302" s="147"/>
      <c r="D302" s="159"/>
      <c r="E302" s="148"/>
      <c r="F302" s="149"/>
      <c r="G302" s="156"/>
      <c r="H302" s="156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</row>
    <row r="303" spans="1:26" ht="24.75">
      <c r="A303" s="149"/>
      <c r="B303" s="146"/>
      <c r="C303" s="147"/>
      <c r="D303" s="159"/>
      <c r="E303" s="148"/>
      <c r="F303" s="149"/>
      <c r="G303" s="158"/>
      <c r="H303" s="158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9"/>
    </row>
    <row r="304" spans="1:26" ht="24.75">
      <c r="A304" s="149"/>
      <c r="B304" s="146"/>
      <c r="C304" s="147"/>
      <c r="D304" s="159"/>
      <c r="E304" s="148"/>
      <c r="F304" s="149"/>
      <c r="G304" s="156"/>
      <c r="H304" s="156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9"/>
    </row>
    <row r="305" spans="1:26" ht="24.75">
      <c r="A305" s="149"/>
      <c r="B305" s="146"/>
      <c r="C305" s="147"/>
      <c r="D305" s="159"/>
      <c r="E305" s="148"/>
      <c r="F305" s="149"/>
      <c r="G305" s="158"/>
      <c r="H305" s="158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</row>
    <row r="306" spans="1:26" ht="24.75">
      <c r="A306" s="149"/>
      <c r="B306" s="146"/>
      <c r="C306" s="147"/>
      <c r="D306" s="159"/>
      <c r="E306" s="148"/>
      <c r="F306" s="149"/>
      <c r="G306" s="156"/>
      <c r="H306" s="156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</row>
    <row r="307" spans="1:26" ht="24.75">
      <c r="A307" s="149"/>
      <c r="B307" s="146"/>
      <c r="C307" s="147"/>
      <c r="D307" s="159"/>
      <c r="E307" s="148"/>
      <c r="F307" s="149"/>
      <c r="G307" s="158"/>
      <c r="H307" s="158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</row>
    <row r="308" spans="1:26" ht="24.75">
      <c r="A308" s="149"/>
      <c r="B308" s="146"/>
      <c r="C308" s="147"/>
      <c r="D308" s="159"/>
      <c r="E308" s="148"/>
      <c r="F308" s="149"/>
      <c r="G308" s="156"/>
      <c r="H308" s="156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</row>
    <row r="309" spans="1:26" ht="24.75">
      <c r="A309" s="149"/>
      <c r="B309" s="146"/>
      <c r="C309" s="147"/>
      <c r="D309" s="159"/>
      <c r="E309" s="148"/>
      <c r="F309" s="149"/>
      <c r="G309" s="158"/>
      <c r="H309" s="158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</row>
    <row r="310" spans="1:26" ht="24.75">
      <c r="A310" s="149"/>
      <c r="B310" s="146"/>
      <c r="C310" s="147"/>
      <c r="D310" s="159"/>
      <c r="E310" s="148"/>
      <c r="F310" s="149"/>
      <c r="G310" s="156"/>
      <c r="H310" s="156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/>
    </row>
    <row r="311" spans="1:26" ht="24.75">
      <c r="A311" s="149"/>
      <c r="B311" s="146"/>
      <c r="C311" s="147"/>
      <c r="D311" s="159"/>
      <c r="E311" s="148"/>
      <c r="F311" s="149"/>
      <c r="G311" s="158"/>
      <c r="H311" s="158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9"/>
    </row>
    <row r="312" spans="1:26" ht="24.75">
      <c r="A312" s="149"/>
      <c r="B312" s="146"/>
      <c r="C312" s="147"/>
      <c r="D312" s="159"/>
      <c r="E312" s="148"/>
      <c r="F312" s="149"/>
      <c r="G312" s="156"/>
      <c r="H312" s="156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</row>
    <row r="313" spans="1:26" ht="24.75">
      <c r="A313" s="149"/>
      <c r="B313" s="146"/>
      <c r="C313" s="147"/>
      <c r="D313" s="159"/>
      <c r="E313" s="148"/>
      <c r="F313" s="149"/>
      <c r="G313" s="158"/>
      <c r="H313" s="158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9"/>
    </row>
    <row r="314" spans="1:26" ht="24.75">
      <c r="A314" s="149"/>
      <c r="B314" s="146"/>
      <c r="C314" s="147"/>
      <c r="D314" s="159"/>
      <c r="E314" s="148"/>
      <c r="F314" s="149"/>
      <c r="G314" s="156"/>
      <c r="H314" s="156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</row>
    <row r="315" spans="1:26" ht="24.75">
      <c r="A315" s="149"/>
      <c r="B315" s="146"/>
      <c r="C315" s="147"/>
      <c r="D315" s="159"/>
      <c r="E315" s="148"/>
      <c r="F315" s="149"/>
      <c r="G315" s="158"/>
      <c r="H315" s="158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</row>
    <row r="316" spans="1:26" ht="24.75">
      <c r="A316" s="149"/>
      <c r="B316" s="146"/>
      <c r="C316" s="147"/>
      <c r="D316" s="159"/>
      <c r="E316" s="148"/>
      <c r="F316" s="149"/>
      <c r="G316" s="156"/>
      <c r="H316" s="156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</row>
    <row r="317" spans="1:26" ht="24.75">
      <c r="A317" s="149"/>
      <c r="B317" s="146"/>
      <c r="C317" s="147"/>
      <c r="D317" s="159"/>
      <c r="E317" s="148"/>
      <c r="F317" s="149"/>
      <c r="G317" s="158"/>
      <c r="H317" s="158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</row>
    <row r="318" spans="1:26" ht="24.75">
      <c r="A318" s="149"/>
      <c r="B318" s="146"/>
      <c r="C318" s="147"/>
      <c r="D318" s="159"/>
      <c r="E318" s="148"/>
      <c r="F318" s="149"/>
      <c r="G318" s="156"/>
      <c r="H318" s="156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</row>
    <row r="319" spans="1:26" ht="24.75">
      <c r="A319" s="149"/>
      <c r="B319" s="146"/>
      <c r="C319" s="147"/>
      <c r="D319" s="159"/>
      <c r="E319" s="148"/>
      <c r="F319" s="149"/>
      <c r="G319" s="158"/>
      <c r="H319" s="158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</row>
    <row r="320" spans="1:26" ht="24.75">
      <c r="A320" s="149"/>
      <c r="B320" s="146"/>
      <c r="C320" s="147"/>
      <c r="D320" s="159"/>
      <c r="E320" s="148"/>
      <c r="F320" s="149"/>
      <c r="G320" s="156"/>
      <c r="H320" s="156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</row>
    <row r="321" spans="1:26" ht="24.75">
      <c r="A321" s="149"/>
      <c r="B321" s="146"/>
      <c r="C321" s="147"/>
      <c r="D321" s="159"/>
      <c r="E321" s="148"/>
      <c r="F321" s="149"/>
      <c r="G321" s="158"/>
      <c r="H321" s="158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</row>
    <row r="322" spans="1:26" ht="24.75">
      <c r="A322" s="149"/>
      <c r="B322" s="146"/>
      <c r="C322" s="147"/>
      <c r="D322" s="159"/>
      <c r="E322" s="148"/>
      <c r="F322" s="149"/>
      <c r="G322" s="156"/>
      <c r="H322" s="156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</row>
    <row r="323" spans="1:26" ht="24.75">
      <c r="A323" s="149"/>
      <c r="B323" s="146"/>
      <c r="C323" s="147"/>
      <c r="D323" s="159"/>
      <c r="E323" s="148"/>
      <c r="F323" s="149"/>
      <c r="G323" s="158"/>
      <c r="H323" s="158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</row>
    <row r="324" spans="1:26" ht="24.75">
      <c r="A324" s="149"/>
      <c r="B324" s="146"/>
      <c r="C324" s="147"/>
      <c r="D324" s="159"/>
      <c r="E324" s="148"/>
      <c r="F324" s="149"/>
      <c r="G324" s="156"/>
      <c r="H324" s="156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9"/>
    </row>
    <row r="325" spans="1:26" ht="24.75">
      <c r="A325" s="149"/>
      <c r="B325" s="146"/>
      <c r="C325" s="147"/>
      <c r="D325" s="159"/>
      <c r="E325" s="148"/>
      <c r="F325" s="149"/>
      <c r="G325" s="158"/>
      <c r="H325" s="158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</row>
    <row r="326" spans="1:26" ht="24.75">
      <c r="A326" s="149"/>
      <c r="B326" s="146"/>
      <c r="C326" s="147"/>
      <c r="D326" s="159"/>
      <c r="E326" s="148"/>
      <c r="F326" s="149"/>
      <c r="G326" s="156"/>
      <c r="H326" s="156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</row>
    <row r="327" spans="1:26" ht="24.75">
      <c r="A327" s="149"/>
      <c r="B327" s="146"/>
      <c r="C327" s="147"/>
      <c r="D327" s="159"/>
      <c r="E327" s="148"/>
      <c r="F327" s="149"/>
      <c r="G327" s="158"/>
      <c r="H327" s="158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</row>
    <row r="328" spans="1:26" ht="24.75">
      <c r="A328" s="149"/>
      <c r="B328" s="146"/>
      <c r="C328" s="147"/>
      <c r="D328" s="159"/>
      <c r="E328" s="148"/>
      <c r="F328" s="149"/>
      <c r="G328" s="156"/>
      <c r="H328" s="156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/>
    </row>
    <row r="329" spans="1:26" ht="24.75">
      <c r="A329" s="149"/>
      <c r="B329" s="146"/>
      <c r="C329" s="147"/>
      <c r="D329" s="159"/>
      <c r="E329" s="148"/>
      <c r="F329" s="149"/>
      <c r="G329" s="158"/>
      <c r="H329" s="158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</row>
    <row r="330" spans="1:26" ht="24.75">
      <c r="A330" s="149"/>
      <c r="B330" s="146"/>
      <c r="C330" s="147"/>
      <c r="D330" s="159"/>
      <c r="E330" s="148"/>
      <c r="F330" s="149"/>
      <c r="G330" s="156"/>
      <c r="H330" s="156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</row>
    <row r="331" spans="1:26" ht="24.75">
      <c r="A331" s="149"/>
      <c r="B331" s="146"/>
      <c r="C331" s="147"/>
      <c r="D331" s="159"/>
      <c r="E331" s="148"/>
      <c r="F331" s="149"/>
      <c r="G331" s="158"/>
      <c r="H331" s="158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9"/>
    </row>
    <row r="332" spans="1:26" ht="24.75">
      <c r="A332" s="149"/>
      <c r="B332" s="146"/>
      <c r="C332" s="147"/>
      <c r="D332" s="159"/>
      <c r="E332" s="148"/>
      <c r="F332" s="149"/>
      <c r="G332" s="156"/>
      <c r="H332" s="156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</row>
    <row r="333" spans="1:26" ht="24.75">
      <c r="A333" s="149"/>
      <c r="B333" s="146"/>
      <c r="C333" s="147"/>
      <c r="D333" s="159"/>
      <c r="E333" s="148"/>
      <c r="F333" s="149"/>
      <c r="G333" s="158"/>
      <c r="H333" s="158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</row>
    <row r="334" spans="1:26" ht="24.75">
      <c r="A334" s="149"/>
      <c r="B334" s="146"/>
      <c r="C334" s="147"/>
      <c r="D334" s="159"/>
      <c r="E334" s="148"/>
      <c r="F334" s="149"/>
      <c r="G334" s="156"/>
      <c r="H334" s="156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</row>
    <row r="335" spans="1:26" ht="24.75">
      <c r="A335" s="149"/>
      <c r="B335" s="146"/>
      <c r="C335" s="147"/>
      <c r="D335" s="159"/>
      <c r="E335" s="148"/>
      <c r="F335" s="149"/>
      <c r="G335" s="158"/>
      <c r="H335" s="158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</row>
    <row r="336" spans="1:26" ht="24.75">
      <c r="A336" s="149"/>
      <c r="B336" s="146"/>
      <c r="C336" s="147"/>
      <c r="D336" s="159"/>
      <c r="E336" s="148"/>
      <c r="F336" s="149"/>
      <c r="G336" s="156"/>
      <c r="H336" s="156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</row>
    <row r="337" spans="1:26" ht="24.75">
      <c r="A337" s="149"/>
      <c r="B337" s="146"/>
      <c r="C337" s="147"/>
      <c r="D337" s="159"/>
      <c r="E337" s="148"/>
      <c r="F337" s="149"/>
      <c r="G337" s="158"/>
      <c r="H337" s="158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</row>
    <row r="338" spans="1:26" ht="24.75">
      <c r="A338" s="149"/>
      <c r="B338" s="146"/>
      <c r="C338" s="147"/>
      <c r="D338" s="159"/>
      <c r="E338" s="148"/>
      <c r="F338" s="149"/>
      <c r="G338" s="156"/>
      <c r="H338" s="156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9"/>
    </row>
    <row r="339" spans="1:26" ht="24.75">
      <c r="A339" s="149"/>
      <c r="B339" s="146"/>
      <c r="C339" s="147"/>
      <c r="D339" s="159"/>
      <c r="E339" s="148"/>
      <c r="F339" s="149"/>
      <c r="G339" s="158"/>
      <c r="H339" s="158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/>
    </row>
    <row r="340" spans="1:26" ht="24.75">
      <c r="A340" s="149"/>
      <c r="B340" s="146"/>
      <c r="C340" s="147"/>
      <c r="D340" s="159"/>
      <c r="E340" s="148"/>
      <c r="F340" s="149"/>
      <c r="G340" s="156"/>
      <c r="H340" s="156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/>
    </row>
    <row r="341" spans="1:26" ht="24.75">
      <c r="A341" s="149"/>
      <c r="B341" s="146"/>
      <c r="C341" s="147"/>
      <c r="D341" s="159"/>
      <c r="E341" s="148"/>
      <c r="F341" s="149"/>
      <c r="G341" s="158"/>
      <c r="H341" s="158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</row>
    <row r="342" spans="1:26" ht="24.75">
      <c r="A342" s="149"/>
      <c r="B342" s="146"/>
      <c r="C342" s="147"/>
      <c r="D342" s="159"/>
      <c r="E342" s="148"/>
      <c r="F342" s="149"/>
      <c r="G342" s="156"/>
      <c r="H342" s="156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9"/>
    </row>
    <row r="343" spans="1:26" ht="24.75">
      <c r="A343" s="149"/>
      <c r="B343" s="146"/>
      <c r="C343" s="147"/>
      <c r="D343" s="159"/>
      <c r="E343" s="148"/>
      <c r="F343" s="149"/>
      <c r="G343" s="158"/>
      <c r="H343" s="158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9"/>
    </row>
    <row r="344" spans="1:26" ht="24.75">
      <c r="A344" s="149"/>
      <c r="B344" s="146"/>
      <c r="C344" s="147"/>
      <c r="D344" s="159"/>
      <c r="E344" s="148"/>
      <c r="F344" s="149"/>
      <c r="G344" s="156"/>
      <c r="H344" s="156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9"/>
    </row>
    <row r="345" spans="1:26" ht="24.75">
      <c r="A345" s="149"/>
      <c r="B345" s="146"/>
      <c r="C345" s="147"/>
      <c r="D345" s="159"/>
      <c r="E345" s="148"/>
      <c r="F345" s="149"/>
      <c r="G345" s="158"/>
      <c r="H345" s="158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9"/>
    </row>
    <row r="346" spans="1:26" ht="24.75">
      <c r="A346" s="149"/>
      <c r="B346" s="146"/>
      <c r="C346" s="147"/>
      <c r="D346" s="159"/>
      <c r="E346" s="148"/>
      <c r="F346" s="149"/>
      <c r="G346" s="156"/>
      <c r="H346" s="156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9"/>
    </row>
    <row r="347" spans="1:26" ht="24.75">
      <c r="A347" s="149"/>
      <c r="B347" s="146"/>
      <c r="C347" s="147"/>
      <c r="D347" s="159"/>
      <c r="E347" s="148"/>
      <c r="F347" s="149"/>
      <c r="G347" s="158"/>
      <c r="H347" s="158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</row>
    <row r="348" spans="1:26" ht="24.75">
      <c r="A348" s="149"/>
      <c r="B348" s="146"/>
      <c r="C348" s="147"/>
      <c r="D348" s="159"/>
      <c r="E348" s="148"/>
      <c r="F348" s="149"/>
      <c r="G348" s="156"/>
      <c r="H348" s="156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</row>
    <row r="349" spans="1:26" ht="24.75">
      <c r="A349" s="149"/>
      <c r="B349" s="146"/>
      <c r="C349" s="147"/>
      <c r="D349" s="159"/>
      <c r="E349" s="148"/>
      <c r="F349" s="149"/>
      <c r="G349" s="158"/>
      <c r="H349" s="158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  <c r="Z349" s="149"/>
    </row>
    <row r="350" spans="1:26" ht="24.75">
      <c r="A350" s="149"/>
      <c r="B350" s="146"/>
      <c r="C350" s="147"/>
      <c r="D350" s="159"/>
      <c r="E350" s="148"/>
      <c r="F350" s="149"/>
      <c r="G350" s="156"/>
      <c r="H350" s="156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</row>
    <row r="351" spans="1:26" ht="24.75">
      <c r="A351" s="149"/>
      <c r="B351" s="146"/>
      <c r="C351" s="147"/>
      <c r="D351" s="159"/>
      <c r="E351" s="148"/>
      <c r="F351" s="149"/>
      <c r="G351" s="158"/>
      <c r="H351" s="158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9"/>
    </row>
    <row r="352" spans="1:26" ht="24.75">
      <c r="A352" s="149"/>
      <c r="B352" s="146"/>
      <c r="C352" s="147"/>
      <c r="D352" s="159"/>
      <c r="E352" s="148"/>
      <c r="F352" s="149"/>
      <c r="G352" s="156"/>
      <c r="H352" s="156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</row>
    <row r="353" spans="1:26" ht="24.75">
      <c r="A353" s="149"/>
      <c r="B353" s="146"/>
      <c r="C353" s="147"/>
      <c r="D353" s="159"/>
      <c r="E353" s="148"/>
      <c r="F353" s="149"/>
      <c r="G353" s="158"/>
      <c r="H353" s="158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9"/>
    </row>
    <row r="354" spans="1:26" ht="24.75">
      <c r="A354" s="149"/>
      <c r="B354" s="146"/>
      <c r="C354" s="147"/>
      <c r="D354" s="159"/>
      <c r="E354" s="148"/>
      <c r="F354" s="149"/>
      <c r="G354" s="156"/>
      <c r="H354" s="156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/>
    </row>
    <row r="355" spans="1:26" ht="24.75">
      <c r="A355" s="149"/>
      <c r="B355" s="146"/>
      <c r="C355" s="147"/>
      <c r="D355" s="159"/>
      <c r="E355" s="148"/>
      <c r="F355" s="149"/>
      <c r="G355" s="158"/>
      <c r="H355" s="158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9"/>
    </row>
    <row r="356" spans="1:26" ht="24.75">
      <c r="A356" s="149"/>
      <c r="B356" s="146"/>
      <c r="C356" s="147"/>
      <c r="D356" s="159"/>
      <c r="E356" s="148"/>
      <c r="F356" s="149"/>
      <c r="G356" s="156"/>
      <c r="H356" s="156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</row>
    <row r="357" spans="1:26" ht="24.75">
      <c r="A357" s="149"/>
      <c r="B357" s="146"/>
      <c r="C357" s="147"/>
      <c r="D357" s="159"/>
      <c r="E357" s="148"/>
      <c r="F357" s="149"/>
      <c r="G357" s="158"/>
      <c r="H357" s="158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  <c r="Z357" s="149"/>
    </row>
    <row r="358" spans="1:26" ht="24.75">
      <c r="A358" s="149"/>
      <c r="B358" s="146"/>
      <c r="C358" s="147"/>
      <c r="D358" s="159"/>
      <c r="E358" s="148"/>
      <c r="F358" s="149"/>
      <c r="G358" s="156"/>
      <c r="H358" s="156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9"/>
    </row>
    <row r="359" spans="1:26" ht="24.75">
      <c r="A359" s="149"/>
      <c r="B359" s="146"/>
      <c r="C359" s="147"/>
      <c r="D359" s="159"/>
      <c r="E359" s="148"/>
      <c r="F359" s="149"/>
      <c r="G359" s="158"/>
      <c r="H359" s="158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9"/>
    </row>
    <row r="360" spans="1:26" ht="24.75">
      <c r="A360" s="149"/>
      <c r="B360" s="146"/>
      <c r="C360" s="147"/>
      <c r="D360" s="159"/>
      <c r="E360" s="148"/>
      <c r="F360" s="149"/>
      <c r="G360" s="156"/>
      <c r="H360" s="156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</row>
    <row r="361" spans="1:26" ht="24.75">
      <c r="A361" s="149"/>
      <c r="B361" s="146"/>
      <c r="C361" s="147"/>
      <c r="D361" s="159"/>
      <c r="E361" s="148"/>
      <c r="F361" s="149"/>
      <c r="G361" s="158"/>
      <c r="H361" s="158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/>
    </row>
    <row r="362" spans="1:26" ht="24.75">
      <c r="A362" s="149"/>
      <c r="B362" s="146"/>
      <c r="C362" s="147"/>
      <c r="D362" s="159"/>
      <c r="E362" s="148"/>
      <c r="F362" s="149"/>
      <c r="G362" s="156"/>
      <c r="H362" s="156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9"/>
    </row>
    <row r="363" spans="1:26" ht="24.75">
      <c r="A363" s="149"/>
      <c r="B363" s="146"/>
      <c r="C363" s="147"/>
      <c r="D363" s="159"/>
      <c r="E363" s="148"/>
      <c r="F363" s="149"/>
      <c r="G363" s="158"/>
      <c r="H363" s="158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9"/>
    </row>
    <row r="364" spans="1:26" ht="24.75">
      <c r="A364" s="149"/>
      <c r="B364" s="146"/>
      <c r="C364" s="147"/>
      <c r="D364" s="159"/>
      <c r="E364" s="148"/>
      <c r="F364" s="149"/>
      <c r="G364" s="156"/>
      <c r="H364" s="156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9"/>
    </row>
    <row r="365" spans="1:26" ht="24.75">
      <c r="A365" s="149"/>
      <c r="B365" s="146"/>
      <c r="C365" s="147"/>
      <c r="D365" s="159"/>
      <c r="E365" s="148"/>
      <c r="F365" s="149"/>
      <c r="G365" s="158"/>
      <c r="H365" s="158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9"/>
    </row>
    <row r="366" spans="1:26" ht="24.75">
      <c r="A366" s="149"/>
      <c r="B366" s="146"/>
      <c r="C366" s="147"/>
      <c r="D366" s="159"/>
      <c r="E366" s="148"/>
      <c r="F366" s="149"/>
      <c r="G366" s="156"/>
      <c r="H366" s="156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9"/>
    </row>
    <row r="367" spans="1:26" ht="24.75">
      <c r="A367" s="149"/>
      <c r="B367" s="146"/>
      <c r="C367" s="147"/>
      <c r="D367" s="159"/>
      <c r="E367" s="148"/>
      <c r="F367" s="149"/>
      <c r="G367" s="158"/>
      <c r="H367" s="158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9"/>
    </row>
    <row r="368" spans="1:26" ht="24.75">
      <c r="A368" s="149"/>
      <c r="B368" s="146"/>
      <c r="C368" s="147"/>
      <c r="D368" s="159"/>
      <c r="E368" s="148"/>
      <c r="F368" s="149"/>
      <c r="G368" s="156"/>
      <c r="H368" s="156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9"/>
    </row>
    <row r="369" spans="1:26" ht="24.75">
      <c r="A369" s="149"/>
      <c r="B369" s="146"/>
      <c r="C369" s="147"/>
      <c r="D369" s="159"/>
      <c r="E369" s="148"/>
      <c r="F369" s="149"/>
      <c r="G369" s="158"/>
      <c r="H369" s="158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  <c r="Z369" s="149"/>
    </row>
    <row r="370" spans="1:26" ht="24.75">
      <c r="A370" s="149"/>
      <c r="B370" s="146"/>
      <c r="C370" s="147"/>
      <c r="D370" s="159"/>
      <c r="E370" s="148"/>
      <c r="F370" s="149"/>
      <c r="G370" s="156"/>
      <c r="H370" s="156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9"/>
    </row>
    <row r="371" spans="1:26" ht="24.75">
      <c r="A371" s="149"/>
      <c r="B371" s="146"/>
      <c r="C371" s="147"/>
      <c r="D371" s="159"/>
      <c r="E371" s="148"/>
      <c r="F371" s="149"/>
      <c r="G371" s="158"/>
      <c r="H371" s="158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9"/>
    </row>
    <row r="372" spans="1:26" ht="24.75">
      <c r="A372" s="149"/>
      <c r="B372" s="146"/>
      <c r="C372" s="147"/>
      <c r="D372" s="159"/>
      <c r="E372" s="148"/>
      <c r="F372" s="149"/>
      <c r="G372" s="156"/>
      <c r="H372" s="156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9"/>
    </row>
    <row r="373" spans="1:26" ht="24.75">
      <c r="A373" s="149"/>
      <c r="B373" s="146"/>
      <c r="C373" s="147"/>
      <c r="D373" s="159"/>
      <c r="E373" s="148"/>
      <c r="F373" s="149"/>
      <c r="G373" s="158"/>
      <c r="H373" s="158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9"/>
    </row>
    <row r="374" spans="1:26" ht="24.75">
      <c r="A374" s="149"/>
      <c r="B374" s="146"/>
      <c r="C374" s="147"/>
      <c r="D374" s="159"/>
      <c r="E374" s="148"/>
      <c r="F374" s="149"/>
      <c r="G374" s="156"/>
      <c r="H374" s="156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9"/>
    </row>
    <row r="375" spans="1:26" ht="24.75">
      <c r="A375" s="149"/>
      <c r="B375" s="146"/>
      <c r="C375" s="147"/>
      <c r="D375" s="159"/>
      <c r="E375" s="148"/>
      <c r="F375" s="149"/>
      <c r="G375" s="158"/>
      <c r="H375" s="158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9"/>
    </row>
    <row r="376" spans="1:26" ht="24.75">
      <c r="A376" s="149"/>
      <c r="B376" s="146"/>
      <c r="C376" s="147"/>
      <c r="D376" s="159"/>
      <c r="E376" s="148"/>
      <c r="F376" s="149"/>
      <c r="G376" s="156"/>
      <c r="H376" s="156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</row>
    <row r="377" spans="1:26" ht="24.75">
      <c r="A377" s="149"/>
      <c r="B377" s="146"/>
      <c r="C377" s="147"/>
      <c r="D377" s="159"/>
      <c r="E377" s="148"/>
      <c r="F377" s="149"/>
      <c r="G377" s="158"/>
      <c r="H377" s="158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9"/>
    </row>
    <row r="378" spans="1:26" ht="24.75">
      <c r="A378" s="149"/>
      <c r="B378" s="146"/>
      <c r="C378" s="147"/>
      <c r="D378" s="159"/>
      <c r="E378" s="148"/>
      <c r="F378" s="149"/>
      <c r="G378" s="156"/>
      <c r="H378" s="156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  <c r="Z378" s="149"/>
    </row>
    <row r="379" spans="1:26" ht="24.75">
      <c r="A379" s="149"/>
      <c r="B379" s="146"/>
      <c r="C379" s="147"/>
      <c r="D379" s="159"/>
      <c r="E379" s="148"/>
      <c r="F379" s="149"/>
      <c r="G379" s="158"/>
      <c r="H379" s="158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9"/>
    </row>
    <row r="380" spans="1:26" ht="24.75">
      <c r="A380" s="149"/>
      <c r="B380" s="146"/>
      <c r="C380" s="147"/>
      <c r="D380" s="159"/>
      <c r="E380" s="148"/>
      <c r="F380" s="149"/>
      <c r="G380" s="156"/>
      <c r="H380" s="156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9"/>
    </row>
    <row r="381" spans="1:26" ht="24.75">
      <c r="A381" s="149"/>
      <c r="B381" s="146"/>
      <c r="C381" s="147"/>
      <c r="D381" s="159"/>
      <c r="E381" s="148"/>
      <c r="F381" s="149"/>
      <c r="G381" s="158"/>
      <c r="H381" s="158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9"/>
    </row>
    <row r="382" spans="1:26" ht="24.75">
      <c r="A382" s="149"/>
      <c r="B382" s="146"/>
      <c r="C382" s="147"/>
      <c r="D382" s="159"/>
      <c r="E382" s="148"/>
      <c r="F382" s="149"/>
      <c r="G382" s="156"/>
      <c r="H382" s="156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9"/>
    </row>
    <row r="383" spans="1:26" ht="24.75">
      <c r="A383" s="149"/>
      <c r="B383" s="146"/>
      <c r="C383" s="147"/>
      <c r="D383" s="159"/>
      <c r="E383" s="148"/>
      <c r="F383" s="149"/>
      <c r="G383" s="158"/>
      <c r="H383" s="158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</row>
    <row r="384" spans="1:26" ht="24.75">
      <c r="A384" s="149"/>
      <c r="B384" s="146"/>
      <c r="C384" s="147"/>
      <c r="D384" s="159"/>
      <c r="E384" s="148"/>
      <c r="F384" s="149"/>
      <c r="G384" s="156"/>
      <c r="H384" s="156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9"/>
    </row>
    <row r="385" spans="1:26" ht="24.75">
      <c r="A385" s="149"/>
      <c r="B385" s="146"/>
      <c r="C385" s="147"/>
      <c r="D385" s="159"/>
      <c r="E385" s="148"/>
      <c r="F385" s="149"/>
      <c r="G385" s="158"/>
      <c r="H385" s="158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9"/>
    </row>
    <row r="386" spans="1:26" ht="24.75">
      <c r="A386" s="149"/>
      <c r="B386" s="146"/>
      <c r="C386" s="147"/>
      <c r="D386" s="159"/>
      <c r="E386" s="148"/>
      <c r="F386" s="149"/>
      <c r="G386" s="156"/>
      <c r="H386" s="156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9"/>
    </row>
    <row r="387" spans="1:26" ht="24.75">
      <c r="A387" s="149"/>
      <c r="B387" s="146"/>
      <c r="C387" s="147"/>
      <c r="D387" s="159"/>
      <c r="E387" s="148"/>
      <c r="F387" s="149"/>
      <c r="G387" s="158"/>
      <c r="H387" s="158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9"/>
    </row>
    <row r="388" spans="1:26" ht="24.75">
      <c r="A388" s="149"/>
      <c r="B388" s="146"/>
      <c r="C388" s="147"/>
      <c r="D388" s="159"/>
      <c r="E388" s="148"/>
      <c r="F388" s="149"/>
      <c r="G388" s="156"/>
      <c r="H388" s="156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9"/>
    </row>
    <row r="389" spans="1:26" ht="24.75">
      <c r="A389" s="149"/>
      <c r="B389" s="146"/>
      <c r="C389" s="147"/>
      <c r="D389" s="159"/>
      <c r="E389" s="148"/>
      <c r="F389" s="149"/>
      <c r="G389" s="158"/>
      <c r="H389" s="158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9"/>
    </row>
    <row r="390" spans="1:26" ht="24.75">
      <c r="A390" s="149"/>
      <c r="B390" s="146"/>
      <c r="C390" s="147"/>
      <c r="D390" s="159"/>
      <c r="E390" s="148"/>
      <c r="F390" s="149"/>
      <c r="G390" s="156"/>
      <c r="H390" s="156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/>
    </row>
    <row r="391" spans="1:26" ht="24.75">
      <c r="A391" s="149"/>
      <c r="B391" s="146"/>
      <c r="C391" s="147"/>
      <c r="D391" s="159"/>
      <c r="E391" s="148"/>
      <c r="F391" s="149"/>
      <c r="G391" s="158"/>
      <c r="H391" s="158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9"/>
    </row>
    <row r="392" spans="1:26" ht="24.75">
      <c r="A392" s="149"/>
      <c r="B392" s="146"/>
      <c r="C392" s="147"/>
      <c r="D392" s="159"/>
      <c r="E392" s="148"/>
      <c r="F392" s="149"/>
      <c r="G392" s="156"/>
      <c r="H392" s="156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9"/>
    </row>
    <row r="393" spans="1:26" ht="24.75">
      <c r="A393" s="149"/>
      <c r="B393" s="146"/>
      <c r="C393" s="147"/>
      <c r="D393" s="159"/>
      <c r="E393" s="148"/>
      <c r="F393" s="149"/>
      <c r="G393" s="158"/>
      <c r="H393" s="158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9"/>
    </row>
    <row r="394" spans="1:26" ht="24.75">
      <c r="A394" s="149"/>
      <c r="B394" s="146"/>
      <c r="C394" s="147"/>
      <c r="D394" s="159"/>
      <c r="E394" s="148"/>
      <c r="F394" s="149"/>
      <c r="G394" s="156"/>
      <c r="H394" s="156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9"/>
    </row>
    <row r="395" spans="1:26" ht="24.75">
      <c r="A395" s="149"/>
      <c r="B395" s="146"/>
      <c r="C395" s="147"/>
      <c r="D395" s="159"/>
      <c r="E395" s="148"/>
      <c r="F395" s="149"/>
      <c r="G395" s="158"/>
      <c r="H395" s="158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9"/>
    </row>
    <row r="396" spans="1:26" ht="24.75">
      <c r="A396" s="149"/>
      <c r="B396" s="146"/>
      <c r="C396" s="147"/>
      <c r="D396" s="159"/>
      <c r="E396" s="148"/>
      <c r="F396" s="149"/>
      <c r="G396" s="156"/>
      <c r="H396" s="156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9"/>
    </row>
    <row r="397" spans="1:26" ht="24.75">
      <c r="A397" s="149"/>
      <c r="B397" s="146"/>
      <c r="C397" s="147"/>
      <c r="D397" s="159"/>
      <c r="E397" s="148"/>
      <c r="F397" s="149"/>
      <c r="G397" s="158"/>
      <c r="H397" s="158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  <c r="Z397" s="149"/>
    </row>
    <row r="398" spans="1:26" ht="24.75">
      <c r="A398" s="149"/>
      <c r="B398" s="146"/>
      <c r="C398" s="147"/>
      <c r="D398" s="159"/>
      <c r="E398" s="148"/>
      <c r="F398" s="149"/>
      <c r="G398" s="156"/>
      <c r="H398" s="156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  <c r="Z398" s="149"/>
    </row>
    <row r="399" spans="1:26" ht="24.75">
      <c r="A399" s="149"/>
      <c r="B399" s="146"/>
      <c r="C399" s="147"/>
      <c r="D399" s="159"/>
      <c r="E399" s="148"/>
      <c r="F399" s="149"/>
      <c r="G399" s="158"/>
      <c r="H399" s="158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9"/>
    </row>
    <row r="400" spans="1:26" ht="24.75">
      <c r="A400" s="149"/>
      <c r="B400" s="146"/>
      <c r="C400" s="147"/>
      <c r="D400" s="159"/>
      <c r="E400" s="148"/>
      <c r="F400" s="149"/>
      <c r="G400" s="156"/>
      <c r="H400" s="156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9"/>
    </row>
    <row r="401" spans="1:26" ht="24.75">
      <c r="A401" s="149"/>
      <c r="B401" s="146"/>
      <c r="C401" s="147"/>
      <c r="D401" s="159"/>
      <c r="E401" s="148"/>
      <c r="F401" s="149"/>
      <c r="G401" s="158"/>
      <c r="H401" s="158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9"/>
    </row>
    <row r="402" spans="1:26" ht="24.75">
      <c r="A402" s="149"/>
      <c r="B402" s="146"/>
      <c r="C402" s="147"/>
      <c r="D402" s="159"/>
      <c r="E402" s="148"/>
      <c r="F402" s="149"/>
      <c r="G402" s="156"/>
      <c r="H402" s="156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9"/>
    </row>
    <row r="403" spans="1:26" ht="24.75">
      <c r="A403" s="149"/>
      <c r="B403" s="146"/>
      <c r="C403" s="147"/>
      <c r="D403" s="159"/>
      <c r="E403" s="148"/>
      <c r="F403" s="149"/>
      <c r="G403" s="158"/>
      <c r="H403" s="158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9"/>
    </row>
    <row r="404" spans="1:26" ht="24.75">
      <c r="A404" s="149"/>
      <c r="B404" s="146"/>
      <c r="C404" s="147"/>
      <c r="D404" s="159"/>
      <c r="E404" s="148"/>
      <c r="F404" s="149"/>
      <c r="G404" s="156"/>
      <c r="H404" s="156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9"/>
    </row>
    <row r="405" spans="1:26" ht="24.75">
      <c r="A405" s="149"/>
      <c r="B405" s="146"/>
      <c r="C405" s="147"/>
      <c r="D405" s="159"/>
      <c r="E405" s="148"/>
      <c r="F405" s="149"/>
      <c r="G405" s="158"/>
      <c r="H405" s="158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</row>
    <row r="406" spans="1:26" ht="24.75">
      <c r="A406" s="149"/>
      <c r="B406" s="146"/>
      <c r="C406" s="147"/>
      <c r="D406" s="159"/>
      <c r="E406" s="148"/>
      <c r="F406" s="149"/>
      <c r="G406" s="156"/>
      <c r="H406" s="156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</row>
    <row r="407" spans="1:26" ht="24.75">
      <c r="A407" s="149"/>
      <c r="B407" s="146"/>
      <c r="C407" s="147"/>
      <c r="D407" s="159"/>
      <c r="E407" s="148"/>
      <c r="F407" s="149"/>
      <c r="G407" s="158"/>
      <c r="H407" s="158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9"/>
    </row>
    <row r="408" spans="1:26" ht="24.75">
      <c r="A408" s="149"/>
      <c r="B408" s="146"/>
      <c r="C408" s="147"/>
      <c r="D408" s="159"/>
      <c r="E408" s="148"/>
      <c r="F408" s="149"/>
      <c r="G408" s="156"/>
      <c r="H408" s="156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9"/>
    </row>
    <row r="409" spans="1:26" ht="24.75">
      <c r="A409" s="149"/>
      <c r="B409" s="146"/>
      <c r="C409" s="147"/>
      <c r="D409" s="159"/>
      <c r="E409" s="148"/>
      <c r="F409" s="149"/>
      <c r="G409" s="158"/>
      <c r="H409" s="158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9"/>
    </row>
    <row r="410" spans="1:26" ht="24.75">
      <c r="A410" s="149"/>
      <c r="B410" s="146"/>
      <c r="C410" s="147"/>
      <c r="D410" s="159"/>
      <c r="E410" s="148"/>
      <c r="F410" s="149"/>
      <c r="G410" s="156"/>
      <c r="H410" s="156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</row>
    <row r="411" spans="1:26" ht="24.75">
      <c r="A411" s="149"/>
      <c r="B411" s="146"/>
      <c r="C411" s="147"/>
      <c r="D411" s="159"/>
      <c r="E411" s="148"/>
      <c r="F411" s="149"/>
      <c r="G411" s="158"/>
      <c r="H411" s="158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9"/>
    </row>
    <row r="412" spans="1:26" ht="24.75">
      <c r="A412" s="149"/>
      <c r="B412" s="146"/>
      <c r="C412" s="147"/>
      <c r="D412" s="159"/>
      <c r="E412" s="148"/>
      <c r="F412" s="149"/>
      <c r="G412" s="156"/>
      <c r="H412" s="156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</row>
    <row r="413" spans="1:26" ht="24.75">
      <c r="A413" s="149"/>
      <c r="B413" s="146"/>
      <c r="C413" s="147"/>
      <c r="D413" s="159"/>
      <c r="E413" s="148"/>
      <c r="F413" s="149"/>
      <c r="G413" s="158"/>
      <c r="H413" s="158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</row>
    <row r="414" spans="1:26" ht="24.75">
      <c r="A414" s="149"/>
      <c r="B414" s="146"/>
      <c r="C414" s="147"/>
      <c r="D414" s="159"/>
      <c r="E414" s="148"/>
      <c r="F414" s="149"/>
      <c r="G414" s="156"/>
      <c r="H414" s="156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9"/>
    </row>
    <row r="415" spans="1:26" ht="24.75">
      <c r="A415" s="149"/>
      <c r="B415" s="146"/>
      <c r="C415" s="147"/>
      <c r="D415" s="159"/>
      <c r="E415" s="148"/>
      <c r="F415" s="149"/>
      <c r="G415" s="158"/>
      <c r="H415" s="158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9"/>
    </row>
    <row r="416" spans="1:26" ht="24.75">
      <c r="A416" s="149"/>
      <c r="B416" s="146"/>
      <c r="C416" s="147"/>
      <c r="D416" s="159"/>
      <c r="E416" s="148"/>
      <c r="F416" s="149"/>
      <c r="G416" s="156"/>
      <c r="H416" s="156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9"/>
    </row>
    <row r="417" spans="1:26" ht="24.75">
      <c r="A417" s="149"/>
      <c r="B417" s="146"/>
      <c r="C417" s="147"/>
      <c r="D417" s="159"/>
      <c r="E417" s="148"/>
      <c r="F417" s="149"/>
      <c r="G417" s="158"/>
      <c r="H417" s="158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9"/>
    </row>
    <row r="418" spans="1:26" ht="24.75">
      <c r="A418" s="149"/>
      <c r="B418" s="146"/>
      <c r="C418" s="147"/>
      <c r="D418" s="159"/>
      <c r="E418" s="148"/>
      <c r="F418" s="149"/>
      <c r="G418" s="156"/>
      <c r="H418" s="156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9"/>
    </row>
    <row r="419" spans="1:26" ht="24.75">
      <c r="A419" s="149"/>
      <c r="B419" s="146"/>
      <c r="C419" s="147"/>
      <c r="D419" s="159"/>
      <c r="E419" s="148"/>
      <c r="F419" s="149"/>
      <c r="G419" s="158"/>
      <c r="H419" s="158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  <c r="Z419" s="149"/>
    </row>
    <row r="420" spans="1:26" ht="24.75">
      <c r="A420" s="149"/>
      <c r="B420" s="146"/>
      <c r="C420" s="147"/>
      <c r="D420" s="159"/>
      <c r="E420" s="148"/>
      <c r="F420" s="149"/>
      <c r="G420" s="156"/>
      <c r="H420" s="156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9"/>
    </row>
    <row r="421" spans="1:26" ht="24.75">
      <c r="A421" s="149"/>
      <c r="B421" s="146"/>
      <c r="C421" s="147"/>
      <c r="D421" s="159"/>
      <c r="E421" s="148"/>
      <c r="F421" s="149"/>
      <c r="G421" s="158"/>
      <c r="H421" s="158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9"/>
    </row>
    <row r="422" spans="1:26" ht="24.75">
      <c r="A422" s="149"/>
      <c r="B422" s="146"/>
      <c r="C422" s="147"/>
      <c r="D422" s="159"/>
      <c r="E422" s="148"/>
      <c r="F422" s="149"/>
      <c r="G422" s="156"/>
      <c r="H422" s="156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9"/>
    </row>
    <row r="423" spans="1:26" ht="24.75">
      <c r="A423" s="149"/>
      <c r="B423" s="146"/>
      <c r="C423" s="147"/>
      <c r="D423" s="159"/>
      <c r="E423" s="148"/>
      <c r="F423" s="149"/>
      <c r="G423" s="158"/>
      <c r="H423" s="158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9"/>
    </row>
    <row r="424" spans="1:26" ht="24.75">
      <c r="A424" s="149"/>
      <c r="B424" s="146"/>
      <c r="C424" s="147"/>
      <c r="D424" s="159"/>
      <c r="E424" s="148"/>
      <c r="F424" s="149"/>
      <c r="G424" s="156"/>
      <c r="H424" s="156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9"/>
    </row>
    <row r="425" spans="1:26" ht="24.75">
      <c r="A425" s="149"/>
      <c r="B425" s="146"/>
      <c r="C425" s="147"/>
      <c r="D425" s="159"/>
      <c r="E425" s="148"/>
      <c r="F425" s="149"/>
      <c r="G425" s="158"/>
      <c r="H425" s="158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9"/>
    </row>
    <row r="426" spans="1:26" ht="24.75">
      <c r="A426" s="149"/>
      <c r="B426" s="146"/>
      <c r="C426" s="147"/>
      <c r="D426" s="159"/>
      <c r="E426" s="148"/>
      <c r="F426" s="149"/>
      <c r="G426" s="156"/>
      <c r="H426" s="156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9"/>
    </row>
    <row r="427" spans="1:26" ht="24.75">
      <c r="A427" s="149"/>
      <c r="B427" s="146"/>
      <c r="C427" s="147"/>
      <c r="D427" s="159"/>
      <c r="E427" s="148"/>
      <c r="F427" s="149"/>
      <c r="G427" s="158"/>
      <c r="H427" s="158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</row>
    <row r="428" spans="1:26" ht="24.75">
      <c r="A428" s="149"/>
      <c r="B428" s="146"/>
      <c r="C428" s="147"/>
      <c r="D428" s="159"/>
      <c r="E428" s="148"/>
      <c r="F428" s="149"/>
      <c r="G428" s="156"/>
      <c r="H428" s="156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</row>
    <row r="429" spans="1:26" ht="24.75">
      <c r="A429" s="149"/>
      <c r="B429" s="146"/>
      <c r="C429" s="147"/>
      <c r="D429" s="159"/>
      <c r="E429" s="148"/>
      <c r="F429" s="149"/>
      <c r="G429" s="158"/>
      <c r="H429" s="158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9"/>
    </row>
    <row r="430" spans="1:26" ht="24.75">
      <c r="A430" s="149"/>
      <c r="B430" s="146"/>
      <c r="C430" s="147"/>
      <c r="D430" s="159"/>
      <c r="E430" s="148"/>
      <c r="F430" s="149"/>
      <c r="G430" s="156"/>
      <c r="H430" s="156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9"/>
    </row>
    <row r="431" spans="1:26" ht="24.75">
      <c r="A431" s="149"/>
      <c r="B431" s="146"/>
      <c r="C431" s="147"/>
      <c r="D431" s="159"/>
      <c r="E431" s="148"/>
      <c r="F431" s="149"/>
      <c r="G431" s="158"/>
      <c r="H431" s="158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</row>
    <row r="432" spans="1:26" ht="24.75">
      <c r="A432" s="149"/>
      <c r="B432" s="146"/>
      <c r="C432" s="147"/>
      <c r="D432" s="159"/>
      <c r="E432" s="148"/>
      <c r="F432" s="149"/>
      <c r="G432" s="156"/>
      <c r="H432" s="156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</row>
    <row r="433" spans="1:26" ht="24.75">
      <c r="A433" s="149"/>
      <c r="B433" s="146"/>
      <c r="C433" s="147"/>
      <c r="D433" s="159"/>
      <c r="E433" s="148"/>
      <c r="F433" s="149"/>
      <c r="G433" s="158"/>
      <c r="H433" s="158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</row>
    <row r="434" spans="1:26" ht="24.75">
      <c r="A434" s="149"/>
      <c r="B434" s="146"/>
      <c r="C434" s="147"/>
      <c r="D434" s="159"/>
      <c r="E434" s="148"/>
      <c r="F434" s="149"/>
      <c r="G434" s="156"/>
      <c r="H434" s="156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</row>
    <row r="435" spans="1:26" ht="24.75">
      <c r="A435" s="149"/>
      <c r="B435" s="146"/>
      <c r="C435" s="147"/>
      <c r="D435" s="159"/>
      <c r="E435" s="148"/>
      <c r="F435" s="149"/>
      <c r="G435" s="158"/>
      <c r="H435" s="158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</row>
    <row r="436" spans="1:26" ht="24.75">
      <c r="A436" s="149"/>
      <c r="B436" s="146"/>
      <c r="C436" s="147"/>
      <c r="D436" s="159"/>
      <c r="E436" s="148"/>
      <c r="F436" s="149"/>
      <c r="G436" s="156"/>
      <c r="H436" s="156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9"/>
    </row>
    <row r="437" spans="1:26" ht="24.75">
      <c r="A437" s="149"/>
      <c r="B437" s="146"/>
      <c r="C437" s="147"/>
      <c r="D437" s="159"/>
      <c r="E437" s="148"/>
      <c r="F437" s="149"/>
      <c r="G437" s="158"/>
      <c r="H437" s="158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/>
    </row>
    <row r="438" spans="1:26" ht="24.75">
      <c r="A438" s="149"/>
      <c r="B438" s="146"/>
      <c r="C438" s="147"/>
      <c r="D438" s="159"/>
      <c r="E438" s="148"/>
      <c r="F438" s="149"/>
      <c r="G438" s="156"/>
      <c r="H438" s="156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</row>
    <row r="439" spans="1:26" ht="24.75">
      <c r="A439" s="149"/>
      <c r="B439" s="146"/>
      <c r="C439" s="147"/>
      <c r="D439" s="159"/>
      <c r="E439" s="148"/>
      <c r="F439" s="149"/>
      <c r="G439" s="158"/>
      <c r="H439" s="158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</row>
    <row r="440" spans="1:26" ht="24.75">
      <c r="A440" s="149"/>
      <c r="B440" s="146"/>
      <c r="C440" s="147"/>
      <c r="D440" s="159"/>
      <c r="E440" s="148"/>
      <c r="F440" s="149"/>
      <c r="G440" s="156"/>
      <c r="H440" s="156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</row>
    <row r="441" spans="1:26" ht="24.75">
      <c r="A441" s="149"/>
      <c r="B441" s="146"/>
      <c r="C441" s="147"/>
      <c r="D441" s="159"/>
      <c r="E441" s="148"/>
      <c r="F441" s="149"/>
      <c r="G441" s="158"/>
      <c r="H441" s="158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</row>
    <row r="442" spans="1:26" ht="24.75">
      <c r="A442" s="149"/>
      <c r="B442" s="146"/>
      <c r="C442" s="147"/>
      <c r="D442" s="159"/>
      <c r="E442" s="148"/>
      <c r="F442" s="149"/>
      <c r="G442" s="156"/>
      <c r="H442" s="156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</row>
    <row r="443" spans="1:26" ht="24.75">
      <c r="A443" s="149"/>
      <c r="B443" s="146"/>
      <c r="C443" s="147"/>
      <c r="D443" s="159"/>
      <c r="E443" s="148"/>
      <c r="F443" s="149"/>
      <c r="G443" s="158"/>
      <c r="H443" s="158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</row>
    <row r="444" spans="1:26" ht="24.75">
      <c r="A444" s="149"/>
      <c r="B444" s="146"/>
      <c r="C444" s="147"/>
      <c r="D444" s="159"/>
      <c r="E444" s="148"/>
      <c r="F444" s="149"/>
      <c r="G444" s="156"/>
      <c r="H444" s="156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</row>
    <row r="445" spans="1:26" ht="24.75">
      <c r="A445" s="149"/>
      <c r="B445" s="146"/>
      <c r="C445" s="147"/>
      <c r="D445" s="159"/>
      <c r="E445" s="148"/>
      <c r="F445" s="149"/>
      <c r="G445" s="158"/>
      <c r="H445" s="158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</row>
    <row r="446" spans="1:26" ht="24.75">
      <c r="A446" s="149"/>
      <c r="B446" s="146"/>
      <c r="C446" s="147"/>
      <c r="D446" s="159"/>
      <c r="E446" s="148"/>
      <c r="F446" s="149"/>
      <c r="G446" s="156"/>
      <c r="H446" s="156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</row>
    <row r="447" spans="1:26" ht="24.75">
      <c r="A447" s="149"/>
      <c r="B447" s="146"/>
      <c r="C447" s="147"/>
      <c r="D447" s="159"/>
      <c r="E447" s="148"/>
      <c r="F447" s="149"/>
      <c r="G447" s="158"/>
      <c r="H447" s="158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</row>
    <row r="448" spans="1:26" ht="24.75">
      <c r="A448" s="149"/>
      <c r="B448" s="146"/>
      <c r="C448" s="147"/>
      <c r="D448" s="159"/>
      <c r="E448" s="148"/>
      <c r="F448" s="149"/>
      <c r="G448" s="156"/>
      <c r="H448" s="156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</row>
    <row r="449" spans="1:26" ht="24.75">
      <c r="A449" s="149"/>
      <c r="B449" s="146"/>
      <c r="C449" s="147"/>
      <c r="D449" s="159"/>
      <c r="E449" s="148"/>
      <c r="F449" s="149"/>
      <c r="G449" s="158"/>
      <c r="H449" s="158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</row>
    <row r="450" spans="1:26" ht="24.75">
      <c r="A450" s="149"/>
      <c r="B450" s="146"/>
      <c r="C450" s="147"/>
      <c r="D450" s="159"/>
      <c r="E450" s="148"/>
      <c r="F450" s="149"/>
      <c r="G450" s="156"/>
      <c r="H450" s="156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9"/>
    </row>
    <row r="451" spans="1:26" ht="24.75">
      <c r="A451" s="149"/>
      <c r="B451" s="146"/>
      <c r="C451" s="147"/>
      <c r="D451" s="159"/>
      <c r="E451" s="148"/>
      <c r="F451" s="149"/>
      <c r="G451" s="158"/>
      <c r="H451" s="158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9"/>
    </row>
    <row r="452" spans="1:26" ht="24.75">
      <c r="A452" s="149"/>
      <c r="B452" s="146"/>
      <c r="C452" s="147"/>
      <c r="D452" s="159"/>
      <c r="E452" s="148"/>
      <c r="F452" s="149"/>
      <c r="G452" s="156"/>
      <c r="H452" s="156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</row>
    <row r="453" spans="1:26" ht="24.75">
      <c r="A453" s="149"/>
      <c r="B453" s="146"/>
      <c r="C453" s="147"/>
      <c r="D453" s="159"/>
      <c r="E453" s="148"/>
      <c r="F453" s="149"/>
      <c r="G453" s="158"/>
      <c r="H453" s="158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9"/>
    </row>
    <row r="454" spans="1:26" ht="24.75">
      <c r="A454" s="149"/>
      <c r="B454" s="146"/>
      <c r="C454" s="147"/>
      <c r="D454" s="159"/>
      <c r="E454" s="148"/>
      <c r="F454" s="149"/>
      <c r="G454" s="156"/>
      <c r="H454" s="156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9"/>
    </row>
    <row r="455" spans="1:26" ht="24.75">
      <c r="A455" s="149"/>
      <c r="B455" s="146"/>
      <c r="C455" s="147"/>
      <c r="D455" s="159"/>
      <c r="E455" s="148"/>
      <c r="F455" s="149"/>
      <c r="G455" s="158"/>
      <c r="H455" s="158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9"/>
    </row>
    <row r="456" spans="1:26" ht="24.75">
      <c r="A456" s="149"/>
      <c r="B456" s="146"/>
      <c r="C456" s="147"/>
      <c r="D456" s="159"/>
      <c r="E456" s="148"/>
      <c r="F456" s="149"/>
      <c r="G456" s="156"/>
      <c r="H456" s="156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</row>
    <row r="457" spans="1:26" ht="24.75">
      <c r="A457" s="149"/>
      <c r="B457" s="146"/>
      <c r="C457" s="147"/>
      <c r="D457" s="159"/>
      <c r="E457" s="148"/>
      <c r="F457" s="149"/>
      <c r="G457" s="158"/>
      <c r="H457" s="158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9"/>
    </row>
    <row r="458" spans="1:26" ht="24.75">
      <c r="A458" s="149"/>
      <c r="B458" s="146"/>
      <c r="C458" s="147"/>
      <c r="D458" s="159"/>
      <c r="E458" s="148"/>
      <c r="F458" s="149"/>
      <c r="G458" s="156"/>
      <c r="H458" s="156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9"/>
    </row>
    <row r="459" spans="1:26" ht="24.75">
      <c r="A459" s="149"/>
      <c r="B459" s="146"/>
      <c r="C459" s="147"/>
      <c r="D459" s="159"/>
      <c r="E459" s="148"/>
      <c r="F459" s="149"/>
      <c r="G459" s="158"/>
      <c r="H459" s="158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9"/>
    </row>
    <row r="460" spans="1:26" ht="24.75">
      <c r="A460" s="149"/>
      <c r="B460" s="146"/>
      <c r="C460" s="147"/>
      <c r="D460" s="159"/>
      <c r="E460" s="148"/>
      <c r="F460" s="149"/>
      <c r="G460" s="156"/>
      <c r="H460" s="156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9"/>
    </row>
    <row r="461" spans="1:26" ht="24.75">
      <c r="A461" s="149"/>
      <c r="B461" s="146"/>
      <c r="C461" s="147"/>
      <c r="D461" s="159"/>
      <c r="E461" s="148"/>
      <c r="F461" s="149"/>
      <c r="G461" s="158"/>
      <c r="H461" s="158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9"/>
    </row>
    <row r="462" spans="1:26" ht="24.75">
      <c r="A462" s="149"/>
      <c r="B462" s="146"/>
      <c r="C462" s="147"/>
      <c r="D462" s="159"/>
      <c r="E462" s="148"/>
      <c r="F462" s="149"/>
      <c r="G462" s="156"/>
      <c r="H462" s="156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9"/>
    </row>
    <row r="463" spans="1:26" ht="24.75">
      <c r="A463" s="149"/>
      <c r="B463" s="146"/>
      <c r="C463" s="147"/>
      <c r="D463" s="159"/>
      <c r="E463" s="148"/>
      <c r="F463" s="149"/>
      <c r="G463" s="158"/>
      <c r="H463" s="158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</row>
    <row r="464" spans="1:26" ht="24.75">
      <c r="A464" s="149"/>
      <c r="B464" s="146"/>
      <c r="C464" s="147"/>
      <c r="D464" s="159"/>
      <c r="E464" s="148"/>
      <c r="F464" s="149"/>
      <c r="G464" s="156"/>
      <c r="H464" s="156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</row>
    <row r="465" spans="1:26" ht="24.75">
      <c r="A465" s="149"/>
      <c r="B465" s="146"/>
      <c r="C465" s="147"/>
      <c r="D465" s="159"/>
      <c r="E465" s="148"/>
      <c r="F465" s="149"/>
      <c r="G465" s="158"/>
      <c r="H465" s="158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</row>
    <row r="466" spans="1:26" ht="24.75">
      <c r="A466" s="149"/>
      <c r="B466" s="146"/>
      <c r="C466" s="147"/>
      <c r="D466" s="159"/>
      <c r="E466" s="148"/>
      <c r="F466" s="149"/>
      <c r="G466" s="156"/>
      <c r="H466" s="156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9"/>
    </row>
    <row r="467" spans="1:26" ht="24.75">
      <c r="A467" s="149"/>
      <c r="B467" s="146"/>
      <c r="C467" s="147"/>
      <c r="D467" s="159"/>
      <c r="E467" s="148"/>
      <c r="F467" s="149"/>
      <c r="G467" s="158"/>
      <c r="H467" s="158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</row>
    <row r="468" spans="1:26" ht="24.75">
      <c r="A468" s="149"/>
      <c r="B468" s="146"/>
      <c r="C468" s="147"/>
      <c r="D468" s="159"/>
      <c r="E468" s="148"/>
      <c r="F468" s="149"/>
      <c r="G468" s="156"/>
      <c r="H468" s="156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9"/>
    </row>
    <row r="469" spans="1:26" ht="24.75">
      <c r="A469" s="149"/>
      <c r="B469" s="146"/>
      <c r="C469" s="147"/>
      <c r="D469" s="159"/>
      <c r="E469" s="148"/>
      <c r="F469" s="149"/>
      <c r="G469" s="158"/>
      <c r="H469" s="158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</row>
    <row r="470" spans="1:26" ht="24.75">
      <c r="A470" s="149"/>
      <c r="B470" s="146"/>
      <c r="C470" s="147"/>
      <c r="D470" s="159"/>
      <c r="E470" s="148"/>
      <c r="F470" s="149"/>
      <c r="G470" s="156"/>
      <c r="H470" s="156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</row>
    <row r="471" spans="1:26" ht="24.75">
      <c r="A471" s="149"/>
      <c r="B471" s="146"/>
      <c r="C471" s="147"/>
      <c r="D471" s="159"/>
      <c r="E471" s="148"/>
      <c r="F471" s="149"/>
      <c r="G471" s="158"/>
      <c r="H471" s="158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9"/>
    </row>
    <row r="472" spans="1:26" ht="24.75">
      <c r="A472" s="149"/>
      <c r="B472" s="146"/>
      <c r="C472" s="147"/>
      <c r="D472" s="159"/>
      <c r="E472" s="148"/>
      <c r="F472" s="149"/>
      <c r="G472" s="156"/>
      <c r="H472" s="156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9"/>
    </row>
    <row r="473" spans="1:26" ht="24.75">
      <c r="A473" s="149"/>
      <c r="B473" s="146"/>
      <c r="C473" s="147"/>
      <c r="D473" s="159"/>
      <c r="E473" s="148"/>
      <c r="F473" s="149"/>
      <c r="G473" s="158"/>
      <c r="H473" s="158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</row>
    <row r="474" spans="1:26" ht="24.75">
      <c r="A474" s="149"/>
      <c r="B474" s="146"/>
      <c r="C474" s="147"/>
      <c r="D474" s="159"/>
      <c r="E474" s="148"/>
      <c r="F474" s="149"/>
      <c r="G474" s="156"/>
      <c r="H474" s="156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9"/>
    </row>
    <row r="475" spans="1:26" ht="24.75">
      <c r="A475" s="149"/>
      <c r="B475" s="146"/>
      <c r="C475" s="147"/>
      <c r="D475" s="159"/>
      <c r="E475" s="148"/>
      <c r="F475" s="149"/>
      <c r="G475" s="158"/>
      <c r="H475" s="158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9"/>
    </row>
    <row r="476" spans="1:26" ht="24.75">
      <c r="A476" s="149"/>
      <c r="B476" s="146"/>
      <c r="C476" s="147"/>
      <c r="D476" s="159"/>
      <c r="E476" s="148"/>
      <c r="F476" s="149"/>
      <c r="G476" s="156"/>
      <c r="H476" s="156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</row>
    <row r="477" spans="1:26" ht="24.75">
      <c r="A477" s="149"/>
      <c r="B477" s="146"/>
      <c r="C477" s="147"/>
      <c r="D477" s="159"/>
      <c r="E477" s="148"/>
      <c r="F477" s="149"/>
      <c r="G477" s="158"/>
      <c r="H477" s="158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</row>
    <row r="478" spans="1:26" ht="24.75">
      <c r="A478" s="149"/>
      <c r="B478" s="146"/>
      <c r="C478" s="147"/>
      <c r="D478" s="159"/>
      <c r="E478" s="148"/>
      <c r="F478" s="149"/>
      <c r="G478" s="156"/>
      <c r="H478" s="156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</row>
    <row r="479" spans="1:26" ht="24.75">
      <c r="A479" s="149"/>
      <c r="B479" s="146"/>
      <c r="C479" s="147"/>
      <c r="D479" s="159"/>
      <c r="E479" s="148"/>
      <c r="F479" s="149"/>
      <c r="G479" s="158"/>
      <c r="H479" s="158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</row>
    <row r="480" spans="1:26" ht="24.75">
      <c r="A480" s="149"/>
      <c r="B480" s="146"/>
      <c r="C480" s="147"/>
      <c r="D480" s="159"/>
      <c r="E480" s="148"/>
      <c r="F480" s="149"/>
      <c r="G480" s="156"/>
      <c r="H480" s="156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9"/>
    </row>
    <row r="481" spans="1:26" ht="24.75">
      <c r="A481" s="149"/>
      <c r="B481" s="146"/>
      <c r="C481" s="147"/>
      <c r="D481" s="159"/>
      <c r="E481" s="148"/>
      <c r="F481" s="149"/>
      <c r="G481" s="158"/>
      <c r="H481" s="158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9"/>
    </row>
    <row r="482" spans="1:26" ht="24.75">
      <c r="A482" s="149"/>
      <c r="B482" s="146"/>
      <c r="C482" s="147"/>
      <c r="D482" s="159"/>
      <c r="E482" s="148"/>
      <c r="F482" s="149"/>
      <c r="G482" s="156"/>
      <c r="H482" s="156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9"/>
    </row>
    <row r="483" spans="1:26" ht="24.75">
      <c r="A483" s="149"/>
      <c r="B483" s="146"/>
      <c r="C483" s="147"/>
      <c r="D483" s="159"/>
      <c r="E483" s="148"/>
      <c r="F483" s="149"/>
      <c r="G483" s="158"/>
      <c r="H483" s="158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9"/>
    </row>
    <row r="484" spans="1:26" ht="24.75">
      <c r="A484" s="149"/>
      <c r="B484" s="146"/>
      <c r="C484" s="147"/>
      <c r="D484" s="159"/>
      <c r="E484" s="148"/>
      <c r="F484" s="149"/>
      <c r="G484" s="156"/>
      <c r="H484" s="156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9"/>
    </row>
    <row r="485" spans="1:26" ht="24.75">
      <c r="A485" s="149"/>
      <c r="B485" s="146"/>
      <c r="C485" s="147"/>
      <c r="D485" s="159"/>
      <c r="E485" s="148"/>
      <c r="F485" s="149"/>
      <c r="G485" s="158"/>
      <c r="H485" s="158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9"/>
    </row>
    <row r="486" spans="1:26" ht="24.75">
      <c r="A486" s="149"/>
      <c r="B486" s="146"/>
      <c r="C486" s="147"/>
      <c r="D486" s="159"/>
      <c r="E486" s="148"/>
      <c r="F486" s="149"/>
      <c r="G486" s="156"/>
      <c r="H486" s="156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9"/>
    </row>
    <row r="487" spans="1:26" ht="24.75">
      <c r="A487" s="149"/>
      <c r="B487" s="146"/>
      <c r="C487" s="147"/>
      <c r="D487" s="159"/>
      <c r="E487" s="148"/>
      <c r="F487" s="149"/>
      <c r="G487" s="158"/>
      <c r="H487" s="158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9"/>
    </row>
    <row r="488" spans="1:26" ht="24.75">
      <c r="A488" s="149"/>
      <c r="B488" s="146"/>
      <c r="C488" s="147"/>
      <c r="D488" s="159"/>
      <c r="E488" s="148"/>
      <c r="F488" s="149"/>
      <c r="G488" s="156"/>
      <c r="H488" s="156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9"/>
    </row>
    <row r="489" spans="1:26" ht="24.75">
      <c r="A489" s="149"/>
      <c r="B489" s="146"/>
      <c r="C489" s="147"/>
      <c r="D489" s="159"/>
      <c r="E489" s="148"/>
      <c r="F489" s="149"/>
      <c r="G489" s="158"/>
      <c r="H489" s="158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9"/>
    </row>
    <row r="490" spans="1:26" ht="24.75">
      <c r="A490" s="149"/>
      <c r="B490" s="146"/>
      <c r="C490" s="147"/>
      <c r="D490" s="159"/>
      <c r="E490" s="148"/>
      <c r="F490" s="149"/>
      <c r="G490" s="156"/>
      <c r="H490" s="156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9"/>
    </row>
    <row r="491" spans="1:26" ht="24.75">
      <c r="A491" s="149"/>
      <c r="B491" s="146"/>
      <c r="C491" s="147"/>
      <c r="D491" s="159"/>
      <c r="E491" s="148"/>
      <c r="F491" s="149"/>
      <c r="G491" s="158"/>
      <c r="H491" s="158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</row>
    <row r="492" spans="1:26" ht="24.75">
      <c r="A492" s="149"/>
      <c r="B492" s="146"/>
      <c r="C492" s="147"/>
      <c r="D492" s="159"/>
      <c r="E492" s="148"/>
      <c r="F492" s="149"/>
      <c r="G492" s="156"/>
      <c r="H492" s="156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9"/>
    </row>
    <row r="493" spans="1:26" ht="24.75">
      <c r="A493" s="149"/>
      <c r="B493" s="146"/>
      <c r="C493" s="147"/>
      <c r="D493" s="159"/>
      <c r="E493" s="148"/>
      <c r="F493" s="149"/>
      <c r="G493" s="158"/>
      <c r="H493" s="158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9"/>
    </row>
    <row r="494" spans="1:26" ht="24.75">
      <c r="A494" s="149"/>
      <c r="B494" s="146"/>
      <c r="C494" s="147"/>
      <c r="D494" s="159"/>
      <c r="E494" s="148"/>
      <c r="F494" s="149"/>
      <c r="G494" s="156"/>
      <c r="H494" s="156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9"/>
    </row>
    <row r="495" spans="1:26" ht="24.75">
      <c r="A495" s="149"/>
      <c r="B495" s="146"/>
      <c r="C495" s="147"/>
      <c r="D495" s="159"/>
      <c r="E495" s="148"/>
      <c r="F495" s="149"/>
      <c r="G495" s="158"/>
      <c r="H495" s="158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9"/>
    </row>
    <row r="496" spans="1:26" ht="24.75">
      <c r="A496" s="149"/>
      <c r="B496" s="146"/>
      <c r="C496" s="147"/>
      <c r="D496" s="159"/>
      <c r="E496" s="148"/>
      <c r="F496" s="149"/>
      <c r="G496" s="156"/>
      <c r="H496" s="156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9"/>
    </row>
    <row r="497" spans="1:26" ht="24.75">
      <c r="A497" s="149"/>
      <c r="B497" s="146"/>
      <c r="C497" s="147"/>
      <c r="D497" s="159"/>
      <c r="E497" s="148"/>
      <c r="F497" s="149"/>
      <c r="G497" s="158"/>
      <c r="H497" s="158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9"/>
    </row>
    <row r="498" spans="1:26" ht="24.75">
      <c r="A498" s="149"/>
      <c r="B498" s="146"/>
      <c r="C498" s="147"/>
      <c r="D498" s="159"/>
      <c r="E498" s="148"/>
      <c r="F498" s="149"/>
      <c r="G498" s="156"/>
      <c r="H498" s="156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9"/>
    </row>
    <row r="499" spans="1:26" ht="24.75">
      <c r="A499" s="149"/>
      <c r="B499" s="146"/>
      <c r="C499" s="147"/>
      <c r="D499" s="159"/>
      <c r="E499" s="148"/>
      <c r="F499" s="149"/>
      <c r="G499" s="158"/>
      <c r="H499" s="158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9"/>
    </row>
    <row r="500" spans="1:26" ht="24.75">
      <c r="A500" s="149"/>
      <c r="B500" s="146"/>
      <c r="C500" s="147"/>
      <c r="D500" s="159"/>
      <c r="E500" s="148"/>
      <c r="F500" s="149"/>
      <c r="G500" s="156"/>
      <c r="H500" s="156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9"/>
    </row>
    <row r="501" spans="1:26" ht="24.75">
      <c r="A501" s="149"/>
      <c r="B501" s="146"/>
      <c r="C501" s="147"/>
      <c r="D501" s="159"/>
      <c r="E501" s="148"/>
      <c r="F501" s="149"/>
      <c r="G501" s="158"/>
      <c r="H501" s="158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9"/>
    </row>
    <row r="502" spans="1:26" ht="24.75">
      <c r="A502" s="149"/>
      <c r="B502" s="146"/>
      <c r="C502" s="147"/>
      <c r="D502" s="159"/>
      <c r="E502" s="148"/>
      <c r="F502" s="149"/>
      <c r="G502" s="156"/>
      <c r="H502" s="156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9"/>
    </row>
    <row r="503" spans="1:26" ht="24.75">
      <c r="A503" s="149"/>
      <c r="B503" s="146"/>
      <c r="C503" s="147"/>
      <c r="D503" s="159"/>
      <c r="E503" s="148"/>
      <c r="F503" s="149"/>
      <c r="G503" s="158"/>
      <c r="H503" s="158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9"/>
    </row>
    <row r="504" spans="1:26" ht="24.75">
      <c r="A504" s="149"/>
      <c r="B504" s="146"/>
      <c r="C504" s="147"/>
      <c r="D504" s="159"/>
      <c r="E504" s="148"/>
      <c r="F504" s="149"/>
      <c r="G504" s="156"/>
      <c r="H504" s="156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</row>
    <row r="505" spans="1:26" ht="24.75">
      <c r="A505" s="149"/>
      <c r="B505" s="146"/>
      <c r="C505" s="147"/>
      <c r="D505" s="159"/>
      <c r="E505" s="148"/>
      <c r="F505" s="149"/>
      <c r="G505" s="158"/>
      <c r="H505" s="158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9"/>
    </row>
    <row r="506" spans="1:26" ht="24.75">
      <c r="A506" s="149"/>
      <c r="B506" s="146"/>
      <c r="C506" s="147"/>
      <c r="D506" s="159"/>
      <c r="E506" s="148"/>
      <c r="F506" s="149"/>
      <c r="G506" s="156"/>
      <c r="H506" s="156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9"/>
    </row>
    <row r="507" spans="1:26" ht="24.75">
      <c r="A507" s="149"/>
      <c r="B507" s="146"/>
      <c r="C507" s="147"/>
      <c r="D507" s="159"/>
      <c r="E507" s="148"/>
      <c r="F507" s="149"/>
      <c r="G507" s="158"/>
      <c r="H507" s="158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9"/>
    </row>
    <row r="508" spans="1:26" ht="24.75">
      <c r="A508" s="149"/>
      <c r="B508" s="146"/>
      <c r="C508" s="147"/>
      <c r="D508" s="159"/>
      <c r="E508" s="148"/>
      <c r="F508" s="149"/>
      <c r="G508" s="156"/>
      <c r="H508" s="156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9"/>
    </row>
    <row r="509" spans="1:26" ht="24.75">
      <c r="A509" s="149"/>
      <c r="B509" s="146"/>
      <c r="C509" s="147"/>
      <c r="D509" s="159"/>
      <c r="E509" s="148"/>
      <c r="F509" s="149"/>
      <c r="G509" s="158"/>
      <c r="H509" s="158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/>
    </row>
    <row r="510" spans="1:26" ht="24.75">
      <c r="A510" s="149"/>
      <c r="B510" s="146"/>
      <c r="C510" s="147"/>
      <c r="D510" s="159"/>
      <c r="E510" s="148"/>
      <c r="F510" s="149"/>
      <c r="G510" s="156"/>
      <c r="H510" s="156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9"/>
    </row>
    <row r="511" spans="1:26" ht="24.75">
      <c r="A511" s="149"/>
      <c r="B511" s="146"/>
      <c r="C511" s="147"/>
      <c r="D511" s="159"/>
      <c r="E511" s="148"/>
      <c r="F511" s="149"/>
      <c r="G511" s="158"/>
      <c r="H511" s="158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9"/>
    </row>
    <row r="512" spans="1:26" ht="24.75">
      <c r="A512" s="149"/>
      <c r="B512" s="146"/>
      <c r="C512" s="147"/>
      <c r="D512" s="159"/>
      <c r="E512" s="148"/>
      <c r="F512" s="149"/>
      <c r="G512" s="156"/>
      <c r="H512" s="156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9"/>
    </row>
    <row r="513" spans="1:26" ht="24.75">
      <c r="A513" s="149"/>
      <c r="B513" s="146"/>
      <c r="C513" s="147"/>
      <c r="D513" s="159"/>
      <c r="E513" s="148"/>
      <c r="F513" s="149"/>
      <c r="G513" s="158"/>
      <c r="H513" s="158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9"/>
    </row>
    <row r="514" spans="1:26" ht="24.75">
      <c r="A514" s="149"/>
      <c r="B514" s="146"/>
      <c r="C514" s="147"/>
      <c r="D514" s="159"/>
      <c r="E514" s="148"/>
      <c r="F514" s="149"/>
      <c r="G514" s="156"/>
      <c r="H514" s="156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9"/>
    </row>
    <row r="515" spans="1:26" ht="24.75">
      <c r="A515" s="149"/>
      <c r="B515" s="146"/>
      <c r="C515" s="147"/>
      <c r="D515" s="159"/>
      <c r="E515" s="148"/>
      <c r="F515" s="149"/>
      <c r="G515" s="158"/>
      <c r="H515" s="158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9"/>
    </row>
    <row r="516" spans="1:26" ht="24.75">
      <c r="A516" s="149"/>
      <c r="B516" s="146"/>
      <c r="C516" s="147"/>
      <c r="D516" s="159"/>
      <c r="E516" s="148"/>
      <c r="F516" s="149"/>
      <c r="G516" s="156"/>
      <c r="H516" s="156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</row>
    <row r="517" spans="1:26" ht="24.75">
      <c r="A517" s="149"/>
      <c r="B517" s="146"/>
      <c r="C517" s="147"/>
      <c r="D517" s="159"/>
      <c r="E517" s="148"/>
      <c r="F517" s="149"/>
      <c r="G517" s="158"/>
      <c r="H517" s="158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</row>
    <row r="518" spans="1:26" ht="24.75">
      <c r="A518" s="149"/>
      <c r="B518" s="146"/>
      <c r="C518" s="147"/>
      <c r="D518" s="159"/>
      <c r="E518" s="148"/>
      <c r="F518" s="149"/>
      <c r="G518" s="156"/>
      <c r="H518" s="156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</row>
    <row r="519" spans="1:26" ht="24.75">
      <c r="A519" s="149"/>
      <c r="B519" s="146"/>
      <c r="C519" s="147"/>
      <c r="D519" s="159"/>
      <c r="E519" s="148"/>
      <c r="F519" s="149"/>
      <c r="G519" s="158"/>
      <c r="H519" s="158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</row>
    <row r="520" spans="1:26" ht="24.75">
      <c r="A520" s="149"/>
      <c r="B520" s="146"/>
      <c r="C520" s="147"/>
      <c r="D520" s="159"/>
      <c r="E520" s="148"/>
      <c r="F520" s="149"/>
      <c r="G520" s="156"/>
      <c r="H520" s="156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/>
    </row>
    <row r="521" spans="1:26" ht="24.75">
      <c r="A521" s="149"/>
      <c r="B521" s="146"/>
      <c r="C521" s="147"/>
      <c r="D521" s="159"/>
      <c r="E521" s="148"/>
      <c r="F521" s="149"/>
      <c r="G521" s="158"/>
      <c r="H521" s="158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9"/>
    </row>
    <row r="522" spans="1:26" ht="24.75">
      <c r="A522" s="149"/>
      <c r="B522" s="146"/>
      <c r="C522" s="147"/>
      <c r="D522" s="159"/>
      <c r="E522" s="148"/>
      <c r="F522" s="149"/>
      <c r="G522" s="156"/>
      <c r="H522" s="156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9"/>
    </row>
    <row r="523" spans="1:26" ht="24.75">
      <c r="A523" s="149"/>
      <c r="B523" s="146"/>
      <c r="C523" s="147"/>
      <c r="D523" s="159"/>
      <c r="E523" s="148"/>
      <c r="F523" s="149"/>
      <c r="G523" s="158"/>
      <c r="H523" s="158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9"/>
    </row>
    <row r="524" spans="1:26" ht="24.75">
      <c r="A524" s="149"/>
      <c r="B524" s="146"/>
      <c r="C524" s="147"/>
      <c r="D524" s="159"/>
      <c r="E524" s="148"/>
      <c r="F524" s="149"/>
      <c r="G524" s="156"/>
      <c r="H524" s="156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9"/>
    </row>
    <row r="525" spans="1:26" ht="24.75">
      <c r="A525" s="149"/>
      <c r="B525" s="146"/>
      <c r="C525" s="147"/>
      <c r="D525" s="159"/>
      <c r="E525" s="148"/>
      <c r="F525" s="149"/>
      <c r="G525" s="158"/>
      <c r="H525" s="158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9"/>
    </row>
    <row r="526" spans="1:26" ht="24.75">
      <c r="A526" s="149"/>
      <c r="B526" s="146"/>
      <c r="C526" s="147"/>
      <c r="D526" s="159"/>
      <c r="E526" s="148"/>
      <c r="F526" s="149"/>
      <c r="G526" s="156"/>
      <c r="H526" s="156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9"/>
    </row>
    <row r="527" spans="1:26" ht="24.75">
      <c r="A527" s="149"/>
      <c r="B527" s="146"/>
      <c r="C527" s="147"/>
      <c r="D527" s="159"/>
      <c r="E527" s="148"/>
      <c r="F527" s="149"/>
      <c r="G527" s="158"/>
      <c r="H527" s="158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9"/>
    </row>
    <row r="528" spans="1:26" ht="24.75">
      <c r="A528" s="149"/>
      <c r="B528" s="146"/>
      <c r="C528" s="147"/>
      <c r="D528" s="159"/>
      <c r="E528" s="148"/>
      <c r="F528" s="149"/>
      <c r="G528" s="156"/>
      <c r="H528" s="156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9"/>
    </row>
    <row r="529" spans="1:26" ht="24.75">
      <c r="A529" s="149"/>
      <c r="B529" s="146"/>
      <c r="C529" s="147"/>
      <c r="D529" s="159"/>
      <c r="E529" s="148"/>
      <c r="F529" s="149"/>
      <c r="G529" s="158"/>
      <c r="H529" s="158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9"/>
    </row>
    <row r="530" spans="1:26" ht="24.75">
      <c r="A530" s="149"/>
      <c r="B530" s="146"/>
      <c r="C530" s="147"/>
      <c r="D530" s="159"/>
      <c r="E530" s="148"/>
      <c r="F530" s="149"/>
      <c r="G530" s="156"/>
      <c r="H530" s="156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9"/>
    </row>
    <row r="531" spans="1:26" ht="24.75">
      <c r="A531" s="149"/>
      <c r="B531" s="146"/>
      <c r="C531" s="147"/>
      <c r="D531" s="159"/>
      <c r="E531" s="148"/>
      <c r="F531" s="149"/>
      <c r="G531" s="158"/>
      <c r="H531" s="158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9"/>
    </row>
    <row r="532" spans="1:26" ht="24.75">
      <c r="A532" s="149"/>
      <c r="B532" s="146"/>
      <c r="C532" s="147"/>
      <c r="D532" s="159"/>
      <c r="E532" s="148"/>
      <c r="F532" s="149"/>
      <c r="G532" s="156"/>
      <c r="H532" s="156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9"/>
    </row>
    <row r="533" spans="1:26" ht="24.75">
      <c r="A533" s="149"/>
      <c r="B533" s="146"/>
      <c r="C533" s="147"/>
      <c r="D533" s="159"/>
      <c r="E533" s="148"/>
      <c r="F533" s="149"/>
      <c r="G533" s="158"/>
      <c r="H533" s="158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9"/>
    </row>
    <row r="534" spans="1:26" ht="24.75">
      <c r="A534" s="149"/>
      <c r="B534" s="146"/>
      <c r="C534" s="147"/>
      <c r="D534" s="159"/>
      <c r="E534" s="148"/>
      <c r="F534" s="149"/>
      <c r="G534" s="156"/>
      <c r="H534" s="156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9"/>
    </row>
    <row r="535" spans="1:26" ht="24.75">
      <c r="A535" s="149"/>
      <c r="B535" s="146"/>
      <c r="C535" s="147"/>
      <c r="D535" s="159"/>
      <c r="E535" s="148"/>
      <c r="F535" s="149"/>
      <c r="G535" s="158"/>
      <c r="H535" s="158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9"/>
    </row>
    <row r="536" spans="1:26" ht="24.75">
      <c r="A536" s="149"/>
      <c r="B536" s="146"/>
      <c r="C536" s="147"/>
      <c r="D536" s="159"/>
      <c r="E536" s="148"/>
      <c r="F536" s="149"/>
      <c r="G536" s="156"/>
      <c r="H536" s="156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9"/>
    </row>
    <row r="537" spans="1:26" ht="24.75">
      <c r="A537" s="149"/>
      <c r="B537" s="146"/>
      <c r="C537" s="147"/>
      <c r="D537" s="159"/>
      <c r="E537" s="148"/>
      <c r="F537" s="149"/>
      <c r="G537" s="158"/>
      <c r="H537" s="158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9"/>
    </row>
    <row r="538" spans="1:26" ht="24.75">
      <c r="A538" s="149"/>
      <c r="B538" s="146"/>
      <c r="C538" s="147"/>
      <c r="D538" s="159"/>
      <c r="E538" s="148"/>
      <c r="F538" s="149"/>
      <c r="G538" s="156"/>
      <c r="H538" s="156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9"/>
    </row>
    <row r="539" spans="1:26" ht="24.75">
      <c r="A539" s="149"/>
      <c r="B539" s="146"/>
      <c r="C539" s="147"/>
      <c r="D539" s="159"/>
      <c r="E539" s="148"/>
      <c r="F539" s="149"/>
      <c r="G539" s="158"/>
      <c r="H539" s="158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9"/>
    </row>
    <row r="540" spans="1:26" ht="24.75">
      <c r="A540" s="149"/>
      <c r="B540" s="146"/>
      <c r="C540" s="147"/>
      <c r="D540" s="159"/>
      <c r="E540" s="148"/>
      <c r="F540" s="149"/>
      <c r="G540" s="156"/>
      <c r="H540" s="156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/>
    </row>
    <row r="541" spans="1:26" ht="24.75">
      <c r="A541" s="149"/>
      <c r="B541" s="146"/>
      <c r="C541" s="147"/>
      <c r="D541" s="159"/>
      <c r="E541" s="148"/>
      <c r="F541" s="149"/>
      <c r="G541" s="158"/>
      <c r="H541" s="158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9"/>
    </row>
    <row r="542" spans="1:26" ht="24.75">
      <c r="A542" s="149"/>
      <c r="B542" s="146"/>
      <c r="C542" s="147"/>
      <c r="D542" s="159"/>
      <c r="E542" s="148"/>
      <c r="F542" s="149"/>
      <c r="G542" s="156"/>
      <c r="H542" s="156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9"/>
    </row>
    <row r="543" spans="1:26" ht="24.75">
      <c r="A543" s="149"/>
      <c r="B543" s="146"/>
      <c r="C543" s="147"/>
      <c r="D543" s="159"/>
      <c r="E543" s="148"/>
      <c r="F543" s="149"/>
      <c r="G543" s="158"/>
      <c r="H543" s="158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9"/>
    </row>
    <row r="544" spans="1:26" ht="24.75">
      <c r="A544" s="149"/>
      <c r="B544" s="146"/>
      <c r="C544" s="147"/>
      <c r="D544" s="159"/>
      <c r="E544" s="148"/>
      <c r="F544" s="149"/>
      <c r="G544" s="156"/>
      <c r="H544" s="156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9"/>
    </row>
    <row r="545" spans="1:26" ht="24.75">
      <c r="A545" s="149"/>
      <c r="B545" s="146"/>
      <c r="C545" s="147"/>
      <c r="D545" s="159"/>
      <c r="E545" s="148"/>
      <c r="F545" s="149"/>
      <c r="G545" s="158"/>
      <c r="H545" s="158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9"/>
    </row>
    <row r="546" spans="1:26" ht="24.75">
      <c r="A546" s="149"/>
      <c r="B546" s="146"/>
      <c r="C546" s="147"/>
      <c r="D546" s="159"/>
      <c r="E546" s="148"/>
      <c r="F546" s="149"/>
      <c r="G546" s="156"/>
      <c r="H546" s="156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</row>
    <row r="547" spans="1:26" ht="24.75">
      <c r="A547" s="149"/>
      <c r="B547" s="146"/>
      <c r="C547" s="147"/>
      <c r="D547" s="159"/>
      <c r="E547" s="148"/>
      <c r="F547" s="149"/>
      <c r="G547" s="158"/>
      <c r="H547" s="158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</row>
    <row r="548" spans="1:26" ht="24.75">
      <c r="A548" s="149"/>
      <c r="B548" s="146"/>
      <c r="C548" s="147"/>
      <c r="D548" s="159"/>
      <c r="E548" s="148"/>
      <c r="F548" s="149"/>
      <c r="G548" s="156"/>
      <c r="H548" s="156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</row>
    <row r="549" spans="1:26" ht="24.75">
      <c r="A549" s="149"/>
      <c r="B549" s="146"/>
      <c r="C549" s="147"/>
      <c r="D549" s="159"/>
      <c r="E549" s="148"/>
      <c r="F549" s="149"/>
      <c r="G549" s="158"/>
      <c r="H549" s="158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</row>
    <row r="550" spans="1:26" ht="24.75">
      <c r="A550" s="149"/>
      <c r="B550" s="146"/>
      <c r="C550" s="147"/>
      <c r="D550" s="159"/>
      <c r="E550" s="148"/>
      <c r="F550" s="149"/>
      <c r="G550" s="156"/>
      <c r="H550" s="156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</row>
    <row r="551" spans="1:26" ht="24.75">
      <c r="A551" s="149"/>
      <c r="B551" s="146"/>
      <c r="C551" s="147"/>
      <c r="D551" s="159"/>
      <c r="E551" s="148"/>
      <c r="F551" s="149"/>
      <c r="G551" s="158"/>
      <c r="H551" s="158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</row>
    <row r="552" spans="1:26" ht="24.75">
      <c r="A552" s="149"/>
      <c r="B552" s="146"/>
      <c r="C552" s="147"/>
      <c r="D552" s="159"/>
      <c r="E552" s="148"/>
      <c r="F552" s="149"/>
      <c r="G552" s="156"/>
      <c r="H552" s="156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</row>
    <row r="553" spans="1:26" ht="24.75">
      <c r="A553" s="149"/>
      <c r="B553" s="146"/>
      <c r="C553" s="147"/>
      <c r="D553" s="159"/>
      <c r="E553" s="148"/>
      <c r="F553" s="149"/>
      <c r="G553" s="158"/>
      <c r="H553" s="158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</row>
    <row r="554" spans="1:26" ht="24.75">
      <c r="A554" s="149"/>
      <c r="B554" s="146"/>
      <c r="C554" s="147"/>
      <c r="D554" s="159"/>
      <c r="E554" s="148"/>
      <c r="F554" s="149"/>
      <c r="G554" s="156"/>
      <c r="H554" s="156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</row>
    <row r="555" spans="1:26" ht="24.75">
      <c r="A555" s="149"/>
      <c r="B555" s="146"/>
      <c r="C555" s="147"/>
      <c r="D555" s="159"/>
      <c r="E555" s="148"/>
      <c r="F555" s="149"/>
      <c r="G555" s="158"/>
      <c r="H555" s="158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</row>
    <row r="556" spans="1:26" ht="24.75">
      <c r="A556" s="149"/>
      <c r="B556" s="146"/>
      <c r="C556" s="147"/>
      <c r="D556" s="159"/>
      <c r="E556" s="148"/>
      <c r="F556" s="149"/>
      <c r="G556" s="156"/>
      <c r="H556" s="156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</row>
    <row r="557" spans="1:26" ht="24.75">
      <c r="A557" s="149"/>
      <c r="B557" s="146"/>
      <c r="C557" s="147"/>
      <c r="D557" s="159"/>
      <c r="E557" s="148"/>
      <c r="F557" s="149"/>
      <c r="G557" s="158"/>
      <c r="H557" s="158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</row>
    <row r="558" spans="1:26" ht="24.75">
      <c r="A558" s="149"/>
      <c r="B558" s="146"/>
      <c r="C558" s="147"/>
      <c r="D558" s="159"/>
      <c r="E558" s="148"/>
      <c r="F558" s="149"/>
      <c r="G558" s="156"/>
      <c r="H558" s="156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</row>
    <row r="559" spans="1:26" ht="24.75">
      <c r="A559" s="149"/>
      <c r="B559" s="146"/>
      <c r="C559" s="147"/>
      <c r="D559" s="159"/>
      <c r="E559" s="148"/>
      <c r="F559" s="149"/>
      <c r="G559" s="158"/>
      <c r="H559" s="158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</row>
    <row r="560" spans="1:26" ht="24.75">
      <c r="A560" s="149"/>
      <c r="B560" s="146"/>
      <c r="C560" s="147"/>
      <c r="D560" s="159"/>
      <c r="E560" s="148"/>
      <c r="F560" s="149"/>
      <c r="G560" s="156"/>
      <c r="H560" s="156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</row>
    <row r="561" spans="1:26" ht="24.75">
      <c r="A561" s="149"/>
      <c r="B561" s="146"/>
      <c r="C561" s="147"/>
      <c r="D561" s="159"/>
      <c r="E561" s="148"/>
      <c r="F561" s="149"/>
      <c r="G561" s="158"/>
      <c r="H561" s="158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</row>
    <row r="562" spans="1:26" ht="24.75">
      <c r="A562" s="149"/>
      <c r="B562" s="146"/>
      <c r="C562" s="147"/>
      <c r="D562" s="159"/>
      <c r="E562" s="148"/>
      <c r="F562" s="149"/>
      <c r="G562" s="156"/>
      <c r="H562" s="156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</row>
    <row r="563" spans="1:26" ht="24.75">
      <c r="A563" s="149"/>
      <c r="B563" s="146"/>
      <c r="C563" s="147"/>
      <c r="D563" s="159"/>
      <c r="E563" s="148"/>
      <c r="F563" s="149"/>
      <c r="G563" s="158"/>
      <c r="H563" s="158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</row>
    <row r="564" spans="1:26" ht="24.75">
      <c r="A564" s="149"/>
      <c r="B564" s="146"/>
      <c r="C564" s="147"/>
      <c r="D564" s="159"/>
      <c r="E564" s="148"/>
      <c r="F564" s="149"/>
      <c r="G564" s="156"/>
      <c r="H564" s="156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</row>
    <row r="565" spans="1:26" ht="24.75">
      <c r="A565" s="149"/>
      <c r="B565" s="146"/>
      <c r="C565" s="147"/>
      <c r="D565" s="159"/>
      <c r="E565" s="148"/>
      <c r="F565" s="149"/>
      <c r="G565" s="158"/>
      <c r="H565" s="158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</row>
    <row r="566" spans="1:26" ht="24.75">
      <c r="A566" s="149"/>
      <c r="B566" s="146"/>
      <c r="C566" s="147"/>
      <c r="D566" s="159"/>
      <c r="E566" s="148"/>
      <c r="F566" s="149"/>
      <c r="G566" s="156"/>
      <c r="H566" s="156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</row>
    <row r="567" spans="1:26" ht="24.75">
      <c r="A567" s="149"/>
      <c r="B567" s="146"/>
      <c r="C567" s="147"/>
      <c r="D567" s="159"/>
      <c r="E567" s="148"/>
      <c r="F567" s="149"/>
      <c r="G567" s="158"/>
      <c r="H567" s="158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</row>
    <row r="568" spans="1:26" ht="24.75">
      <c r="A568" s="149"/>
      <c r="B568" s="146"/>
      <c r="C568" s="147"/>
      <c r="D568" s="159"/>
      <c r="E568" s="148"/>
      <c r="F568" s="149"/>
      <c r="G568" s="156"/>
      <c r="H568" s="156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</row>
    <row r="569" spans="1:26" ht="24.75">
      <c r="A569" s="149"/>
      <c r="B569" s="146"/>
      <c r="C569" s="147"/>
      <c r="D569" s="159"/>
      <c r="E569" s="148"/>
      <c r="F569" s="149"/>
      <c r="G569" s="158"/>
      <c r="H569" s="158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</row>
    <row r="570" spans="1:26" ht="24.75">
      <c r="A570" s="149"/>
      <c r="B570" s="146"/>
      <c r="C570" s="147"/>
      <c r="D570" s="159"/>
      <c r="E570" s="148"/>
      <c r="F570" s="149"/>
      <c r="G570" s="156"/>
      <c r="H570" s="156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</row>
    <row r="571" spans="1:26" ht="24.75">
      <c r="A571" s="149"/>
      <c r="B571" s="146"/>
      <c r="C571" s="147"/>
      <c r="D571" s="159"/>
      <c r="E571" s="148"/>
      <c r="F571" s="149"/>
      <c r="G571" s="158"/>
      <c r="H571" s="158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</row>
    <row r="572" spans="1:26" ht="24.75">
      <c r="A572" s="149"/>
      <c r="B572" s="146"/>
      <c r="C572" s="147"/>
      <c r="D572" s="159"/>
      <c r="E572" s="148"/>
      <c r="F572" s="149"/>
      <c r="G572" s="156"/>
      <c r="H572" s="156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</row>
    <row r="573" spans="1:26" ht="24.75">
      <c r="A573" s="149"/>
      <c r="B573" s="146"/>
      <c r="C573" s="147"/>
      <c r="D573" s="159"/>
      <c r="E573" s="148"/>
      <c r="F573" s="149"/>
      <c r="G573" s="158"/>
      <c r="H573" s="158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</row>
    <row r="574" spans="1:26" ht="24.75">
      <c r="A574" s="149"/>
      <c r="B574" s="146"/>
      <c r="C574" s="147"/>
      <c r="D574" s="159"/>
      <c r="E574" s="148"/>
      <c r="F574" s="149"/>
      <c r="G574" s="156"/>
      <c r="H574" s="156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</row>
    <row r="575" spans="1:26" ht="24.75">
      <c r="A575" s="149"/>
      <c r="B575" s="146"/>
      <c r="C575" s="147"/>
      <c r="D575" s="159"/>
      <c r="E575" s="148"/>
      <c r="F575" s="149"/>
      <c r="G575" s="158"/>
      <c r="H575" s="158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</row>
    <row r="576" spans="1:26" ht="24.75">
      <c r="A576" s="149"/>
      <c r="B576" s="146"/>
      <c r="C576" s="147"/>
      <c r="D576" s="159"/>
      <c r="E576" s="148"/>
      <c r="F576" s="149"/>
      <c r="G576" s="156"/>
      <c r="H576" s="156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</row>
    <row r="577" spans="1:26" ht="24.75">
      <c r="A577" s="149"/>
      <c r="B577" s="146"/>
      <c r="C577" s="147"/>
      <c r="D577" s="159"/>
      <c r="E577" s="148"/>
      <c r="F577" s="149"/>
      <c r="G577" s="158"/>
      <c r="H577" s="158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</row>
    <row r="578" spans="1:26" ht="24.75">
      <c r="A578" s="149"/>
      <c r="B578" s="146"/>
      <c r="C578" s="147"/>
      <c r="D578" s="159"/>
      <c r="E578" s="148"/>
      <c r="F578" s="149"/>
      <c r="G578" s="156"/>
      <c r="H578" s="156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9"/>
    </row>
    <row r="579" spans="1:26" ht="24.75">
      <c r="A579" s="149"/>
      <c r="B579" s="146"/>
      <c r="C579" s="147"/>
      <c r="D579" s="159"/>
      <c r="E579" s="148"/>
      <c r="F579" s="149"/>
      <c r="G579" s="158"/>
      <c r="H579" s="158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</row>
    <row r="580" spans="1:26" ht="24.75">
      <c r="A580" s="149"/>
      <c r="B580" s="146"/>
      <c r="C580" s="147"/>
      <c r="D580" s="159"/>
      <c r="E580" s="148"/>
      <c r="F580" s="149"/>
      <c r="G580" s="156"/>
      <c r="H580" s="156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</row>
    <row r="581" spans="1:26" ht="24.75">
      <c r="A581" s="149"/>
      <c r="B581" s="146"/>
      <c r="C581" s="147"/>
      <c r="D581" s="159"/>
      <c r="E581" s="148"/>
      <c r="F581" s="149"/>
      <c r="G581" s="158"/>
      <c r="H581" s="158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</row>
    <row r="582" spans="1:26" ht="24.75">
      <c r="A582" s="149"/>
      <c r="B582" s="146"/>
      <c r="C582" s="147"/>
      <c r="D582" s="159"/>
      <c r="E582" s="148"/>
      <c r="F582" s="149"/>
      <c r="G582" s="156"/>
      <c r="H582" s="156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</row>
    <row r="583" spans="1:26" ht="24.75">
      <c r="A583" s="149"/>
      <c r="B583" s="146"/>
      <c r="C583" s="147"/>
      <c r="D583" s="159"/>
      <c r="E583" s="148"/>
      <c r="F583" s="149"/>
      <c r="G583" s="158"/>
      <c r="H583" s="158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</row>
    <row r="584" spans="1:26" ht="24.75">
      <c r="A584" s="149"/>
      <c r="B584" s="146"/>
      <c r="C584" s="147"/>
      <c r="D584" s="159"/>
      <c r="E584" s="148"/>
      <c r="F584" s="149"/>
      <c r="G584" s="156"/>
      <c r="H584" s="156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</row>
    <row r="585" spans="1:26" ht="24.75">
      <c r="A585" s="149"/>
      <c r="B585" s="146"/>
      <c r="C585" s="147"/>
      <c r="D585" s="159"/>
      <c r="E585" s="148"/>
      <c r="F585" s="149"/>
      <c r="G585" s="158"/>
      <c r="H585" s="158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</row>
    <row r="586" spans="1:26" ht="24.75">
      <c r="A586" s="149"/>
      <c r="B586" s="146"/>
      <c r="C586" s="147"/>
      <c r="D586" s="159"/>
      <c r="E586" s="148"/>
      <c r="F586" s="149"/>
      <c r="G586" s="156"/>
      <c r="H586" s="156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</row>
    <row r="587" spans="1:26" ht="24.75">
      <c r="A587" s="149"/>
      <c r="B587" s="146"/>
      <c r="C587" s="147"/>
      <c r="D587" s="159"/>
      <c r="E587" s="148"/>
      <c r="F587" s="149"/>
      <c r="G587" s="158"/>
      <c r="H587" s="158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</row>
    <row r="588" spans="1:26" ht="24.75">
      <c r="A588" s="149"/>
      <c r="B588" s="146"/>
      <c r="C588" s="147"/>
      <c r="D588" s="159"/>
      <c r="E588" s="148"/>
      <c r="F588" s="149"/>
      <c r="G588" s="156"/>
      <c r="H588" s="156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</row>
    <row r="589" spans="1:26" ht="24.75">
      <c r="A589" s="149"/>
      <c r="B589" s="146"/>
      <c r="C589" s="147"/>
      <c r="D589" s="159"/>
      <c r="E589" s="148"/>
      <c r="F589" s="149"/>
      <c r="G589" s="158"/>
      <c r="H589" s="158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</row>
    <row r="590" spans="1:26" ht="24.75">
      <c r="A590" s="149"/>
      <c r="B590" s="146"/>
      <c r="C590" s="147"/>
      <c r="D590" s="159"/>
      <c r="E590" s="148"/>
      <c r="F590" s="149"/>
      <c r="G590" s="156"/>
      <c r="H590" s="156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</row>
    <row r="591" spans="1:26" ht="24.75">
      <c r="A591" s="149"/>
      <c r="B591" s="146"/>
      <c r="C591" s="147"/>
      <c r="D591" s="159"/>
      <c r="E591" s="148"/>
      <c r="F591" s="149"/>
      <c r="G591" s="158"/>
      <c r="H591" s="158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</row>
    <row r="592" spans="1:26" ht="24.75">
      <c r="A592" s="149"/>
      <c r="B592" s="146"/>
      <c r="C592" s="147"/>
      <c r="D592" s="159"/>
      <c r="E592" s="148"/>
      <c r="F592" s="149"/>
      <c r="G592" s="156"/>
      <c r="H592" s="156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</row>
    <row r="593" spans="1:26" ht="24.75">
      <c r="A593" s="149"/>
      <c r="B593" s="146"/>
      <c r="C593" s="147"/>
      <c r="D593" s="159"/>
      <c r="E593" s="148"/>
      <c r="F593" s="149"/>
      <c r="G593" s="158"/>
      <c r="H593" s="158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</row>
    <row r="594" spans="1:26" ht="24.75">
      <c r="A594" s="149"/>
      <c r="B594" s="146"/>
      <c r="C594" s="147"/>
      <c r="D594" s="159"/>
      <c r="E594" s="148"/>
      <c r="F594" s="149"/>
      <c r="G594" s="156"/>
      <c r="H594" s="156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</row>
    <row r="595" spans="1:26" ht="24.75">
      <c r="A595" s="149"/>
      <c r="B595" s="146"/>
      <c r="C595" s="147"/>
      <c r="D595" s="159"/>
      <c r="E595" s="148"/>
      <c r="F595" s="149"/>
      <c r="G595" s="158"/>
      <c r="H595" s="158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</row>
    <row r="596" spans="1:26" ht="24.75">
      <c r="A596" s="149"/>
      <c r="B596" s="146"/>
      <c r="C596" s="147"/>
      <c r="D596" s="159"/>
      <c r="E596" s="148"/>
      <c r="F596" s="149"/>
      <c r="G596" s="156"/>
      <c r="H596" s="156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</row>
    <row r="597" spans="1:26" ht="24.75">
      <c r="A597" s="149"/>
      <c r="B597" s="146"/>
      <c r="C597" s="147"/>
      <c r="D597" s="159"/>
      <c r="E597" s="148"/>
      <c r="F597" s="149"/>
      <c r="G597" s="158"/>
      <c r="H597" s="158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</row>
    <row r="598" spans="1:26" ht="24.75">
      <c r="A598" s="149"/>
      <c r="B598" s="146"/>
      <c r="C598" s="147"/>
      <c r="D598" s="159"/>
      <c r="E598" s="148"/>
      <c r="F598" s="149"/>
      <c r="G598" s="156"/>
      <c r="H598" s="156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</row>
    <row r="599" spans="1:26" ht="24.75">
      <c r="A599" s="149"/>
      <c r="B599" s="146"/>
      <c r="C599" s="147"/>
      <c r="D599" s="159"/>
      <c r="E599" s="148"/>
      <c r="F599" s="149"/>
      <c r="G599" s="158"/>
      <c r="H599" s="158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</row>
    <row r="600" spans="1:26" ht="24.75">
      <c r="A600" s="149"/>
      <c r="B600" s="146"/>
      <c r="C600" s="147"/>
      <c r="D600" s="159"/>
      <c r="E600" s="148"/>
      <c r="F600" s="149"/>
      <c r="G600" s="156"/>
      <c r="H600" s="156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</row>
    <row r="601" spans="1:26" ht="24.75">
      <c r="A601" s="149"/>
      <c r="B601" s="146"/>
      <c r="C601" s="147"/>
      <c r="D601" s="159"/>
      <c r="E601" s="148"/>
      <c r="F601" s="149"/>
      <c r="G601" s="158"/>
      <c r="H601" s="158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</row>
    <row r="602" spans="1:26" ht="24.75">
      <c r="A602" s="149"/>
      <c r="B602" s="146"/>
      <c r="C602" s="147"/>
      <c r="D602" s="159"/>
      <c r="E602" s="148"/>
      <c r="F602" s="149"/>
      <c r="G602" s="156"/>
      <c r="H602" s="156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</row>
    <row r="603" spans="1:26" ht="24.75">
      <c r="A603" s="149"/>
      <c r="B603" s="146"/>
      <c r="C603" s="147"/>
      <c r="D603" s="159"/>
      <c r="E603" s="148"/>
      <c r="F603" s="149"/>
      <c r="G603" s="158"/>
      <c r="H603" s="158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</row>
    <row r="604" spans="1:26" ht="24.75">
      <c r="A604" s="149"/>
      <c r="B604" s="146"/>
      <c r="C604" s="147"/>
      <c r="D604" s="159"/>
      <c r="E604" s="148"/>
      <c r="F604" s="149"/>
      <c r="G604" s="156"/>
      <c r="H604" s="156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</row>
    <row r="605" spans="1:26" ht="24.75">
      <c r="A605" s="149"/>
      <c r="B605" s="146"/>
      <c r="C605" s="147"/>
      <c r="D605" s="159"/>
      <c r="E605" s="148"/>
      <c r="F605" s="149"/>
      <c r="G605" s="158"/>
      <c r="H605" s="158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</row>
    <row r="606" spans="1:26" ht="24.75">
      <c r="A606" s="149"/>
      <c r="B606" s="146"/>
      <c r="C606" s="147"/>
      <c r="D606" s="159"/>
      <c r="E606" s="148"/>
      <c r="F606" s="149"/>
      <c r="G606" s="156"/>
      <c r="H606" s="156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</row>
    <row r="607" spans="1:26" ht="24.75">
      <c r="A607" s="149"/>
      <c r="B607" s="146"/>
      <c r="C607" s="147"/>
      <c r="D607" s="159"/>
      <c r="E607" s="148"/>
      <c r="F607" s="149"/>
      <c r="G607" s="158"/>
      <c r="H607" s="158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</row>
    <row r="608" spans="1:26" ht="24.75">
      <c r="A608" s="149"/>
      <c r="B608" s="146"/>
      <c r="C608" s="147"/>
      <c r="D608" s="159"/>
      <c r="E608" s="148"/>
      <c r="F608" s="149"/>
      <c r="G608" s="156"/>
      <c r="H608" s="156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</row>
    <row r="609" spans="1:26" ht="24.75">
      <c r="A609" s="149"/>
      <c r="B609" s="146"/>
      <c r="C609" s="147"/>
      <c r="D609" s="159"/>
      <c r="E609" s="148"/>
      <c r="F609" s="149"/>
      <c r="G609" s="158"/>
      <c r="H609" s="158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</row>
    <row r="610" spans="1:26" ht="24.75">
      <c r="A610" s="149"/>
      <c r="B610" s="146"/>
      <c r="C610" s="147"/>
      <c r="D610" s="159"/>
      <c r="E610" s="148"/>
      <c r="F610" s="149"/>
      <c r="G610" s="156"/>
      <c r="H610" s="156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</row>
    <row r="611" spans="1:26" ht="24.75">
      <c r="A611" s="149"/>
      <c r="B611" s="146"/>
      <c r="C611" s="147"/>
      <c r="D611" s="159"/>
      <c r="E611" s="148"/>
      <c r="F611" s="149"/>
      <c r="G611" s="158"/>
      <c r="H611" s="158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</row>
    <row r="612" spans="1:26" ht="24.75">
      <c r="A612" s="149"/>
      <c r="B612" s="146"/>
      <c r="C612" s="147"/>
      <c r="D612" s="159"/>
      <c r="E612" s="148"/>
      <c r="F612" s="149"/>
      <c r="G612" s="156"/>
      <c r="H612" s="156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</row>
    <row r="613" spans="1:26" ht="24.75">
      <c r="A613" s="149"/>
      <c r="B613" s="146"/>
      <c r="C613" s="147"/>
      <c r="D613" s="159"/>
      <c r="E613" s="148"/>
      <c r="F613" s="149"/>
      <c r="G613" s="158"/>
      <c r="H613" s="158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</row>
    <row r="614" spans="1:26" ht="24.75">
      <c r="A614" s="149"/>
      <c r="B614" s="146"/>
      <c r="C614" s="147"/>
      <c r="D614" s="159"/>
      <c r="E614" s="148"/>
      <c r="F614" s="149"/>
      <c r="G614" s="156"/>
      <c r="H614" s="156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</row>
    <row r="615" spans="1:26" ht="24.75">
      <c r="A615" s="149"/>
      <c r="B615" s="146"/>
      <c r="C615" s="147"/>
      <c r="D615" s="159"/>
      <c r="E615" s="148"/>
      <c r="F615" s="149"/>
      <c r="G615" s="158"/>
      <c r="H615" s="158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</row>
    <row r="616" spans="1:26" ht="24.75">
      <c r="A616" s="149"/>
      <c r="B616" s="146"/>
      <c r="C616" s="147"/>
      <c r="D616" s="159"/>
      <c r="E616" s="148"/>
      <c r="F616" s="149"/>
      <c r="G616" s="156"/>
      <c r="H616" s="156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</row>
    <row r="617" spans="1:26" ht="24.75">
      <c r="A617" s="149"/>
      <c r="B617" s="146"/>
      <c r="C617" s="147"/>
      <c r="D617" s="159"/>
      <c r="E617" s="148"/>
      <c r="F617" s="149"/>
      <c r="G617" s="158"/>
      <c r="H617" s="158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</row>
    <row r="618" spans="1:26" ht="24.75">
      <c r="A618" s="149"/>
      <c r="B618" s="146"/>
      <c r="C618" s="147"/>
      <c r="D618" s="159"/>
      <c r="E618" s="148"/>
      <c r="F618" s="149"/>
      <c r="G618" s="156"/>
      <c r="H618" s="156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</row>
    <row r="619" spans="1:26" ht="24.75">
      <c r="A619" s="149"/>
      <c r="B619" s="146"/>
      <c r="C619" s="147"/>
      <c r="D619" s="159"/>
      <c r="E619" s="148"/>
      <c r="F619" s="149"/>
      <c r="G619" s="158"/>
      <c r="H619" s="158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</row>
    <row r="620" spans="1:26" ht="24.75">
      <c r="A620" s="149"/>
      <c r="B620" s="146"/>
      <c r="C620" s="147"/>
      <c r="D620" s="159"/>
      <c r="E620" s="148"/>
      <c r="F620" s="149"/>
      <c r="G620" s="156"/>
      <c r="H620" s="156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</row>
    <row r="621" spans="1:26" ht="24.75">
      <c r="A621" s="149"/>
      <c r="B621" s="146"/>
      <c r="C621" s="147"/>
      <c r="D621" s="159"/>
      <c r="E621" s="148"/>
      <c r="F621" s="149"/>
      <c r="G621" s="158"/>
      <c r="H621" s="158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</row>
    <row r="622" spans="1:26" ht="24.75">
      <c r="A622" s="149"/>
      <c r="B622" s="146"/>
      <c r="C622" s="147"/>
      <c r="D622" s="159"/>
      <c r="E622" s="148"/>
      <c r="F622" s="149"/>
      <c r="G622" s="156"/>
      <c r="H622" s="156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</row>
    <row r="623" spans="1:26" ht="24.75">
      <c r="A623" s="149"/>
      <c r="B623" s="146"/>
      <c r="C623" s="147"/>
      <c r="D623" s="159"/>
      <c r="E623" s="148"/>
      <c r="F623" s="149"/>
      <c r="G623" s="158"/>
      <c r="H623" s="158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</row>
    <row r="624" spans="1:26" ht="24.75">
      <c r="A624" s="149"/>
      <c r="B624" s="146"/>
      <c r="C624" s="147"/>
      <c r="D624" s="159"/>
      <c r="E624" s="148"/>
      <c r="F624" s="149"/>
      <c r="G624" s="156"/>
      <c r="H624" s="156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</row>
    <row r="625" spans="1:26" ht="24.75">
      <c r="A625" s="149"/>
      <c r="B625" s="146"/>
      <c r="C625" s="147"/>
      <c r="D625" s="159"/>
      <c r="E625" s="148"/>
      <c r="F625" s="149"/>
      <c r="G625" s="158"/>
      <c r="H625" s="158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</row>
    <row r="626" spans="1:26" ht="24.75">
      <c r="A626" s="149"/>
      <c r="B626" s="146"/>
      <c r="C626" s="147"/>
      <c r="D626" s="159"/>
      <c r="E626" s="148"/>
      <c r="F626" s="149"/>
      <c r="G626" s="156"/>
      <c r="H626" s="156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</row>
    <row r="627" spans="1:26" ht="24.75">
      <c r="A627" s="149"/>
      <c r="B627" s="146"/>
      <c r="C627" s="147"/>
      <c r="D627" s="159"/>
      <c r="E627" s="148"/>
      <c r="F627" s="149"/>
      <c r="G627" s="158"/>
      <c r="H627" s="158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</row>
    <row r="628" spans="1:26" ht="24.75">
      <c r="A628" s="149"/>
      <c r="B628" s="146"/>
      <c r="C628" s="147"/>
      <c r="D628" s="159"/>
      <c r="E628" s="148"/>
      <c r="F628" s="149"/>
      <c r="G628" s="156"/>
      <c r="H628" s="156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</row>
    <row r="629" spans="1:26" ht="24.75">
      <c r="A629" s="149"/>
      <c r="B629" s="146"/>
      <c r="C629" s="147"/>
      <c r="D629" s="159"/>
      <c r="E629" s="148"/>
      <c r="F629" s="149"/>
      <c r="G629" s="158"/>
      <c r="H629" s="158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</row>
    <row r="630" spans="1:26" ht="24.75">
      <c r="A630" s="149"/>
      <c r="B630" s="146"/>
      <c r="C630" s="147"/>
      <c r="D630" s="159"/>
      <c r="E630" s="148"/>
      <c r="F630" s="149"/>
      <c r="G630" s="156"/>
      <c r="H630" s="156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/>
    </row>
    <row r="631" spans="1:26" ht="24.75">
      <c r="A631" s="149"/>
      <c r="B631" s="146"/>
      <c r="C631" s="147"/>
      <c r="D631" s="159"/>
      <c r="E631" s="148"/>
      <c r="F631" s="149"/>
      <c r="G631" s="158"/>
      <c r="H631" s="158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/>
    </row>
    <row r="632" spans="1:26" ht="24.75">
      <c r="A632" s="149"/>
      <c r="B632" s="146"/>
      <c r="C632" s="147"/>
      <c r="D632" s="159"/>
      <c r="E632" s="148"/>
      <c r="F632" s="149"/>
      <c r="G632" s="156"/>
      <c r="H632" s="156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/>
    </row>
    <row r="633" spans="1:26" ht="24.75">
      <c r="A633" s="149"/>
      <c r="B633" s="146"/>
      <c r="C633" s="147"/>
      <c r="D633" s="159"/>
      <c r="E633" s="148"/>
      <c r="F633" s="149"/>
      <c r="G633" s="158"/>
      <c r="H633" s="158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/>
    </row>
    <row r="634" spans="1:26" ht="24.75">
      <c r="A634" s="149"/>
      <c r="B634" s="146"/>
      <c r="C634" s="147"/>
      <c r="D634" s="159"/>
      <c r="E634" s="148"/>
      <c r="F634" s="149"/>
      <c r="G634" s="156"/>
      <c r="H634" s="156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9"/>
    </row>
    <row r="635" spans="1:26" ht="24.75">
      <c r="A635" s="149"/>
      <c r="B635" s="146"/>
      <c r="C635" s="147"/>
      <c r="D635" s="159"/>
      <c r="E635" s="148"/>
      <c r="F635" s="149"/>
      <c r="G635" s="158"/>
      <c r="H635" s="158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9"/>
    </row>
    <row r="636" spans="1:26" ht="24.75">
      <c r="A636" s="149"/>
      <c r="B636" s="146"/>
      <c r="C636" s="147"/>
      <c r="D636" s="159"/>
      <c r="E636" s="148"/>
      <c r="F636" s="149"/>
      <c r="G636" s="156"/>
      <c r="H636" s="156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9"/>
    </row>
    <row r="637" spans="1:26" ht="24.75">
      <c r="A637" s="149"/>
      <c r="B637" s="146"/>
      <c r="C637" s="147"/>
      <c r="D637" s="159"/>
      <c r="E637" s="148"/>
      <c r="F637" s="149"/>
      <c r="G637" s="158"/>
      <c r="H637" s="158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9"/>
    </row>
    <row r="638" spans="1:26" ht="24.75">
      <c r="A638" s="149"/>
      <c r="B638" s="146"/>
      <c r="C638" s="147"/>
      <c r="D638" s="159"/>
      <c r="E638" s="148"/>
      <c r="F638" s="149"/>
      <c r="G638" s="156"/>
      <c r="H638" s="156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9"/>
    </row>
    <row r="639" spans="1:26" ht="24.75">
      <c r="A639" s="149"/>
      <c r="B639" s="146"/>
      <c r="C639" s="147"/>
      <c r="D639" s="159"/>
      <c r="E639" s="148"/>
      <c r="F639" s="149"/>
      <c r="G639" s="158"/>
      <c r="H639" s="158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9"/>
    </row>
    <row r="640" spans="1:26" ht="24.75">
      <c r="A640" s="149"/>
      <c r="B640" s="146"/>
      <c r="C640" s="147"/>
      <c r="D640" s="159"/>
      <c r="E640" s="148"/>
      <c r="F640" s="149"/>
      <c r="G640" s="156"/>
      <c r="H640" s="156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9"/>
    </row>
    <row r="641" spans="1:26" ht="24.75">
      <c r="A641" s="149"/>
      <c r="B641" s="146"/>
      <c r="C641" s="147"/>
      <c r="D641" s="159"/>
      <c r="E641" s="148"/>
      <c r="F641" s="149"/>
      <c r="G641" s="158"/>
      <c r="H641" s="158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9"/>
    </row>
    <row r="642" spans="1:26" ht="24.75">
      <c r="A642" s="149"/>
      <c r="B642" s="146"/>
      <c r="C642" s="147"/>
      <c r="D642" s="159"/>
      <c r="E642" s="148"/>
      <c r="F642" s="149"/>
      <c r="G642" s="156"/>
      <c r="H642" s="156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9"/>
    </row>
    <row r="643" spans="1:26" ht="24.75">
      <c r="A643" s="149"/>
      <c r="B643" s="146"/>
      <c r="C643" s="147"/>
      <c r="D643" s="159"/>
      <c r="E643" s="148"/>
      <c r="F643" s="149"/>
      <c r="G643" s="158"/>
      <c r="H643" s="158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9"/>
    </row>
    <row r="644" spans="1:26" ht="24.75">
      <c r="A644" s="149"/>
      <c r="B644" s="146"/>
      <c r="C644" s="147"/>
      <c r="D644" s="159"/>
      <c r="E644" s="148"/>
      <c r="F644" s="149"/>
      <c r="G644" s="156"/>
      <c r="H644" s="156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9"/>
    </row>
    <row r="645" spans="1:26" ht="24.75">
      <c r="A645" s="149"/>
      <c r="B645" s="146"/>
      <c r="C645" s="147"/>
      <c r="D645" s="159"/>
      <c r="E645" s="148"/>
      <c r="F645" s="149"/>
      <c r="G645" s="158"/>
      <c r="H645" s="158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9"/>
    </row>
    <row r="646" spans="1:26" ht="24.75">
      <c r="A646" s="149"/>
      <c r="B646" s="146"/>
      <c r="C646" s="147"/>
      <c r="D646" s="159"/>
      <c r="E646" s="148"/>
      <c r="F646" s="149"/>
      <c r="G646" s="156"/>
      <c r="H646" s="156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</row>
    <row r="647" spans="1:26" ht="24.75">
      <c r="A647" s="149"/>
      <c r="B647" s="146"/>
      <c r="C647" s="147"/>
      <c r="D647" s="159"/>
      <c r="E647" s="148"/>
      <c r="F647" s="149"/>
      <c r="G647" s="158"/>
      <c r="H647" s="158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9"/>
    </row>
    <row r="648" spans="1:26" ht="24.75">
      <c r="A648" s="149"/>
      <c r="B648" s="146"/>
      <c r="C648" s="147"/>
      <c r="D648" s="159"/>
      <c r="E648" s="148"/>
      <c r="F648" s="149"/>
      <c r="G648" s="156"/>
      <c r="H648" s="156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9"/>
    </row>
    <row r="649" spans="1:26" ht="24.75">
      <c r="A649" s="149"/>
      <c r="B649" s="146"/>
      <c r="C649" s="147"/>
      <c r="D649" s="159"/>
      <c r="E649" s="148"/>
      <c r="F649" s="149"/>
      <c r="G649" s="158"/>
      <c r="H649" s="158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9"/>
    </row>
    <row r="650" spans="1:26" ht="24.75">
      <c r="A650" s="149"/>
      <c r="B650" s="146"/>
      <c r="C650" s="147"/>
      <c r="D650" s="159"/>
      <c r="E650" s="148"/>
      <c r="F650" s="149"/>
      <c r="G650" s="156"/>
      <c r="H650" s="156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9"/>
    </row>
    <row r="651" spans="1:26" ht="24.75">
      <c r="A651" s="149"/>
      <c r="B651" s="146"/>
      <c r="C651" s="147"/>
      <c r="D651" s="159"/>
      <c r="E651" s="148"/>
      <c r="F651" s="149"/>
      <c r="G651" s="158"/>
      <c r="H651" s="158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9"/>
    </row>
    <row r="652" spans="1:26" ht="24.75">
      <c r="A652" s="149"/>
      <c r="B652" s="146"/>
      <c r="C652" s="147"/>
      <c r="D652" s="159"/>
      <c r="E652" s="148"/>
      <c r="F652" s="149"/>
      <c r="G652" s="156"/>
      <c r="H652" s="156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9"/>
    </row>
    <row r="653" spans="1:26" ht="24.75">
      <c r="A653" s="149"/>
      <c r="B653" s="146"/>
      <c r="C653" s="147"/>
      <c r="D653" s="159"/>
      <c r="E653" s="148"/>
      <c r="F653" s="149"/>
      <c r="G653" s="158"/>
      <c r="H653" s="158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9"/>
    </row>
    <row r="654" spans="1:26" ht="24.75">
      <c r="A654" s="149"/>
      <c r="B654" s="146"/>
      <c r="C654" s="147"/>
      <c r="D654" s="159"/>
      <c r="E654" s="148"/>
      <c r="F654" s="149"/>
      <c r="G654" s="156"/>
      <c r="H654" s="156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9"/>
    </row>
    <row r="655" spans="1:26" ht="24.75">
      <c r="A655" s="149"/>
      <c r="B655" s="146"/>
      <c r="C655" s="147"/>
      <c r="D655" s="159"/>
      <c r="E655" s="148"/>
      <c r="F655" s="149"/>
      <c r="G655" s="158"/>
      <c r="H655" s="158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9"/>
    </row>
    <row r="656" spans="1:26" ht="24.75">
      <c r="A656" s="149"/>
      <c r="B656" s="146"/>
      <c r="C656" s="147"/>
      <c r="D656" s="159"/>
      <c r="E656" s="148"/>
      <c r="F656" s="149"/>
      <c r="G656" s="156"/>
      <c r="H656" s="156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/>
    </row>
    <row r="657" spans="1:26" ht="24.75">
      <c r="A657" s="149"/>
      <c r="B657" s="146"/>
      <c r="C657" s="147"/>
      <c r="D657" s="159"/>
      <c r="E657" s="148"/>
      <c r="F657" s="149"/>
      <c r="G657" s="158"/>
      <c r="H657" s="158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</row>
    <row r="658" spans="1:26" ht="24.75">
      <c r="A658" s="149"/>
      <c r="B658" s="146"/>
      <c r="C658" s="147"/>
      <c r="D658" s="159"/>
      <c r="E658" s="148"/>
      <c r="F658" s="149"/>
      <c r="G658" s="156"/>
      <c r="H658" s="156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/>
    </row>
    <row r="659" spans="1:26" ht="24.75">
      <c r="A659" s="149"/>
      <c r="B659" s="146"/>
      <c r="C659" s="147"/>
      <c r="D659" s="159"/>
      <c r="E659" s="148"/>
      <c r="F659" s="149"/>
      <c r="G659" s="158"/>
      <c r="H659" s="158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</row>
    <row r="660" spans="1:26" ht="24.75">
      <c r="A660" s="149"/>
      <c r="B660" s="146"/>
      <c r="C660" s="147"/>
      <c r="D660" s="159"/>
      <c r="E660" s="148"/>
      <c r="F660" s="149"/>
      <c r="G660" s="156"/>
      <c r="H660" s="156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9"/>
    </row>
    <row r="661" spans="1:26" ht="24.75">
      <c r="A661" s="149"/>
      <c r="B661" s="146"/>
      <c r="C661" s="147"/>
      <c r="D661" s="159"/>
      <c r="E661" s="148"/>
      <c r="F661" s="149"/>
      <c r="G661" s="158"/>
      <c r="H661" s="158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9"/>
    </row>
    <row r="662" spans="1:26" ht="24.75">
      <c r="A662" s="149"/>
      <c r="B662" s="146"/>
      <c r="C662" s="147"/>
      <c r="D662" s="159"/>
      <c r="E662" s="148"/>
      <c r="F662" s="149"/>
      <c r="G662" s="156"/>
      <c r="H662" s="156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9"/>
    </row>
    <row r="663" spans="1:26" ht="24.75">
      <c r="A663" s="149"/>
      <c r="B663" s="146"/>
      <c r="C663" s="147"/>
      <c r="D663" s="159"/>
      <c r="E663" s="148"/>
      <c r="F663" s="149"/>
      <c r="G663" s="158"/>
      <c r="H663" s="158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9"/>
    </row>
    <row r="664" spans="1:26" ht="24.75">
      <c r="A664" s="149"/>
      <c r="B664" s="146"/>
      <c r="C664" s="147"/>
      <c r="D664" s="159"/>
      <c r="E664" s="148"/>
      <c r="F664" s="149"/>
      <c r="G664" s="156"/>
      <c r="H664" s="156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9"/>
    </row>
    <row r="665" spans="1:26" ht="24.75">
      <c r="A665" s="149"/>
      <c r="B665" s="146"/>
      <c r="C665" s="147"/>
      <c r="D665" s="159"/>
      <c r="E665" s="148"/>
      <c r="F665" s="149"/>
      <c r="G665" s="158"/>
      <c r="H665" s="158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</row>
    <row r="666" spans="1:26" ht="24.75">
      <c r="A666" s="149"/>
      <c r="B666" s="146"/>
      <c r="C666" s="147"/>
      <c r="D666" s="159"/>
      <c r="E666" s="148"/>
      <c r="F666" s="149"/>
      <c r="G666" s="156"/>
      <c r="H666" s="156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</row>
    <row r="667" spans="1:26" ht="24.75">
      <c r="A667" s="149"/>
      <c r="B667" s="146"/>
      <c r="C667" s="147"/>
      <c r="D667" s="159"/>
      <c r="E667" s="148"/>
      <c r="F667" s="149"/>
      <c r="G667" s="158"/>
      <c r="H667" s="158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</row>
    <row r="668" spans="1:26" ht="24.75">
      <c r="A668" s="149"/>
      <c r="B668" s="146"/>
      <c r="C668" s="147"/>
      <c r="D668" s="159"/>
      <c r="E668" s="148"/>
      <c r="F668" s="149"/>
      <c r="G668" s="156"/>
      <c r="H668" s="156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</row>
    <row r="669" spans="1:26" ht="24.75">
      <c r="A669" s="149"/>
      <c r="B669" s="146"/>
      <c r="C669" s="147"/>
      <c r="D669" s="159"/>
      <c r="E669" s="148"/>
      <c r="F669" s="149"/>
      <c r="G669" s="158"/>
      <c r="H669" s="158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</row>
    <row r="670" spans="1:26" ht="24.75">
      <c r="A670" s="149"/>
      <c r="B670" s="146"/>
      <c r="C670" s="147"/>
      <c r="D670" s="159"/>
      <c r="E670" s="148"/>
      <c r="F670" s="149"/>
      <c r="G670" s="156"/>
      <c r="H670" s="156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</row>
    <row r="671" spans="1:26" ht="24.75">
      <c r="A671" s="149"/>
      <c r="B671" s="146"/>
      <c r="C671" s="147"/>
      <c r="D671" s="159"/>
      <c r="E671" s="148"/>
      <c r="F671" s="149"/>
      <c r="G671" s="158"/>
      <c r="H671" s="158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</row>
    <row r="672" spans="1:26" ht="24.75">
      <c r="A672" s="149"/>
      <c r="B672" s="146"/>
      <c r="C672" s="147"/>
      <c r="D672" s="159"/>
      <c r="E672" s="148"/>
      <c r="F672" s="149"/>
      <c r="G672" s="156"/>
      <c r="H672" s="156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</row>
    <row r="673" spans="1:26" ht="24.75">
      <c r="A673" s="149"/>
      <c r="B673" s="146"/>
      <c r="C673" s="147"/>
      <c r="D673" s="159"/>
      <c r="E673" s="148"/>
      <c r="F673" s="149"/>
      <c r="G673" s="158"/>
      <c r="H673" s="158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</row>
    <row r="674" spans="1:26" ht="24.75">
      <c r="A674" s="149"/>
      <c r="B674" s="146"/>
      <c r="C674" s="147"/>
      <c r="D674" s="159"/>
      <c r="E674" s="148"/>
      <c r="F674" s="149"/>
      <c r="G674" s="156"/>
      <c r="H674" s="156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9"/>
    </row>
    <row r="675" spans="1:26" ht="24.75">
      <c r="A675" s="149"/>
      <c r="B675" s="146"/>
      <c r="C675" s="147"/>
      <c r="D675" s="159"/>
      <c r="E675" s="148"/>
      <c r="F675" s="149"/>
      <c r="G675" s="158"/>
      <c r="H675" s="158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9"/>
    </row>
    <row r="676" spans="1:26" ht="24.75">
      <c r="A676" s="149"/>
      <c r="B676" s="146"/>
      <c r="C676" s="147"/>
      <c r="D676" s="159"/>
      <c r="E676" s="148"/>
      <c r="F676" s="149"/>
      <c r="G676" s="156"/>
      <c r="H676" s="156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9"/>
    </row>
    <row r="677" spans="1:26" ht="24.75">
      <c r="A677" s="149"/>
      <c r="B677" s="146"/>
      <c r="C677" s="147"/>
      <c r="D677" s="159"/>
      <c r="E677" s="148"/>
      <c r="F677" s="149"/>
      <c r="G677" s="158"/>
      <c r="H677" s="158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9"/>
    </row>
    <row r="678" spans="1:26" ht="24.75">
      <c r="A678" s="149"/>
      <c r="B678" s="146"/>
      <c r="C678" s="147"/>
      <c r="D678" s="159"/>
      <c r="E678" s="148"/>
      <c r="F678" s="149"/>
      <c r="G678" s="156"/>
      <c r="H678" s="156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9"/>
    </row>
    <row r="679" spans="1:26" ht="24.75">
      <c r="A679" s="149"/>
      <c r="B679" s="146"/>
      <c r="C679" s="147"/>
      <c r="D679" s="159"/>
      <c r="E679" s="148"/>
      <c r="F679" s="149"/>
      <c r="G679" s="158"/>
      <c r="H679" s="158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9"/>
    </row>
    <row r="680" spans="1:26" ht="24.75">
      <c r="A680" s="149"/>
      <c r="B680" s="146"/>
      <c r="C680" s="147"/>
      <c r="D680" s="159"/>
      <c r="E680" s="148"/>
      <c r="F680" s="149"/>
      <c r="G680" s="156"/>
      <c r="H680" s="156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/>
    </row>
    <row r="681" spans="1:26" ht="24.75">
      <c r="A681" s="149"/>
      <c r="B681" s="146"/>
      <c r="C681" s="147"/>
      <c r="D681" s="159"/>
      <c r="E681" s="148"/>
      <c r="F681" s="149"/>
      <c r="G681" s="158"/>
      <c r="H681" s="158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9"/>
    </row>
    <row r="682" spans="1:26" ht="24.75">
      <c r="A682" s="149"/>
      <c r="B682" s="146"/>
      <c r="C682" s="147"/>
      <c r="D682" s="159"/>
      <c r="E682" s="148"/>
      <c r="F682" s="149"/>
      <c r="G682" s="156"/>
      <c r="H682" s="156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9"/>
    </row>
    <row r="683" spans="1:26" ht="24.75">
      <c r="A683" s="149"/>
      <c r="B683" s="146"/>
      <c r="C683" s="147"/>
      <c r="D683" s="159"/>
      <c r="E683" s="148"/>
      <c r="F683" s="149"/>
      <c r="G683" s="158"/>
      <c r="H683" s="158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9"/>
    </row>
    <row r="684" spans="1:26" ht="24.75">
      <c r="A684" s="149"/>
      <c r="B684" s="146"/>
      <c r="C684" s="147"/>
      <c r="D684" s="159"/>
      <c r="E684" s="148"/>
      <c r="F684" s="149"/>
      <c r="G684" s="156"/>
      <c r="H684" s="156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9"/>
    </row>
    <row r="685" spans="1:26" ht="24.75">
      <c r="A685" s="149"/>
      <c r="B685" s="146"/>
      <c r="C685" s="147"/>
      <c r="D685" s="159"/>
      <c r="E685" s="148"/>
      <c r="F685" s="149"/>
      <c r="G685" s="158"/>
      <c r="H685" s="158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9"/>
    </row>
    <row r="686" spans="1:26" ht="24.75">
      <c r="A686" s="149"/>
      <c r="B686" s="146"/>
      <c r="C686" s="147"/>
      <c r="D686" s="159"/>
      <c r="E686" s="148"/>
      <c r="F686" s="149"/>
      <c r="G686" s="156"/>
      <c r="H686" s="156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9"/>
    </row>
    <row r="687" spans="1:26" ht="24.75">
      <c r="A687" s="149"/>
      <c r="B687" s="146"/>
      <c r="C687" s="147"/>
      <c r="D687" s="159"/>
      <c r="E687" s="148"/>
      <c r="F687" s="149"/>
      <c r="G687" s="158"/>
      <c r="H687" s="158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9"/>
    </row>
    <row r="688" spans="1:26" ht="24.75">
      <c r="A688" s="149"/>
      <c r="B688" s="146"/>
      <c r="C688" s="147"/>
      <c r="D688" s="159"/>
      <c r="E688" s="148"/>
      <c r="F688" s="149"/>
      <c r="G688" s="156"/>
      <c r="H688" s="156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9"/>
    </row>
    <row r="689" spans="1:26" ht="24.75">
      <c r="A689" s="149"/>
      <c r="B689" s="146"/>
      <c r="C689" s="147"/>
      <c r="D689" s="159"/>
      <c r="E689" s="148"/>
      <c r="F689" s="149"/>
      <c r="G689" s="158"/>
      <c r="H689" s="158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9"/>
    </row>
    <row r="690" spans="1:26" ht="24.75">
      <c r="A690" s="149"/>
      <c r="B690" s="146"/>
      <c r="C690" s="147"/>
      <c r="D690" s="159"/>
      <c r="E690" s="148"/>
      <c r="F690" s="149"/>
      <c r="G690" s="156"/>
      <c r="H690" s="156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9"/>
    </row>
    <row r="691" spans="1:26" ht="24.75">
      <c r="A691" s="149"/>
      <c r="B691" s="146"/>
      <c r="C691" s="147"/>
      <c r="D691" s="159"/>
      <c r="E691" s="148"/>
      <c r="F691" s="149"/>
      <c r="G691" s="158"/>
      <c r="H691" s="158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/>
    </row>
    <row r="692" spans="1:26" ht="24.75">
      <c r="A692" s="149"/>
      <c r="B692" s="146"/>
      <c r="C692" s="147"/>
      <c r="D692" s="159"/>
      <c r="E692" s="148"/>
      <c r="F692" s="149"/>
      <c r="G692" s="156"/>
      <c r="H692" s="156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</row>
    <row r="693" spans="1:26" ht="24.75">
      <c r="A693" s="149"/>
      <c r="B693" s="146"/>
      <c r="C693" s="147"/>
      <c r="D693" s="159"/>
      <c r="E693" s="148"/>
      <c r="F693" s="149"/>
      <c r="G693" s="158"/>
      <c r="H693" s="158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/>
    </row>
    <row r="694" spans="1:26" ht="24.75">
      <c r="A694" s="149"/>
      <c r="B694" s="146"/>
      <c r="C694" s="147"/>
      <c r="D694" s="159"/>
      <c r="E694" s="148"/>
      <c r="F694" s="149"/>
      <c r="G694" s="156"/>
      <c r="H694" s="156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</row>
    <row r="695" spans="1:26" ht="24.75">
      <c r="A695" s="149"/>
      <c r="B695" s="146"/>
      <c r="C695" s="147"/>
      <c r="D695" s="159"/>
      <c r="E695" s="148"/>
      <c r="F695" s="149"/>
      <c r="G695" s="158"/>
      <c r="H695" s="158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9"/>
    </row>
    <row r="696" spans="1:26" ht="24.75">
      <c r="A696" s="149"/>
      <c r="B696" s="146"/>
      <c r="C696" s="147"/>
      <c r="D696" s="159"/>
      <c r="E696" s="148"/>
      <c r="F696" s="149"/>
      <c r="G696" s="156"/>
      <c r="H696" s="156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9"/>
    </row>
    <row r="697" spans="1:26" ht="24.75">
      <c r="A697" s="149"/>
      <c r="B697" s="146"/>
      <c r="C697" s="147"/>
      <c r="D697" s="159"/>
      <c r="E697" s="148"/>
      <c r="F697" s="149"/>
      <c r="G697" s="158"/>
      <c r="H697" s="158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9"/>
    </row>
    <row r="698" spans="1:26" ht="24.75">
      <c r="A698" s="149"/>
      <c r="B698" s="146"/>
      <c r="C698" s="147"/>
      <c r="D698" s="159"/>
      <c r="E698" s="148"/>
      <c r="F698" s="149"/>
      <c r="G698" s="156"/>
      <c r="H698" s="156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9"/>
    </row>
    <row r="699" spans="1:26" ht="24.75">
      <c r="A699" s="149"/>
      <c r="B699" s="146"/>
      <c r="C699" s="147"/>
      <c r="D699" s="159"/>
      <c r="E699" s="148"/>
      <c r="F699" s="149"/>
      <c r="G699" s="158"/>
      <c r="H699" s="158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9"/>
    </row>
    <row r="700" spans="1:26" ht="24.75">
      <c r="A700" s="149"/>
      <c r="B700" s="146"/>
      <c r="C700" s="147"/>
      <c r="D700" s="159"/>
      <c r="E700" s="148"/>
      <c r="F700" s="149"/>
      <c r="G700" s="156"/>
      <c r="H700" s="156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</row>
    <row r="701" spans="1:26" ht="24.75">
      <c r="A701" s="149"/>
      <c r="B701" s="146"/>
      <c r="C701" s="147"/>
      <c r="D701" s="159"/>
      <c r="E701" s="148"/>
      <c r="F701" s="149"/>
      <c r="G701" s="158"/>
      <c r="H701" s="158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</row>
    <row r="702" spans="1:26" ht="24.75">
      <c r="A702" s="149"/>
      <c r="B702" s="146"/>
      <c r="C702" s="147"/>
      <c r="D702" s="159"/>
      <c r="E702" s="148"/>
      <c r="F702" s="149"/>
      <c r="G702" s="156"/>
      <c r="H702" s="156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</row>
    <row r="703" spans="1:26" ht="24.75">
      <c r="A703" s="149"/>
      <c r="B703" s="146"/>
      <c r="C703" s="147"/>
      <c r="D703" s="159"/>
      <c r="E703" s="148"/>
      <c r="F703" s="149"/>
      <c r="G703" s="158"/>
      <c r="H703" s="158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</row>
    <row r="704" spans="1:26" ht="24.75">
      <c r="A704" s="149"/>
      <c r="B704" s="146"/>
      <c r="C704" s="147"/>
      <c r="D704" s="159"/>
      <c r="E704" s="148"/>
      <c r="F704" s="149"/>
      <c r="G704" s="156"/>
      <c r="H704" s="156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</row>
    <row r="705" spans="1:26" ht="24.75">
      <c r="A705" s="149"/>
      <c r="B705" s="146"/>
      <c r="C705" s="147"/>
      <c r="D705" s="159"/>
      <c r="E705" s="148"/>
      <c r="F705" s="149"/>
      <c r="G705" s="158"/>
      <c r="H705" s="158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</row>
    <row r="706" spans="1:26" ht="24.75">
      <c r="A706" s="149"/>
      <c r="B706" s="146"/>
      <c r="C706" s="147"/>
      <c r="D706" s="159"/>
      <c r="E706" s="148"/>
      <c r="F706" s="149"/>
      <c r="G706" s="156"/>
      <c r="H706" s="156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</row>
    <row r="707" spans="1:26" ht="24.75">
      <c r="A707" s="149"/>
      <c r="B707" s="146"/>
      <c r="C707" s="147"/>
      <c r="D707" s="159"/>
      <c r="E707" s="148"/>
      <c r="F707" s="149"/>
      <c r="G707" s="158"/>
      <c r="H707" s="158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</row>
    <row r="708" spans="1:26" ht="24.75">
      <c r="A708" s="149"/>
      <c r="B708" s="146"/>
      <c r="C708" s="147"/>
      <c r="D708" s="159"/>
      <c r="E708" s="148"/>
      <c r="F708" s="149"/>
      <c r="G708" s="156"/>
      <c r="H708" s="156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</row>
    <row r="709" spans="1:26" ht="24.75">
      <c r="A709" s="149"/>
      <c r="B709" s="146"/>
      <c r="C709" s="147"/>
      <c r="D709" s="159"/>
      <c r="E709" s="148"/>
      <c r="F709" s="149"/>
      <c r="G709" s="158"/>
      <c r="H709" s="158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</row>
    <row r="710" spans="1:26" ht="24.75">
      <c r="A710" s="149"/>
      <c r="B710" s="146"/>
      <c r="C710" s="147"/>
      <c r="D710" s="159"/>
      <c r="E710" s="148"/>
      <c r="F710" s="149"/>
      <c r="G710" s="156"/>
      <c r="H710" s="156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</row>
    <row r="711" spans="1:26" ht="24.75">
      <c r="A711" s="149"/>
      <c r="B711" s="146"/>
      <c r="C711" s="147"/>
      <c r="D711" s="159"/>
      <c r="E711" s="148"/>
      <c r="F711" s="149"/>
      <c r="G711" s="158"/>
      <c r="H711" s="158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</row>
    <row r="712" spans="1:26" ht="24.75">
      <c r="A712" s="149"/>
      <c r="B712" s="146"/>
      <c r="C712" s="147"/>
      <c r="D712" s="159"/>
      <c r="E712" s="148"/>
      <c r="F712" s="149"/>
      <c r="G712" s="156"/>
      <c r="H712" s="156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</row>
    <row r="713" spans="1:26" ht="24.75">
      <c r="A713" s="149"/>
      <c r="B713" s="146"/>
      <c r="C713" s="147"/>
      <c r="D713" s="159"/>
      <c r="E713" s="148"/>
      <c r="F713" s="149"/>
      <c r="G713" s="158"/>
      <c r="H713" s="158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</row>
    <row r="714" spans="1:26" ht="24.75">
      <c r="A714" s="149"/>
      <c r="B714" s="146"/>
      <c r="C714" s="147"/>
      <c r="D714" s="159"/>
      <c r="E714" s="148"/>
      <c r="F714" s="149"/>
      <c r="G714" s="156"/>
      <c r="H714" s="156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</row>
    <row r="715" spans="1:26" ht="24.75">
      <c r="A715" s="149"/>
      <c r="B715" s="146"/>
      <c r="C715" s="147"/>
      <c r="D715" s="159"/>
      <c r="E715" s="148"/>
      <c r="F715" s="149"/>
      <c r="G715" s="158"/>
      <c r="H715" s="158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</row>
    <row r="716" spans="1:26" ht="24.75">
      <c r="A716" s="149"/>
      <c r="B716" s="146"/>
      <c r="C716" s="147"/>
      <c r="D716" s="159"/>
      <c r="E716" s="148"/>
      <c r="F716" s="149"/>
      <c r="G716" s="156"/>
      <c r="H716" s="156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</row>
    <row r="717" spans="1:26" ht="24.75">
      <c r="A717" s="149"/>
      <c r="B717" s="146"/>
      <c r="C717" s="147"/>
      <c r="D717" s="159"/>
      <c r="E717" s="148"/>
      <c r="F717" s="149"/>
      <c r="G717" s="158"/>
      <c r="H717" s="158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/>
    </row>
    <row r="718" spans="1:26" ht="24.75">
      <c r="A718" s="149"/>
      <c r="B718" s="146"/>
      <c r="C718" s="147"/>
      <c r="D718" s="159"/>
      <c r="E718" s="148"/>
      <c r="F718" s="149"/>
      <c r="G718" s="156"/>
      <c r="H718" s="156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/>
    </row>
    <row r="719" spans="1:26" ht="24.75">
      <c r="A719" s="149"/>
      <c r="B719" s="146"/>
      <c r="C719" s="147"/>
      <c r="D719" s="159"/>
      <c r="E719" s="148"/>
      <c r="F719" s="149"/>
      <c r="G719" s="158"/>
      <c r="H719" s="158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/>
    </row>
    <row r="720" spans="1:26" ht="24.75">
      <c r="A720" s="149"/>
      <c r="B720" s="146"/>
      <c r="C720" s="147"/>
      <c r="D720" s="159"/>
      <c r="E720" s="148"/>
      <c r="F720" s="149"/>
      <c r="G720" s="156"/>
      <c r="H720" s="156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9"/>
    </row>
    <row r="721" spans="1:26" ht="24.75">
      <c r="A721" s="149"/>
      <c r="B721" s="146"/>
      <c r="C721" s="147"/>
      <c r="D721" s="159"/>
      <c r="E721" s="148"/>
      <c r="F721" s="149"/>
      <c r="G721" s="158"/>
      <c r="H721" s="158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9"/>
    </row>
    <row r="722" spans="1:26" ht="24.75">
      <c r="A722" s="149"/>
      <c r="B722" s="146"/>
      <c r="C722" s="147"/>
      <c r="D722" s="159"/>
      <c r="E722" s="148"/>
      <c r="F722" s="149"/>
      <c r="G722" s="156"/>
      <c r="H722" s="156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/>
    </row>
    <row r="723" spans="1:26" ht="24.75">
      <c r="A723" s="149"/>
      <c r="B723" s="146"/>
      <c r="C723" s="147"/>
      <c r="D723" s="159"/>
      <c r="E723" s="148"/>
      <c r="F723" s="149"/>
      <c r="G723" s="158"/>
      <c r="H723" s="158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/>
    </row>
    <row r="724" spans="1:26" ht="24.75">
      <c r="A724" s="149"/>
      <c r="B724" s="146"/>
      <c r="C724" s="147"/>
      <c r="D724" s="159"/>
      <c r="E724" s="148"/>
      <c r="F724" s="149"/>
      <c r="G724" s="156"/>
      <c r="H724" s="156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/>
    </row>
    <row r="725" spans="1:26" ht="24.75">
      <c r="A725" s="149"/>
      <c r="B725" s="146"/>
      <c r="C725" s="147"/>
      <c r="D725" s="159"/>
      <c r="E725" s="148"/>
      <c r="F725" s="149"/>
      <c r="G725" s="158"/>
      <c r="H725" s="158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9"/>
    </row>
    <row r="726" spans="1:26" ht="24.75">
      <c r="A726" s="149"/>
      <c r="B726" s="146"/>
      <c r="C726" s="147"/>
      <c r="D726" s="159"/>
      <c r="E726" s="148"/>
      <c r="F726" s="149"/>
      <c r="G726" s="156"/>
      <c r="H726" s="156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9"/>
    </row>
    <row r="727" spans="1:26" ht="24.75">
      <c r="A727" s="149"/>
      <c r="B727" s="146"/>
      <c r="C727" s="147"/>
      <c r="D727" s="159"/>
      <c r="E727" s="148"/>
      <c r="F727" s="149"/>
      <c r="G727" s="158"/>
      <c r="H727" s="158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9"/>
    </row>
    <row r="728" spans="1:26" ht="24.75">
      <c r="A728" s="149"/>
      <c r="B728" s="146"/>
      <c r="C728" s="147"/>
      <c r="D728" s="159"/>
      <c r="E728" s="148"/>
      <c r="F728" s="149"/>
      <c r="G728" s="156"/>
      <c r="H728" s="156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</row>
    <row r="729" spans="1:26" ht="24.75">
      <c r="A729" s="149"/>
      <c r="B729" s="146"/>
      <c r="C729" s="147"/>
      <c r="D729" s="159"/>
      <c r="E729" s="148"/>
      <c r="F729" s="149"/>
      <c r="G729" s="158"/>
      <c r="H729" s="158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</row>
    <row r="730" spans="1:26" ht="24.75">
      <c r="A730" s="149"/>
      <c r="B730" s="146"/>
      <c r="C730" s="147"/>
      <c r="D730" s="159"/>
      <c r="E730" s="148"/>
      <c r="F730" s="149"/>
      <c r="G730" s="156"/>
      <c r="H730" s="156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</row>
    <row r="731" spans="1:26" ht="24.75">
      <c r="A731" s="149"/>
      <c r="B731" s="146"/>
      <c r="C731" s="147"/>
      <c r="D731" s="159"/>
      <c r="E731" s="148"/>
      <c r="F731" s="149"/>
      <c r="G731" s="158"/>
      <c r="H731" s="158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</row>
    <row r="732" spans="1:26" ht="24.75">
      <c r="A732" s="149"/>
      <c r="B732" s="146"/>
      <c r="C732" s="147"/>
      <c r="D732" s="159"/>
      <c r="E732" s="148"/>
      <c r="F732" s="149"/>
      <c r="G732" s="156"/>
      <c r="H732" s="156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</row>
    <row r="733" spans="1:26" ht="24.75">
      <c r="A733" s="149"/>
      <c r="B733" s="146"/>
      <c r="C733" s="147"/>
      <c r="D733" s="159"/>
      <c r="E733" s="148"/>
      <c r="F733" s="149"/>
      <c r="G733" s="158"/>
      <c r="H733" s="158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</row>
    <row r="734" spans="1:26" ht="24.75">
      <c r="A734" s="149"/>
      <c r="B734" s="146"/>
      <c r="C734" s="147"/>
      <c r="D734" s="159"/>
      <c r="E734" s="148"/>
      <c r="F734" s="149"/>
      <c r="G734" s="156"/>
      <c r="H734" s="156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</row>
    <row r="735" spans="1:26" ht="24.75">
      <c r="A735" s="149"/>
      <c r="B735" s="146"/>
      <c r="C735" s="147"/>
      <c r="D735" s="159"/>
      <c r="E735" s="148"/>
      <c r="F735" s="149"/>
      <c r="G735" s="158"/>
      <c r="H735" s="158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</row>
    <row r="736" spans="1:26" ht="24.75">
      <c r="A736" s="149"/>
      <c r="B736" s="146"/>
      <c r="C736" s="147"/>
      <c r="D736" s="159"/>
      <c r="E736" s="148"/>
      <c r="F736" s="149"/>
      <c r="G736" s="156"/>
      <c r="H736" s="156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</row>
    <row r="737" spans="1:26" ht="24.75">
      <c r="A737" s="149"/>
      <c r="B737" s="146"/>
      <c r="C737" s="147"/>
      <c r="D737" s="159"/>
      <c r="E737" s="148"/>
      <c r="F737" s="149"/>
      <c r="G737" s="158"/>
      <c r="H737" s="158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</row>
    <row r="738" spans="1:26" ht="24.75">
      <c r="A738" s="149"/>
      <c r="B738" s="146"/>
      <c r="C738" s="147"/>
      <c r="D738" s="159"/>
      <c r="E738" s="148"/>
      <c r="F738" s="149"/>
      <c r="G738" s="156"/>
      <c r="H738" s="156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</row>
    <row r="739" spans="1:26" ht="24.75">
      <c r="A739" s="149"/>
      <c r="B739" s="146"/>
      <c r="C739" s="147"/>
      <c r="D739" s="159"/>
      <c r="E739" s="148"/>
      <c r="F739" s="149"/>
      <c r="G739" s="158"/>
      <c r="H739" s="158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</row>
    <row r="740" spans="1:26" ht="24.75">
      <c r="A740" s="149"/>
      <c r="B740" s="146"/>
      <c r="C740" s="147"/>
      <c r="D740" s="159"/>
      <c r="E740" s="148"/>
      <c r="F740" s="149"/>
      <c r="G740" s="156"/>
      <c r="H740" s="156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</row>
    <row r="741" spans="1:26" ht="24.75">
      <c r="A741" s="149"/>
      <c r="B741" s="146"/>
      <c r="C741" s="147"/>
      <c r="D741" s="159"/>
      <c r="E741" s="148"/>
      <c r="F741" s="149"/>
      <c r="G741" s="158"/>
      <c r="H741" s="158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</row>
    <row r="742" spans="1:26" ht="24.75">
      <c r="A742" s="149"/>
      <c r="B742" s="146"/>
      <c r="C742" s="147"/>
      <c r="D742" s="159"/>
      <c r="E742" s="148"/>
      <c r="F742" s="149"/>
      <c r="G742" s="156"/>
      <c r="H742" s="156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/>
    </row>
    <row r="743" spans="1:26" ht="24.75">
      <c r="A743" s="149"/>
      <c r="B743" s="146"/>
      <c r="C743" s="147"/>
      <c r="D743" s="159"/>
      <c r="E743" s="148"/>
      <c r="F743" s="149"/>
      <c r="G743" s="158"/>
      <c r="H743" s="158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</row>
    <row r="744" spans="1:26" ht="24.75">
      <c r="A744" s="149"/>
      <c r="B744" s="146"/>
      <c r="C744" s="147"/>
      <c r="D744" s="159"/>
      <c r="E744" s="148"/>
      <c r="F744" s="149"/>
      <c r="G744" s="156"/>
      <c r="H744" s="156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</row>
    <row r="745" spans="1:26" ht="24.75">
      <c r="A745" s="149"/>
      <c r="B745" s="146"/>
      <c r="C745" s="147"/>
      <c r="D745" s="159"/>
      <c r="E745" s="148"/>
      <c r="F745" s="149"/>
      <c r="G745" s="158"/>
      <c r="H745" s="158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</row>
    <row r="746" spans="1:26" ht="24.75">
      <c r="A746" s="149"/>
      <c r="B746" s="146"/>
      <c r="C746" s="147"/>
      <c r="D746" s="159"/>
      <c r="E746" s="148"/>
      <c r="F746" s="149"/>
      <c r="G746" s="156"/>
      <c r="H746" s="156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</row>
    <row r="747" spans="1:26" ht="24.75">
      <c r="A747" s="149"/>
      <c r="B747" s="146"/>
      <c r="C747" s="147"/>
      <c r="D747" s="159"/>
      <c r="E747" s="148"/>
      <c r="F747" s="149"/>
      <c r="G747" s="158"/>
      <c r="H747" s="158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</row>
    <row r="748" spans="1:26" ht="24.75">
      <c r="A748" s="149"/>
      <c r="B748" s="146"/>
      <c r="C748" s="147"/>
      <c r="D748" s="159"/>
      <c r="E748" s="148"/>
      <c r="F748" s="149"/>
      <c r="G748" s="156"/>
      <c r="H748" s="156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</row>
    <row r="749" spans="1:26" ht="24.75">
      <c r="A749" s="149"/>
      <c r="B749" s="146"/>
      <c r="C749" s="147"/>
      <c r="D749" s="159"/>
      <c r="E749" s="148"/>
      <c r="F749" s="149"/>
      <c r="G749" s="158"/>
      <c r="H749" s="158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</row>
    <row r="750" spans="1:26" ht="24.75">
      <c r="A750" s="149"/>
      <c r="B750" s="146"/>
      <c r="C750" s="147"/>
      <c r="D750" s="159"/>
      <c r="E750" s="148"/>
      <c r="F750" s="149"/>
      <c r="G750" s="156"/>
      <c r="H750" s="156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</row>
    <row r="751" spans="1:26" ht="24.75">
      <c r="A751" s="149"/>
      <c r="B751" s="146"/>
      <c r="C751" s="147"/>
      <c r="D751" s="159"/>
      <c r="E751" s="148"/>
      <c r="F751" s="149"/>
      <c r="G751" s="158"/>
      <c r="H751" s="158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</row>
    <row r="752" spans="1:26" ht="24.75">
      <c r="A752" s="149"/>
      <c r="B752" s="146"/>
      <c r="C752" s="147"/>
      <c r="D752" s="159"/>
      <c r="E752" s="148"/>
      <c r="F752" s="149"/>
      <c r="G752" s="156"/>
      <c r="H752" s="156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/>
    </row>
    <row r="753" spans="1:26" ht="24.75">
      <c r="A753" s="149"/>
      <c r="B753" s="146"/>
      <c r="C753" s="147"/>
      <c r="D753" s="159"/>
      <c r="E753" s="148"/>
      <c r="F753" s="149"/>
      <c r="G753" s="158"/>
      <c r="H753" s="158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/>
    </row>
    <row r="754" spans="1:26" ht="24.75">
      <c r="A754" s="149"/>
      <c r="B754" s="146"/>
      <c r="C754" s="147"/>
      <c r="D754" s="159"/>
      <c r="E754" s="148"/>
      <c r="F754" s="149"/>
      <c r="G754" s="156"/>
      <c r="H754" s="156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/>
    </row>
    <row r="755" spans="1:26" ht="24.75">
      <c r="A755" s="149"/>
      <c r="B755" s="146"/>
      <c r="C755" s="147"/>
      <c r="D755" s="159"/>
      <c r="E755" s="148"/>
      <c r="F755" s="149"/>
      <c r="G755" s="158"/>
      <c r="H755" s="158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</row>
    <row r="756" spans="1:26" ht="24.75">
      <c r="A756" s="149"/>
      <c r="B756" s="146"/>
      <c r="C756" s="147"/>
      <c r="D756" s="159"/>
      <c r="E756" s="148"/>
      <c r="F756" s="149"/>
      <c r="G756" s="156"/>
      <c r="H756" s="156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</row>
    <row r="757" spans="1:26" ht="24.75">
      <c r="A757" s="149"/>
      <c r="B757" s="146"/>
      <c r="C757" s="147"/>
      <c r="D757" s="159"/>
      <c r="E757" s="148"/>
      <c r="F757" s="149"/>
      <c r="G757" s="158"/>
      <c r="H757" s="158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</row>
    <row r="758" spans="1:26" ht="24.75">
      <c r="A758" s="149"/>
      <c r="B758" s="146"/>
      <c r="C758" s="147"/>
      <c r="D758" s="159"/>
      <c r="E758" s="148"/>
      <c r="F758" s="149"/>
      <c r="G758" s="156"/>
      <c r="H758" s="156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</row>
    <row r="759" spans="1:26" ht="24.75">
      <c r="A759" s="149"/>
      <c r="B759" s="146"/>
      <c r="C759" s="147"/>
      <c r="D759" s="159"/>
      <c r="E759" s="148"/>
      <c r="F759" s="149"/>
      <c r="G759" s="158"/>
      <c r="H759" s="158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</row>
    <row r="760" spans="1:26" ht="24.75">
      <c r="A760" s="149"/>
      <c r="B760" s="146"/>
      <c r="C760" s="147"/>
      <c r="D760" s="159"/>
      <c r="E760" s="148"/>
      <c r="F760" s="149"/>
      <c r="G760" s="156"/>
      <c r="H760" s="156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</row>
    <row r="761" spans="1:26" ht="24.75">
      <c r="A761" s="149"/>
      <c r="B761" s="146"/>
      <c r="C761" s="147"/>
      <c r="D761" s="159"/>
      <c r="E761" s="148"/>
      <c r="F761" s="149"/>
      <c r="G761" s="158"/>
      <c r="H761" s="158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</row>
    <row r="762" spans="1:26" ht="24.75">
      <c r="A762" s="149"/>
      <c r="B762" s="146"/>
      <c r="C762" s="147"/>
      <c r="D762" s="159"/>
      <c r="E762" s="148"/>
      <c r="F762" s="149"/>
      <c r="G762" s="156"/>
      <c r="H762" s="156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</row>
    <row r="763" spans="1:26" ht="24.75">
      <c r="A763" s="149"/>
      <c r="B763" s="146"/>
      <c r="C763" s="147"/>
      <c r="D763" s="159"/>
      <c r="E763" s="148"/>
      <c r="F763" s="149"/>
      <c r="G763" s="158"/>
      <c r="H763" s="158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</row>
    <row r="764" spans="1:26" ht="24.75">
      <c r="A764" s="149"/>
      <c r="B764" s="146"/>
      <c r="C764" s="147"/>
      <c r="D764" s="159"/>
      <c r="E764" s="148"/>
      <c r="F764" s="149"/>
      <c r="G764" s="156"/>
      <c r="H764" s="156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</row>
    <row r="765" spans="1:26" ht="24.75">
      <c r="A765" s="149"/>
      <c r="B765" s="146"/>
      <c r="C765" s="147"/>
      <c r="D765" s="159"/>
      <c r="E765" s="148"/>
      <c r="F765" s="149"/>
      <c r="G765" s="158"/>
      <c r="H765" s="158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/>
    </row>
    <row r="766" spans="1:26" ht="24.75">
      <c r="A766" s="149"/>
      <c r="B766" s="146"/>
      <c r="C766" s="147"/>
      <c r="D766" s="159"/>
      <c r="E766" s="148"/>
      <c r="F766" s="149"/>
      <c r="G766" s="156"/>
      <c r="H766" s="156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</row>
    <row r="767" spans="1:26" ht="24.75">
      <c r="A767" s="149"/>
      <c r="B767" s="146"/>
      <c r="C767" s="147"/>
      <c r="D767" s="159"/>
      <c r="E767" s="148"/>
      <c r="F767" s="149"/>
      <c r="G767" s="158"/>
      <c r="H767" s="158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/>
    </row>
    <row r="768" spans="1:26" ht="24.75">
      <c r="A768" s="149"/>
      <c r="B768" s="146"/>
      <c r="C768" s="147"/>
      <c r="D768" s="159"/>
      <c r="E768" s="148"/>
      <c r="F768" s="149"/>
      <c r="G768" s="156"/>
      <c r="H768" s="156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/>
    </row>
    <row r="769" spans="1:26" ht="24.75">
      <c r="A769" s="149"/>
      <c r="B769" s="146"/>
      <c r="C769" s="147"/>
      <c r="D769" s="159"/>
      <c r="E769" s="148"/>
      <c r="F769" s="149"/>
      <c r="G769" s="158"/>
      <c r="H769" s="158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9"/>
    </row>
    <row r="770" spans="1:26" ht="24.75">
      <c r="A770" s="149"/>
      <c r="B770" s="146"/>
      <c r="C770" s="147"/>
      <c r="D770" s="159"/>
      <c r="E770" s="148"/>
      <c r="F770" s="149"/>
      <c r="G770" s="156"/>
      <c r="H770" s="156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9"/>
    </row>
    <row r="771" spans="1:26" ht="24.75">
      <c r="A771" s="149"/>
      <c r="B771" s="146"/>
      <c r="C771" s="147"/>
      <c r="D771" s="159"/>
      <c r="E771" s="148"/>
      <c r="F771" s="149"/>
      <c r="G771" s="158"/>
      <c r="H771" s="158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9"/>
    </row>
    <row r="772" spans="1:26" ht="24.75">
      <c r="A772" s="149"/>
      <c r="B772" s="146"/>
      <c r="C772" s="147"/>
      <c r="D772" s="159"/>
      <c r="E772" s="148"/>
      <c r="F772" s="149"/>
      <c r="G772" s="156"/>
      <c r="H772" s="156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/>
    </row>
    <row r="773" spans="1:26" ht="24.75">
      <c r="A773" s="149"/>
      <c r="B773" s="146"/>
      <c r="C773" s="147"/>
      <c r="D773" s="159"/>
      <c r="E773" s="148"/>
      <c r="F773" s="149"/>
      <c r="G773" s="158"/>
      <c r="H773" s="158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9"/>
    </row>
    <row r="774" spans="1:26" ht="24.75">
      <c r="A774" s="149"/>
      <c r="B774" s="146"/>
      <c r="C774" s="147"/>
      <c r="D774" s="159"/>
      <c r="E774" s="148"/>
      <c r="F774" s="149"/>
      <c r="G774" s="156"/>
      <c r="H774" s="156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9"/>
    </row>
    <row r="775" spans="1:26" ht="24.75">
      <c r="A775" s="149"/>
      <c r="B775" s="146"/>
      <c r="C775" s="147"/>
      <c r="D775" s="159"/>
      <c r="E775" s="148"/>
      <c r="F775" s="149"/>
      <c r="G775" s="158"/>
      <c r="H775" s="158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9"/>
    </row>
    <row r="776" spans="1:26" ht="24.75">
      <c r="A776" s="149"/>
      <c r="B776" s="146"/>
      <c r="C776" s="147"/>
      <c r="D776" s="159"/>
      <c r="E776" s="148"/>
      <c r="F776" s="149"/>
      <c r="G776" s="156"/>
      <c r="H776" s="156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9"/>
    </row>
    <row r="777" spans="1:26" ht="24.75">
      <c r="A777" s="149"/>
      <c r="B777" s="146"/>
      <c r="C777" s="147"/>
      <c r="D777" s="159"/>
      <c r="E777" s="148"/>
      <c r="F777" s="149"/>
      <c r="G777" s="158"/>
      <c r="H777" s="158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9"/>
    </row>
    <row r="778" spans="1:26" ht="24.75">
      <c r="A778" s="149"/>
      <c r="B778" s="146"/>
      <c r="C778" s="147"/>
      <c r="D778" s="159"/>
      <c r="E778" s="148"/>
      <c r="F778" s="149"/>
      <c r="G778" s="156"/>
      <c r="H778" s="156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9"/>
    </row>
    <row r="779" spans="1:26" ht="24.75">
      <c r="A779" s="149"/>
      <c r="B779" s="146"/>
      <c r="C779" s="147"/>
      <c r="D779" s="159"/>
      <c r="E779" s="148"/>
      <c r="F779" s="149"/>
      <c r="G779" s="158"/>
      <c r="H779" s="158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9"/>
    </row>
    <row r="780" spans="1:26" ht="24.75">
      <c r="A780" s="149"/>
      <c r="B780" s="146"/>
      <c r="C780" s="147"/>
      <c r="D780" s="159"/>
      <c r="E780" s="148"/>
      <c r="F780" s="149"/>
      <c r="G780" s="156"/>
      <c r="H780" s="156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9"/>
    </row>
    <row r="781" spans="1:26" ht="24.75">
      <c r="A781" s="149"/>
      <c r="B781" s="146"/>
      <c r="C781" s="147"/>
      <c r="D781" s="159"/>
      <c r="E781" s="148"/>
      <c r="F781" s="149"/>
      <c r="G781" s="158"/>
      <c r="H781" s="158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9"/>
    </row>
    <row r="782" spans="1:26" ht="24.75">
      <c r="A782" s="149"/>
      <c r="B782" s="146"/>
      <c r="C782" s="147"/>
      <c r="D782" s="159"/>
      <c r="E782" s="148"/>
      <c r="F782" s="149"/>
      <c r="G782" s="156"/>
      <c r="H782" s="156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</row>
    <row r="783" spans="1:26" ht="24.75">
      <c r="A783" s="149"/>
      <c r="B783" s="146"/>
      <c r="C783" s="147"/>
      <c r="D783" s="159"/>
      <c r="E783" s="148"/>
      <c r="F783" s="149"/>
      <c r="G783" s="158"/>
      <c r="H783" s="158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/>
    </row>
    <row r="784" spans="1:26" ht="24.75">
      <c r="A784" s="149"/>
      <c r="B784" s="146"/>
      <c r="C784" s="147"/>
      <c r="D784" s="159"/>
      <c r="E784" s="148"/>
      <c r="F784" s="149"/>
      <c r="G784" s="156"/>
      <c r="H784" s="156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9"/>
    </row>
    <row r="785" spans="1:26" ht="24.75">
      <c r="A785" s="149"/>
      <c r="B785" s="146"/>
      <c r="C785" s="147"/>
      <c r="D785" s="159"/>
      <c r="E785" s="148"/>
      <c r="F785" s="149"/>
      <c r="G785" s="158"/>
      <c r="H785" s="158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/>
    </row>
    <row r="786" spans="1:26" ht="24.75">
      <c r="A786" s="149"/>
      <c r="B786" s="146"/>
      <c r="C786" s="147"/>
      <c r="D786" s="159"/>
      <c r="E786" s="148"/>
      <c r="F786" s="149"/>
      <c r="G786" s="156"/>
      <c r="H786" s="156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/>
    </row>
    <row r="787" spans="1:26" ht="24.75">
      <c r="A787" s="149"/>
      <c r="B787" s="146"/>
      <c r="C787" s="147"/>
      <c r="D787" s="159"/>
      <c r="E787" s="148"/>
      <c r="F787" s="149"/>
      <c r="G787" s="158"/>
      <c r="H787" s="158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/>
    </row>
    <row r="788" spans="1:26" ht="24.75">
      <c r="A788" s="149"/>
      <c r="B788" s="146"/>
      <c r="C788" s="147"/>
      <c r="D788" s="159"/>
      <c r="E788" s="148"/>
      <c r="F788" s="149"/>
      <c r="G788" s="156"/>
      <c r="H788" s="156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9"/>
    </row>
    <row r="789" spans="1:26" ht="24.75">
      <c r="A789" s="149"/>
      <c r="B789" s="146"/>
      <c r="C789" s="147"/>
      <c r="D789" s="159"/>
      <c r="E789" s="148"/>
      <c r="F789" s="149"/>
      <c r="G789" s="158"/>
      <c r="H789" s="158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9"/>
    </row>
    <row r="790" spans="1:26" ht="24.75">
      <c r="A790" s="149"/>
      <c r="B790" s="146"/>
      <c r="C790" s="147"/>
      <c r="D790" s="159"/>
      <c r="E790" s="148"/>
      <c r="F790" s="149"/>
      <c r="G790" s="156"/>
      <c r="H790" s="156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9"/>
    </row>
    <row r="791" spans="1:26" ht="24.75">
      <c r="A791" s="149"/>
      <c r="B791" s="146"/>
      <c r="C791" s="147"/>
      <c r="D791" s="159"/>
      <c r="E791" s="148"/>
      <c r="F791" s="149"/>
      <c r="G791" s="158"/>
      <c r="H791" s="158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9"/>
    </row>
    <row r="792" spans="1:26" ht="24.75">
      <c r="A792" s="149"/>
      <c r="B792" s="146"/>
      <c r="C792" s="147"/>
      <c r="D792" s="159"/>
      <c r="E792" s="148"/>
      <c r="F792" s="149"/>
      <c r="G792" s="156"/>
      <c r="H792" s="156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9"/>
    </row>
    <row r="793" spans="1:26" ht="24.75">
      <c r="A793" s="149"/>
      <c r="B793" s="146"/>
      <c r="C793" s="147"/>
      <c r="D793" s="159"/>
      <c r="E793" s="148"/>
      <c r="F793" s="149"/>
      <c r="G793" s="158"/>
      <c r="H793" s="158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9"/>
    </row>
    <row r="794" spans="1:26" ht="24.75">
      <c r="A794" s="149"/>
      <c r="B794" s="146"/>
      <c r="C794" s="147"/>
      <c r="D794" s="159"/>
      <c r="E794" s="148"/>
      <c r="F794" s="149"/>
      <c r="G794" s="156"/>
      <c r="H794" s="156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9"/>
    </row>
    <row r="795" spans="1:26" ht="24.75">
      <c r="A795" s="149"/>
      <c r="B795" s="146"/>
      <c r="C795" s="147"/>
      <c r="D795" s="159"/>
      <c r="E795" s="148"/>
      <c r="F795" s="149"/>
      <c r="G795" s="158"/>
      <c r="H795" s="158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9"/>
    </row>
    <row r="796" spans="1:26" ht="24.75">
      <c r="A796" s="149"/>
      <c r="B796" s="146"/>
      <c r="C796" s="147"/>
      <c r="D796" s="159"/>
      <c r="E796" s="148"/>
      <c r="F796" s="149"/>
      <c r="G796" s="156"/>
      <c r="H796" s="156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9"/>
    </row>
    <row r="797" spans="1:26" ht="24.75">
      <c r="A797" s="149"/>
      <c r="B797" s="146"/>
      <c r="C797" s="147"/>
      <c r="D797" s="159"/>
      <c r="E797" s="148"/>
      <c r="F797" s="149"/>
      <c r="G797" s="158"/>
      <c r="H797" s="158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9"/>
    </row>
    <row r="798" spans="1:26" ht="24.75">
      <c r="A798" s="149"/>
      <c r="B798" s="146"/>
      <c r="C798" s="147"/>
      <c r="D798" s="159"/>
      <c r="E798" s="148"/>
      <c r="F798" s="149"/>
      <c r="G798" s="156"/>
      <c r="H798" s="156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/>
    </row>
    <row r="799" spans="1:26" ht="24.75">
      <c r="A799" s="149"/>
      <c r="B799" s="146"/>
      <c r="C799" s="147"/>
      <c r="D799" s="159"/>
      <c r="E799" s="148"/>
      <c r="F799" s="149"/>
      <c r="G799" s="158"/>
      <c r="H799" s="158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9"/>
    </row>
    <row r="800" spans="1:26" ht="24.75">
      <c r="A800" s="149"/>
      <c r="B800" s="146"/>
      <c r="C800" s="147"/>
      <c r="D800" s="159"/>
      <c r="E800" s="148"/>
      <c r="F800" s="149"/>
      <c r="G800" s="156"/>
      <c r="H800" s="156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9"/>
    </row>
    <row r="801" spans="1:26" ht="24.75">
      <c r="A801" s="149"/>
      <c r="B801" s="146"/>
      <c r="C801" s="147"/>
      <c r="D801" s="159"/>
      <c r="E801" s="148"/>
      <c r="F801" s="149"/>
      <c r="G801" s="158"/>
      <c r="H801" s="158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9"/>
    </row>
    <row r="802" spans="1:26" ht="24.75">
      <c r="A802" s="149"/>
      <c r="B802" s="146"/>
      <c r="C802" s="147"/>
      <c r="D802" s="159"/>
      <c r="E802" s="148"/>
      <c r="F802" s="149"/>
      <c r="G802" s="156"/>
      <c r="H802" s="156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9"/>
    </row>
    <row r="803" spans="1:26" ht="24.75">
      <c r="A803" s="149"/>
      <c r="B803" s="146"/>
      <c r="C803" s="147"/>
      <c r="D803" s="159"/>
      <c r="E803" s="148"/>
      <c r="F803" s="149"/>
      <c r="G803" s="158"/>
      <c r="H803" s="158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9"/>
    </row>
    <row r="804" spans="1:26" ht="24.75">
      <c r="A804" s="149"/>
      <c r="B804" s="146"/>
      <c r="C804" s="147"/>
      <c r="D804" s="159"/>
      <c r="E804" s="148"/>
      <c r="F804" s="149"/>
      <c r="G804" s="156"/>
      <c r="H804" s="156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9"/>
    </row>
    <row r="805" spans="1:26" ht="24.75">
      <c r="A805" s="149"/>
      <c r="B805" s="146"/>
      <c r="C805" s="147"/>
      <c r="D805" s="159"/>
      <c r="E805" s="148"/>
      <c r="F805" s="149"/>
      <c r="G805" s="158"/>
      <c r="H805" s="158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9"/>
    </row>
    <row r="806" spans="1:26" ht="24.75">
      <c r="A806" s="149"/>
      <c r="B806" s="146"/>
      <c r="C806" s="147"/>
      <c r="D806" s="159"/>
      <c r="E806" s="148"/>
      <c r="F806" s="149"/>
      <c r="G806" s="156"/>
      <c r="H806" s="156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9"/>
    </row>
    <row r="807" spans="1:26" ht="24.75">
      <c r="A807" s="149"/>
      <c r="B807" s="146"/>
      <c r="C807" s="147"/>
      <c r="D807" s="159"/>
      <c r="E807" s="148"/>
      <c r="F807" s="149"/>
      <c r="G807" s="158"/>
      <c r="H807" s="158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9"/>
    </row>
    <row r="808" spans="1:26" ht="24.75">
      <c r="A808" s="149"/>
      <c r="B808" s="146"/>
      <c r="C808" s="147"/>
      <c r="D808" s="159"/>
      <c r="E808" s="148"/>
      <c r="F808" s="149"/>
      <c r="G808" s="156"/>
      <c r="H808" s="156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9"/>
    </row>
    <row r="809" spans="1:26" ht="24.75">
      <c r="A809" s="149"/>
      <c r="B809" s="146"/>
      <c r="C809" s="147"/>
      <c r="D809" s="159"/>
      <c r="E809" s="148"/>
      <c r="F809" s="149"/>
      <c r="G809" s="158"/>
      <c r="H809" s="158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</row>
    <row r="810" spans="1:26" ht="24.75">
      <c r="A810" s="149"/>
      <c r="B810" s="146"/>
      <c r="C810" s="147"/>
      <c r="D810" s="159"/>
      <c r="E810" s="148"/>
      <c r="F810" s="149"/>
      <c r="G810" s="156"/>
      <c r="H810" s="156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</row>
    <row r="811" spans="1:26" ht="24.75">
      <c r="A811" s="149"/>
      <c r="B811" s="146"/>
      <c r="C811" s="147"/>
      <c r="D811" s="159"/>
      <c r="E811" s="148"/>
      <c r="F811" s="149"/>
      <c r="G811" s="158"/>
      <c r="H811" s="158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9"/>
    </row>
    <row r="812" spans="1:26" ht="24.75">
      <c r="A812" s="149"/>
      <c r="B812" s="146"/>
      <c r="C812" s="147"/>
      <c r="D812" s="159"/>
      <c r="E812" s="148"/>
      <c r="F812" s="149"/>
      <c r="G812" s="156"/>
      <c r="H812" s="156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9"/>
    </row>
    <row r="813" spans="1:26" ht="24.75">
      <c r="A813" s="149"/>
      <c r="B813" s="146"/>
      <c r="C813" s="147"/>
      <c r="D813" s="159"/>
      <c r="E813" s="148"/>
      <c r="F813" s="149"/>
      <c r="G813" s="158"/>
      <c r="H813" s="158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9"/>
    </row>
    <row r="814" spans="1:26" ht="24.75">
      <c r="A814" s="149"/>
      <c r="B814" s="146"/>
      <c r="C814" s="147"/>
      <c r="D814" s="159"/>
      <c r="E814" s="148"/>
      <c r="F814" s="149"/>
      <c r="G814" s="156"/>
      <c r="H814" s="156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9"/>
    </row>
    <row r="815" spans="1:26" ht="24.75">
      <c r="A815" s="149"/>
      <c r="B815" s="146"/>
      <c r="C815" s="147"/>
      <c r="D815" s="159"/>
      <c r="E815" s="148"/>
      <c r="F815" s="149"/>
      <c r="G815" s="158"/>
      <c r="H815" s="158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/>
    </row>
    <row r="816" spans="1:26" ht="24.75">
      <c r="A816" s="149"/>
      <c r="B816" s="146"/>
      <c r="C816" s="147"/>
      <c r="D816" s="159"/>
      <c r="E816" s="148"/>
      <c r="F816" s="149"/>
      <c r="G816" s="156"/>
      <c r="H816" s="156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/>
    </row>
    <row r="817" spans="1:26" ht="24.75">
      <c r="A817" s="149"/>
      <c r="B817" s="146"/>
      <c r="C817" s="147"/>
      <c r="D817" s="159"/>
      <c r="E817" s="148"/>
      <c r="F817" s="149"/>
      <c r="G817" s="158"/>
      <c r="H817" s="158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9"/>
    </row>
    <row r="818" spans="1:26" ht="24.75">
      <c r="A818" s="149"/>
      <c r="B818" s="146"/>
      <c r="C818" s="147"/>
      <c r="D818" s="159"/>
      <c r="E818" s="148"/>
      <c r="F818" s="149"/>
      <c r="G818" s="156"/>
      <c r="H818" s="156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9"/>
    </row>
    <row r="819" spans="1:26" ht="24.75">
      <c r="A819" s="149"/>
      <c r="B819" s="146"/>
      <c r="C819" s="147"/>
      <c r="D819" s="159"/>
      <c r="E819" s="148"/>
      <c r="F819" s="149"/>
      <c r="G819" s="158"/>
      <c r="H819" s="158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9"/>
    </row>
    <row r="820" spans="1:26" ht="24.75">
      <c r="A820" s="149"/>
      <c r="B820" s="146"/>
      <c r="C820" s="147"/>
      <c r="D820" s="159"/>
      <c r="E820" s="148"/>
      <c r="F820" s="149"/>
      <c r="G820" s="156"/>
      <c r="H820" s="156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9"/>
    </row>
    <row r="821" spans="1:26" ht="24.75">
      <c r="A821" s="149"/>
      <c r="B821" s="146"/>
      <c r="C821" s="147"/>
      <c r="D821" s="159"/>
      <c r="E821" s="148"/>
      <c r="F821" s="149"/>
      <c r="G821" s="158"/>
      <c r="H821" s="158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9"/>
    </row>
    <row r="822" spans="1:26" ht="24.75">
      <c r="A822" s="149"/>
      <c r="B822" s="146"/>
      <c r="C822" s="147"/>
      <c r="D822" s="159"/>
      <c r="E822" s="148"/>
      <c r="F822" s="149"/>
      <c r="G822" s="156"/>
      <c r="H822" s="156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9"/>
    </row>
    <row r="823" spans="1:26" ht="24.75">
      <c r="A823" s="149"/>
      <c r="B823" s="146"/>
      <c r="C823" s="147"/>
      <c r="D823" s="159"/>
      <c r="E823" s="148"/>
      <c r="F823" s="149"/>
      <c r="G823" s="158"/>
      <c r="H823" s="158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9"/>
    </row>
    <row r="824" spans="1:26" ht="24.75">
      <c r="A824" s="149"/>
      <c r="B824" s="146"/>
      <c r="C824" s="147"/>
      <c r="D824" s="159"/>
      <c r="E824" s="148"/>
      <c r="F824" s="149"/>
      <c r="G824" s="156"/>
      <c r="H824" s="156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9"/>
    </row>
    <row r="825" spans="1:26" ht="24.75">
      <c r="A825" s="149"/>
      <c r="B825" s="146"/>
      <c r="C825" s="147"/>
      <c r="D825" s="159"/>
      <c r="E825" s="148"/>
      <c r="F825" s="149"/>
      <c r="G825" s="158"/>
      <c r="H825" s="158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9"/>
    </row>
    <row r="826" spans="1:26" ht="24.75">
      <c r="A826" s="149"/>
      <c r="B826" s="146"/>
      <c r="C826" s="147"/>
      <c r="D826" s="159"/>
      <c r="E826" s="148"/>
      <c r="F826" s="149"/>
      <c r="G826" s="156"/>
      <c r="H826" s="156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9"/>
    </row>
    <row r="827" spans="1:26" ht="24.75">
      <c r="A827" s="149"/>
      <c r="B827" s="146"/>
      <c r="C827" s="147"/>
      <c r="D827" s="159"/>
      <c r="E827" s="148"/>
      <c r="F827" s="149"/>
      <c r="G827" s="158"/>
      <c r="H827" s="158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9"/>
    </row>
    <row r="828" spans="1:26" ht="24.75">
      <c r="A828" s="149"/>
      <c r="B828" s="146"/>
      <c r="C828" s="147"/>
      <c r="D828" s="159"/>
      <c r="E828" s="148"/>
      <c r="F828" s="149"/>
      <c r="G828" s="156"/>
      <c r="H828" s="156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9"/>
    </row>
    <row r="829" spans="1:26" ht="24.75">
      <c r="A829" s="149"/>
      <c r="B829" s="146"/>
      <c r="C829" s="147"/>
      <c r="D829" s="159"/>
      <c r="E829" s="148"/>
      <c r="F829" s="149"/>
      <c r="G829" s="158"/>
      <c r="H829" s="158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9"/>
    </row>
    <row r="830" spans="1:26" ht="24.75">
      <c r="A830" s="149"/>
      <c r="B830" s="146"/>
      <c r="C830" s="147"/>
      <c r="D830" s="159"/>
      <c r="E830" s="148"/>
      <c r="F830" s="149"/>
      <c r="G830" s="156"/>
      <c r="H830" s="156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9"/>
    </row>
    <row r="831" spans="1:26" ht="24.75">
      <c r="A831" s="149"/>
      <c r="B831" s="146"/>
      <c r="C831" s="147"/>
      <c r="D831" s="159"/>
      <c r="E831" s="148"/>
      <c r="F831" s="149"/>
      <c r="G831" s="158"/>
      <c r="H831" s="158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9"/>
    </row>
    <row r="832" spans="1:26" ht="24.75">
      <c r="A832" s="149"/>
      <c r="B832" s="146"/>
      <c r="C832" s="147"/>
      <c r="D832" s="159"/>
      <c r="E832" s="148"/>
      <c r="F832" s="149"/>
      <c r="G832" s="156"/>
      <c r="H832" s="156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9"/>
    </row>
    <row r="833" spans="1:26" ht="24.75">
      <c r="A833" s="149"/>
      <c r="B833" s="146"/>
      <c r="C833" s="147"/>
      <c r="D833" s="159"/>
      <c r="E833" s="148"/>
      <c r="F833" s="149"/>
      <c r="G833" s="158"/>
      <c r="H833" s="158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9"/>
    </row>
    <row r="834" spans="1:26" ht="24.75">
      <c r="A834" s="149"/>
      <c r="B834" s="146"/>
      <c r="C834" s="147"/>
      <c r="D834" s="159"/>
      <c r="E834" s="148"/>
      <c r="F834" s="149"/>
      <c r="G834" s="156"/>
      <c r="H834" s="156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9"/>
    </row>
    <row r="835" spans="1:26" ht="24.75">
      <c r="A835" s="149"/>
      <c r="B835" s="146"/>
      <c r="C835" s="147"/>
      <c r="D835" s="159"/>
      <c r="E835" s="148"/>
      <c r="F835" s="149"/>
      <c r="G835" s="158"/>
      <c r="H835" s="158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9"/>
    </row>
    <row r="836" spans="1:26" ht="24.75">
      <c r="A836" s="149"/>
      <c r="B836" s="146"/>
      <c r="C836" s="147"/>
      <c r="D836" s="159"/>
      <c r="E836" s="148"/>
      <c r="F836" s="149"/>
      <c r="G836" s="156"/>
      <c r="H836" s="156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9"/>
    </row>
    <row r="837" spans="1:26" ht="24.75">
      <c r="A837" s="149"/>
      <c r="B837" s="146"/>
      <c r="C837" s="147"/>
      <c r="D837" s="159"/>
      <c r="E837" s="148"/>
      <c r="F837" s="149"/>
      <c r="G837" s="158"/>
      <c r="H837" s="158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9"/>
    </row>
    <row r="838" spans="1:26" ht="24.75">
      <c r="A838" s="149"/>
      <c r="B838" s="146"/>
      <c r="C838" s="147"/>
      <c r="D838" s="159"/>
      <c r="E838" s="148"/>
      <c r="F838" s="149"/>
      <c r="G838" s="156"/>
      <c r="H838" s="156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9"/>
    </row>
    <row r="839" spans="1:26" ht="24.75">
      <c r="A839" s="149"/>
      <c r="B839" s="146"/>
      <c r="C839" s="147"/>
      <c r="D839" s="159"/>
      <c r="E839" s="148"/>
      <c r="F839" s="149"/>
      <c r="G839" s="158"/>
      <c r="H839" s="158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9"/>
    </row>
    <row r="840" spans="1:26" ht="24.75">
      <c r="A840" s="149"/>
      <c r="B840" s="146"/>
      <c r="C840" s="147"/>
      <c r="D840" s="159"/>
      <c r="E840" s="148"/>
      <c r="F840" s="149"/>
      <c r="G840" s="156"/>
      <c r="H840" s="156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9"/>
    </row>
    <row r="841" spans="1:26" ht="24.75">
      <c r="A841" s="149"/>
      <c r="B841" s="146"/>
      <c r="C841" s="147"/>
      <c r="D841" s="159"/>
      <c r="E841" s="148"/>
      <c r="F841" s="149"/>
      <c r="G841" s="158"/>
      <c r="H841" s="158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9"/>
    </row>
    <row r="842" spans="1:26" ht="24.75">
      <c r="A842" s="149"/>
      <c r="B842" s="146"/>
      <c r="C842" s="147"/>
      <c r="D842" s="159"/>
      <c r="E842" s="148"/>
      <c r="F842" s="149"/>
      <c r="G842" s="156"/>
      <c r="H842" s="156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9"/>
    </row>
    <row r="843" spans="1:26" ht="24.75">
      <c r="A843" s="149"/>
      <c r="B843" s="146"/>
      <c r="C843" s="147"/>
      <c r="D843" s="159"/>
      <c r="E843" s="148"/>
      <c r="F843" s="149"/>
      <c r="G843" s="158"/>
      <c r="H843" s="158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9"/>
    </row>
    <row r="844" spans="1:26" ht="24.75">
      <c r="A844" s="149"/>
      <c r="B844" s="146"/>
      <c r="C844" s="147"/>
      <c r="D844" s="159"/>
      <c r="E844" s="148"/>
      <c r="F844" s="149"/>
      <c r="G844" s="156"/>
      <c r="H844" s="156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9"/>
    </row>
    <row r="845" spans="1:26" ht="24.75">
      <c r="A845" s="149"/>
      <c r="B845" s="146"/>
      <c r="C845" s="147"/>
      <c r="D845" s="159"/>
      <c r="E845" s="148"/>
      <c r="F845" s="149"/>
      <c r="G845" s="158"/>
      <c r="H845" s="158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9"/>
    </row>
    <row r="846" spans="1:26" ht="24.75">
      <c r="A846" s="149"/>
      <c r="B846" s="146"/>
      <c r="C846" s="147"/>
      <c r="D846" s="159"/>
      <c r="E846" s="148"/>
      <c r="F846" s="149"/>
      <c r="G846" s="156"/>
      <c r="H846" s="156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9"/>
    </row>
    <row r="847" spans="1:26" ht="24.75">
      <c r="A847" s="149"/>
      <c r="B847" s="146"/>
      <c r="C847" s="147"/>
      <c r="D847" s="159"/>
      <c r="E847" s="148"/>
      <c r="F847" s="149"/>
      <c r="G847" s="158"/>
      <c r="H847" s="158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9"/>
    </row>
    <row r="848" spans="1:26" ht="24.75">
      <c r="A848" s="149"/>
      <c r="B848" s="146"/>
      <c r="C848" s="147"/>
      <c r="D848" s="159"/>
      <c r="E848" s="148"/>
      <c r="F848" s="149"/>
      <c r="G848" s="156"/>
      <c r="H848" s="156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9"/>
    </row>
    <row r="849" spans="1:26" ht="24.75">
      <c r="A849" s="149"/>
      <c r="B849" s="146"/>
      <c r="C849" s="147"/>
      <c r="D849" s="159"/>
      <c r="E849" s="148"/>
      <c r="F849" s="149"/>
      <c r="G849" s="158"/>
      <c r="H849" s="158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9"/>
    </row>
    <row r="850" spans="1:26" ht="24.75">
      <c r="A850" s="149"/>
      <c r="B850" s="146"/>
      <c r="C850" s="147"/>
      <c r="D850" s="159"/>
      <c r="E850" s="148"/>
      <c r="F850" s="149"/>
      <c r="G850" s="156"/>
      <c r="H850" s="156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9"/>
    </row>
    <row r="851" spans="1:26" ht="24.75">
      <c r="A851" s="149"/>
      <c r="B851" s="146"/>
      <c r="C851" s="147"/>
      <c r="D851" s="159"/>
      <c r="E851" s="148"/>
      <c r="F851" s="149"/>
      <c r="G851" s="158"/>
      <c r="H851" s="158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9"/>
    </row>
    <row r="852" spans="1:26" ht="24.75">
      <c r="A852" s="149"/>
      <c r="B852" s="146"/>
      <c r="C852" s="147"/>
      <c r="D852" s="159"/>
      <c r="E852" s="148"/>
      <c r="F852" s="149"/>
      <c r="G852" s="156"/>
      <c r="H852" s="156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9"/>
    </row>
    <row r="853" spans="1:26" ht="24.75">
      <c r="A853" s="149"/>
      <c r="B853" s="146"/>
      <c r="C853" s="147"/>
      <c r="D853" s="159"/>
      <c r="E853" s="148"/>
      <c r="F853" s="149"/>
      <c r="G853" s="158"/>
      <c r="H853" s="158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9"/>
    </row>
    <row r="854" spans="1:26" ht="24.75">
      <c r="A854" s="149"/>
      <c r="B854" s="146"/>
      <c r="C854" s="147"/>
      <c r="D854" s="159"/>
      <c r="E854" s="148"/>
      <c r="F854" s="149"/>
      <c r="G854" s="156"/>
      <c r="H854" s="156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9"/>
    </row>
    <row r="855" spans="1:26" ht="24.75">
      <c r="A855" s="149"/>
      <c r="B855" s="146"/>
      <c r="C855" s="147"/>
      <c r="D855" s="159"/>
      <c r="E855" s="148"/>
      <c r="F855" s="149"/>
      <c r="G855" s="158"/>
      <c r="H855" s="158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9"/>
    </row>
    <row r="856" spans="1:26" ht="24.75">
      <c r="A856" s="149"/>
      <c r="B856" s="146"/>
      <c r="C856" s="147"/>
      <c r="D856" s="159"/>
      <c r="E856" s="148"/>
      <c r="F856" s="149"/>
      <c r="G856" s="156"/>
      <c r="H856" s="156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9"/>
    </row>
    <row r="857" spans="1:26" ht="24.75">
      <c r="A857" s="149"/>
      <c r="B857" s="146"/>
      <c r="C857" s="147"/>
      <c r="D857" s="159"/>
      <c r="E857" s="148"/>
      <c r="F857" s="149"/>
      <c r="G857" s="158"/>
      <c r="H857" s="158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9"/>
    </row>
    <row r="858" spans="1:26" ht="24.75">
      <c r="A858" s="149"/>
      <c r="B858" s="146"/>
      <c r="C858" s="147"/>
      <c r="D858" s="159"/>
      <c r="E858" s="148"/>
      <c r="F858" s="149"/>
      <c r="G858" s="156"/>
      <c r="H858" s="156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9"/>
    </row>
    <row r="859" spans="1:26" ht="24.75">
      <c r="A859" s="149"/>
      <c r="B859" s="146"/>
      <c r="C859" s="147"/>
      <c r="D859" s="159"/>
      <c r="E859" s="148"/>
      <c r="F859" s="149"/>
      <c r="G859" s="158"/>
      <c r="H859" s="158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9"/>
    </row>
    <row r="860" spans="1:26" ht="24.75">
      <c r="A860" s="149"/>
      <c r="B860" s="146"/>
      <c r="C860" s="147"/>
      <c r="D860" s="159"/>
      <c r="E860" s="148"/>
      <c r="F860" s="149"/>
      <c r="G860" s="156"/>
      <c r="H860" s="156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9"/>
    </row>
    <row r="861" spans="1:26" ht="24.75">
      <c r="A861" s="149"/>
      <c r="B861" s="146"/>
      <c r="C861" s="147"/>
      <c r="D861" s="159"/>
      <c r="E861" s="148"/>
      <c r="F861" s="149"/>
      <c r="G861" s="158"/>
      <c r="H861" s="158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9"/>
    </row>
    <row r="862" spans="1:26" ht="24.75">
      <c r="A862" s="149"/>
      <c r="B862" s="146"/>
      <c r="C862" s="147"/>
      <c r="D862" s="159"/>
      <c r="E862" s="148"/>
      <c r="F862" s="149"/>
      <c r="G862" s="156"/>
      <c r="H862" s="156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9"/>
    </row>
    <row r="863" spans="1:26" ht="24.75">
      <c r="A863" s="149"/>
      <c r="B863" s="146"/>
      <c r="C863" s="147"/>
      <c r="D863" s="159"/>
      <c r="E863" s="148"/>
      <c r="F863" s="149"/>
      <c r="G863" s="158"/>
      <c r="H863" s="158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9"/>
    </row>
    <row r="864" spans="1:26" ht="24.75">
      <c r="A864" s="149"/>
      <c r="B864" s="146"/>
      <c r="C864" s="147"/>
      <c r="D864" s="159"/>
      <c r="E864" s="148"/>
      <c r="F864" s="149"/>
      <c r="G864" s="156"/>
      <c r="H864" s="156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9"/>
    </row>
    <row r="865" spans="1:26" ht="24.75">
      <c r="A865" s="149"/>
      <c r="B865" s="146"/>
      <c r="C865" s="147"/>
      <c r="D865" s="159"/>
      <c r="E865" s="148"/>
      <c r="F865" s="149"/>
      <c r="G865" s="158"/>
      <c r="H865" s="158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9"/>
    </row>
    <row r="866" spans="1:26" ht="24.75">
      <c r="A866" s="149"/>
      <c r="B866" s="146"/>
      <c r="C866" s="147"/>
      <c r="D866" s="159"/>
      <c r="E866" s="148"/>
      <c r="F866" s="149"/>
      <c r="G866" s="156"/>
      <c r="H866" s="156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9"/>
    </row>
    <row r="867" spans="1:26" ht="24.75">
      <c r="A867" s="149"/>
      <c r="B867" s="146"/>
      <c r="C867" s="147"/>
      <c r="D867" s="159"/>
      <c r="E867" s="148"/>
      <c r="F867" s="149"/>
      <c r="G867" s="158"/>
      <c r="H867" s="158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9"/>
    </row>
    <row r="868" spans="1:26" ht="24.75">
      <c r="A868" s="149"/>
      <c r="B868" s="146"/>
      <c r="C868" s="147"/>
      <c r="D868" s="159"/>
      <c r="E868" s="148"/>
      <c r="F868" s="149"/>
      <c r="G868" s="156"/>
      <c r="H868" s="156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  <c r="Z868" s="149"/>
    </row>
    <row r="869" spans="1:26" ht="24.75">
      <c r="A869" s="149"/>
      <c r="B869" s="146"/>
      <c r="C869" s="147"/>
      <c r="D869" s="159"/>
      <c r="E869" s="148"/>
      <c r="F869" s="149"/>
      <c r="G869" s="158"/>
      <c r="H869" s="158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  <c r="Z869" s="149"/>
    </row>
    <row r="870" spans="1:26" ht="24.75">
      <c r="A870" s="149"/>
      <c r="B870" s="146"/>
      <c r="C870" s="147"/>
      <c r="D870" s="159"/>
      <c r="E870" s="148"/>
      <c r="F870" s="149"/>
      <c r="G870" s="156"/>
      <c r="H870" s="156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9"/>
    </row>
    <row r="871" spans="1:26" ht="24.75">
      <c r="A871" s="149"/>
      <c r="B871" s="146"/>
      <c r="C871" s="147"/>
      <c r="D871" s="159"/>
      <c r="E871" s="148"/>
      <c r="F871" s="149"/>
      <c r="G871" s="158"/>
      <c r="H871" s="158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9"/>
    </row>
    <row r="872" spans="1:26" ht="24.75">
      <c r="A872" s="149"/>
      <c r="B872" s="146"/>
      <c r="C872" s="147"/>
      <c r="D872" s="159"/>
      <c r="E872" s="148"/>
      <c r="F872" s="149"/>
      <c r="G872" s="156"/>
      <c r="H872" s="156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9"/>
    </row>
    <row r="873" spans="1:26" ht="24.75">
      <c r="A873" s="149"/>
      <c r="B873" s="146"/>
      <c r="C873" s="147"/>
      <c r="D873" s="159"/>
      <c r="E873" s="148"/>
      <c r="F873" s="149"/>
      <c r="G873" s="158"/>
      <c r="H873" s="158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  <c r="Z873" s="149"/>
    </row>
    <row r="874" spans="1:26" ht="24.75">
      <c r="A874" s="149"/>
      <c r="B874" s="146"/>
      <c r="C874" s="147"/>
      <c r="D874" s="159"/>
      <c r="E874" s="148"/>
      <c r="F874" s="149"/>
      <c r="G874" s="156"/>
      <c r="H874" s="156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  <c r="Z874" s="149"/>
    </row>
    <row r="875" spans="1:26" ht="24.75">
      <c r="A875" s="149"/>
      <c r="B875" s="146"/>
      <c r="C875" s="147"/>
      <c r="D875" s="159"/>
      <c r="E875" s="148"/>
      <c r="F875" s="149"/>
      <c r="G875" s="158"/>
      <c r="H875" s="158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9"/>
    </row>
    <row r="876" spans="1:26" ht="24.75">
      <c r="A876" s="149"/>
      <c r="B876" s="146"/>
      <c r="C876" s="147"/>
      <c r="D876" s="159"/>
      <c r="E876" s="148"/>
      <c r="F876" s="149"/>
      <c r="G876" s="156"/>
      <c r="H876" s="156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  <c r="Z876" s="149"/>
    </row>
    <row r="877" spans="1:26" ht="24.75">
      <c r="A877" s="149"/>
      <c r="B877" s="146"/>
      <c r="C877" s="147"/>
      <c r="D877" s="159"/>
      <c r="E877" s="148"/>
      <c r="F877" s="149"/>
      <c r="G877" s="158"/>
      <c r="H877" s="158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  <c r="Z877" s="149"/>
    </row>
    <row r="878" spans="1:26" ht="24.75">
      <c r="A878" s="149"/>
      <c r="B878" s="146"/>
      <c r="C878" s="147"/>
      <c r="D878" s="159"/>
      <c r="E878" s="148"/>
      <c r="F878" s="149"/>
      <c r="G878" s="156"/>
      <c r="H878" s="156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9"/>
    </row>
    <row r="879" spans="1:26" ht="24.75">
      <c r="A879" s="149"/>
      <c r="B879" s="146"/>
      <c r="C879" s="147"/>
      <c r="D879" s="159"/>
      <c r="E879" s="148"/>
      <c r="F879" s="149"/>
      <c r="G879" s="158"/>
      <c r="H879" s="158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9"/>
    </row>
    <row r="880" spans="1:26" ht="24.75">
      <c r="A880" s="149"/>
      <c r="B880" s="146"/>
      <c r="C880" s="147"/>
      <c r="D880" s="159"/>
      <c r="E880" s="148"/>
      <c r="F880" s="149"/>
      <c r="G880" s="156"/>
      <c r="H880" s="156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9"/>
    </row>
    <row r="881" spans="1:26" ht="24.75">
      <c r="A881" s="149"/>
      <c r="B881" s="146"/>
      <c r="C881" s="147"/>
      <c r="D881" s="159"/>
      <c r="E881" s="148"/>
      <c r="F881" s="149"/>
      <c r="G881" s="158"/>
      <c r="H881" s="158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9"/>
    </row>
    <row r="882" spans="1:26" ht="24.75">
      <c r="A882" s="149"/>
      <c r="B882" s="146"/>
      <c r="C882" s="147"/>
      <c r="D882" s="159"/>
      <c r="E882" s="148"/>
      <c r="F882" s="149"/>
      <c r="G882" s="156"/>
      <c r="H882" s="156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9"/>
    </row>
    <row r="883" spans="1:26" ht="24.75">
      <c r="A883" s="149"/>
      <c r="B883" s="146"/>
      <c r="C883" s="147"/>
      <c r="D883" s="159"/>
      <c r="E883" s="148"/>
      <c r="F883" s="149"/>
      <c r="G883" s="158"/>
      <c r="H883" s="158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9"/>
    </row>
    <row r="884" spans="1:26" ht="24.75">
      <c r="A884" s="149"/>
      <c r="B884" s="146"/>
      <c r="C884" s="147"/>
      <c r="D884" s="159"/>
      <c r="E884" s="148"/>
      <c r="F884" s="149"/>
      <c r="G884" s="156"/>
      <c r="H884" s="156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9"/>
    </row>
    <row r="885" spans="1:26" ht="24.75">
      <c r="A885" s="149"/>
      <c r="B885" s="146"/>
      <c r="C885" s="147"/>
      <c r="D885" s="159"/>
      <c r="E885" s="148"/>
      <c r="F885" s="149"/>
      <c r="G885" s="158"/>
      <c r="H885" s="158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  <c r="Z885" s="149"/>
    </row>
    <row r="886" spans="1:26" ht="24.75">
      <c r="A886" s="149"/>
      <c r="B886" s="146"/>
      <c r="C886" s="147"/>
      <c r="D886" s="159"/>
      <c r="E886" s="148"/>
      <c r="F886" s="149"/>
      <c r="G886" s="156"/>
      <c r="H886" s="156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  <c r="Z886" s="149"/>
    </row>
    <row r="887" spans="1:26" ht="24.75">
      <c r="A887" s="149"/>
      <c r="B887" s="146"/>
      <c r="C887" s="147"/>
      <c r="D887" s="159"/>
      <c r="E887" s="148"/>
      <c r="F887" s="149"/>
      <c r="G887" s="158"/>
      <c r="H887" s="158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9"/>
    </row>
    <row r="888" spans="1:26" ht="24.75">
      <c r="A888" s="149"/>
      <c r="B888" s="146"/>
      <c r="C888" s="147"/>
      <c r="D888" s="159"/>
      <c r="E888" s="148"/>
      <c r="F888" s="149"/>
      <c r="G888" s="156"/>
      <c r="H888" s="156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</row>
    <row r="889" spans="1:26" ht="24.75">
      <c r="A889" s="149"/>
      <c r="B889" s="146"/>
      <c r="C889" s="147"/>
      <c r="D889" s="159"/>
      <c r="E889" s="148"/>
      <c r="F889" s="149"/>
      <c r="G889" s="158"/>
      <c r="H889" s="158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9"/>
    </row>
    <row r="890" spans="1:26" ht="24.75">
      <c r="A890" s="149"/>
      <c r="B890" s="146"/>
      <c r="C890" s="147"/>
      <c r="D890" s="159"/>
      <c r="E890" s="148"/>
      <c r="F890" s="149"/>
      <c r="G890" s="156"/>
      <c r="H890" s="156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9"/>
    </row>
    <row r="891" spans="1:26" ht="24.75">
      <c r="A891" s="149"/>
      <c r="B891" s="146"/>
      <c r="C891" s="147"/>
      <c r="D891" s="159"/>
      <c r="E891" s="148"/>
      <c r="F891" s="149"/>
      <c r="G891" s="158"/>
      <c r="H891" s="158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9"/>
    </row>
    <row r="892" spans="1:26" ht="24.75">
      <c r="A892" s="149"/>
      <c r="B892" s="146"/>
      <c r="C892" s="147"/>
      <c r="D892" s="159"/>
      <c r="E892" s="148"/>
      <c r="F892" s="149"/>
      <c r="G892" s="156"/>
      <c r="H892" s="156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9"/>
    </row>
    <row r="893" spans="1:26" ht="24.75">
      <c r="A893" s="149"/>
      <c r="B893" s="146"/>
      <c r="C893" s="147"/>
      <c r="D893" s="159"/>
      <c r="E893" s="148"/>
      <c r="F893" s="149"/>
      <c r="G893" s="158"/>
      <c r="H893" s="158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9"/>
    </row>
    <row r="894" spans="1:26" ht="24.75">
      <c r="A894" s="149"/>
      <c r="B894" s="146"/>
      <c r="C894" s="147"/>
      <c r="D894" s="159"/>
      <c r="E894" s="148"/>
      <c r="F894" s="149"/>
      <c r="G894" s="156"/>
      <c r="H894" s="156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9"/>
    </row>
    <row r="895" spans="1:26" ht="24.75">
      <c r="A895" s="149"/>
      <c r="B895" s="146"/>
      <c r="C895" s="147"/>
      <c r="D895" s="159"/>
      <c r="E895" s="148"/>
      <c r="F895" s="149"/>
      <c r="G895" s="158"/>
      <c r="H895" s="158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9"/>
    </row>
    <row r="896" spans="1:26" ht="24.75">
      <c r="A896" s="149"/>
      <c r="B896" s="146"/>
      <c r="C896" s="147"/>
      <c r="D896" s="159"/>
      <c r="E896" s="148"/>
      <c r="F896" s="149"/>
      <c r="G896" s="156"/>
      <c r="H896" s="156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9"/>
    </row>
    <row r="897" spans="1:26" ht="24.75">
      <c r="A897" s="149"/>
      <c r="B897" s="146"/>
      <c r="C897" s="147"/>
      <c r="D897" s="159"/>
      <c r="E897" s="148"/>
      <c r="F897" s="149"/>
      <c r="G897" s="158"/>
      <c r="H897" s="158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9"/>
    </row>
    <row r="898" spans="1:26" ht="24.75">
      <c r="A898" s="149"/>
      <c r="B898" s="146"/>
      <c r="C898" s="147"/>
      <c r="D898" s="159"/>
      <c r="E898" s="148"/>
      <c r="F898" s="149"/>
      <c r="G898" s="156"/>
      <c r="H898" s="156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9"/>
    </row>
    <row r="899" spans="1:26" ht="24.75">
      <c r="A899" s="149"/>
      <c r="B899" s="146"/>
      <c r="C899" s="147"/>
      <c r="D899" s="159"/>
      <c r="E899" s="148"/>
      <c r="F899" s="149"/>
      <c r="G899" s="158"/>
      <c r="H899" s="158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  <c r="Z899" s="149"/>
    </row>
    <row r="900" spans="1:26" ht="24.75">
      <c r="A900" s="149"/>
      <c r="B900" s="146"/>
      <c r="C900" s="147"/>
      <c r="D900" s="159"/>
      <c r="E900" s="148"/>
      <c r="F900" s="149"/>
      <c r="G900" s="156"/>
      <c r="H900" s="156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  <c r="Z900" s="149"/>
    </row>
    <row r="901" spans="1:26" ht="24.75">
      <c r="A901" s="149"/>
      <c r="B901" s="146"/>
      <c r="C901" s="147"/>
      <c r="D901" s="159"/>
      <c r="E901" s="148"/>
      <c r="F901" s="149"/>
      <c r="G901" s="158"/>
      <c r="H901" s="158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  <c r="Z901" s="149"/>
    </row>
    <row r="902" spans="1:26" ht="24.75">
      <c r="A902" s="149"/>
      <c r="B902" s="146"/>
      <c r="C902" s="147"/>
      <c r="D902" s="159"/>
      <c r="E902" s="148"/>
      <c r="F902" s="149"/>
      <c r="G902" s="156"/>
      <c r="H902" s="156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9"/>
    </row>
    <row r="903" spans="1:26" ht="24.75">
      <c r="A903" s="149"/>
      <c r="B903" s="146"/>
      <c r="C903" s="147"/>
      <c r="D903" s="159"/>
      <c r="E903" s="148"/>
      <c r="F903" s="149"/>
      <c r="G903" s="158"/>
      <c r="H903" s="158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9"/>
    </row>
    <row r="904" spans="1:26" ht="24.75">
      <c r="A904" s="149"/>
      <c r="B904" s="146"/>
      <c r="C904" s="147"/>
      <c r="D904" s="159"/>
      <c r="E904" s="148"/>
      <c r="F904" s="149"/>
      <c r="G904" s="156"/>
      <c r="H904" s="156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  <c r="Z904" s="149"/>
    </row>
    <row r="905" spans="1:26" ht="24.75">
      <c r="A905" s="149"/>
      <c r="B905" s="146"/>
      <c r="C905" s="147"/>
      <c r="D905" s="159"/>
      <c r="E905" s="148"/>
      <c r="F905" s="149"/>
      <c r="G905" s="158"/>
      <c r="H905" s="158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  <c r="Z905" s="149"/>
    </row>
    <row r="906" spans="1:26" ht="24.75">
      <c r="A906" s="149"/>
      <c r="B906" s="146"/>
      <c r="C906" s="147"/>
      <c r="D906" s="159"/>
      <c r="E906" s="148"/>
      <c r="F906" s="149"/>
      <c r="G906" s="156"/>
      <c r="H906" s="156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9"/>
    </row>
    <row r="907" spans="1:26" ht="24.75">
      <c r="A907" s="149"/>
      <c r="B907" s="146"/>
      <c r="C907" s="147"/>
      <c r="D907" s="159"/>
      <c r="E907" s="148"/>
      <c r="F907" s="149"/>
      <c r="G907" s="158"/>
      <c r="H907" s="158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9"/>
    </row>
    <row r="908" spans="1:26" ht="24.75">
      <c r="A908" s="149"/>
      <c r="B908" s="146"/>
      <c r="C908" s="147"/>
      <c r="D908" s="159"/>
      <c r="E908" s="148"/>
      <c r="F908" s="149"/>
      <c r="G908" s="156"/>
      <c r="H908" s="156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9"/>
    </row>
    <row r="909" spans="1:26" ht="24.75">
      <c r="A909" s="149"/>
      <c r="B909" s="146"/>
      <c r="C909" s="147"/>
      <c r="D909" s="159"/>
      <c r="E909" s="148"/>
      <c r="F909" s="149"/>
      <c r="G909" s="158"/>
      <c r="H909" s="158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9"/>
    </row>
    <row r="910" spans="1:26" ht="24.75">
      <c r="A910" s="149"/>
      <c r="B910" s="146"/>
      <c r="C910" s="147"/>
      <c r="D910" s="159"/>
      <c r="E910" s="148"/>
      <c r="F910" s="149"/>
      <c r="G910" s="156"/>
      <c r="H910" s="156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9"/>
    </row>
    <row r="911" spans="1:26" ht="24.75">
      <c r="A911" s="149"/>
      <c r="B911" s="146"/>
      <c r="C911" s="147"/>
      <c r="D911" s="159"/>
      <c r="E911" s="148"/>
      <c r="F911" s="149"/>
      <c r="G911" s="158"/>
      <c r="H911" s="158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9"/>
    </row>
    <row r="912" spans="1:26" ht="24.75">
      <c r="A912" s="149"/>
      <c r="B912" s="146"/>
      <c r="C912" s="147"/>
      <c r="D912" s="159"/>
      <c r="E912" s="148"/>
      <c r="F912" s="149"/>
      <c r="G912" s="156"/>
      <c r="H912" s="156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</row>
    <row r="913" spans="1:26" ht="24.75">
      <c r="A913" s="149"/>
      <c r="B913" s="146"/>
      <c r="C913" s="147"/>
      <c r="D913" s="159"/>
      <c r="E913" s="148"/>
      <c r="F913" s="149"/>
      <c r="G913" s="158"/>
      <c r="H913" s="158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</row>
    <row r="914" spans="1:26" ht="24.75">
      <c r="A914" s="149"/>
      <c r="B914" s="146"/>
      <c r="C914" s="147"/>
      <c r="D914" s="159"/>
      <c r="E914" s="148"/>
      <c r="F914" s="149"/>
      <c r="G914" s="156"/>
      <c r="H914" s="156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</row>
    <row r="915" spans="1:26" ht="24.75">
      <c r="A915" s="149"/>
      <c r="B915" s="146"/>
      <c r="C915" s="147"/>
      <c r="D915" s="159"/>
      <c r="E915" s="148"/>
      <c r="F915" s="149"/>
      <c r="G915" s="158"/>
      <c r="H915" s="158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/>
    </row>
    <row r="916" spans="1:26" ht="24.75">
      <c r="A916" s="149"/>
      <c r="B916" s="146"/>
      <c r="C916" s="147"/>
      <c r="D916" s="159"/>
      <c r="E916" s="148"/>
      <c r="F916" s="149"/>
      <c r="G916" s="156"/>
      <c r="H916" s="156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9"/>
    </row>
    <row r="917" spans="1:26" ht="24.75">
      <c r="A917" s="149"/>
      <c r="B917" s="146"/>
      <c r="C917" s="147"/>
      <c r="D917" s="159"/>
      <c r="E917" s="148"/>
      <c r="F917" s="149"/>
      <c r="G917" s="158"/>
      <c r="H917" s="158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9"/>
    </row>
    <row r="918" spans="1:26" ht="24.75">
      <c r="A918" s="149"/>
      <c r="B918" s="146"/>
      <c r="C918" s="147"/>
      <c r="D918" s="159"/>
      <c r="E918" s="148"/>
      <c r="F918" s="149"/>
      <c r="G918" s="156"/>
      <c r="H918" s="156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9"/>
    </row>
    <row r="919" spans="1:26" ht="24.75">
      <c r="A919" s="149"/>
      <c r="B919" s="146"/>
      <c r="C919" s="147"/>
      <c r="D919" s="159"/>
      <c r="E919" s="148"/>
      <c r="F919" s="149"/>
      <c r="G919" s="158"/>
      <c r="H919" s="158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9"/>
    </row>
    <row r="920" spans="1:26" ht="24.75">
      <c r="A920" s="149"/>
      <c r="B920" s="146"/>
      <c r="C920" s="147"/>
      <c r="D920" s="159"/>
      <c r="E920" s="148"/>
      <c r="F920" s="149"/>
      <c r="G920" s="156"/>
      <c r="H920" s="156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9"/>
    </row>
    <row r="921" spans="1:26" ht="24.75">
      <c r="A921" s="149"/>
      <c r="B921" s="146"/>
      <c r="C921" s="147"/>
      <c r="D921" s="159"/>
      <c r="E921" s="148"/>
      <c r="F921" s="149"/>
      <c r="G921" s="158"/>
      <c r="H921" s="158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9"/>
    </row>
    <row r="922" spans="1:26" ht="24.75">
      <c r="A922" s="149"/>
      <c r="B922" s="146"/>
      <c r="C922" s="147"/>
      <c r="D922" s="159"/>
      <c r="E922" s="148"/>
      <c r="F922" s="149"/>
      <c r="G922" s="156"/>
      <c r="H922" s="156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9"/>
    </row>
    <row r="923" spans="1:26" ht="24.75">
      <c r="A923" s="149"/>
      <c r="B923" s="146"/>
      <c r="C923" s="147"/>
      <c r="D923" s="159"/>
      <c r="E923" s="148"/>
      <c r="F923" s="149"/>
      <c r="G923" s="158"/>
      <c r="H923" s="158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9"/>
    </row>
    <row r="924" spans="1:26" ht="24.75">
      <c r="A924" s="149"/>
      <c r="B924" s="146"/>
      <c r="C924" s="147"/>
      <c r="D924" s="159"/>
      <c r="E924" s="148"/>
      <c r="F924" s="149"/>
      <c r="G924" s="156"/>
      <c r="H924" s="156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</row>
    <row r="925" spans="1:26" ht="24.75">
      <c r="A925" s="149"/>
      <c r="B925" s="146"/>
      <c r="C925" s="147"/>
      <c r="D925" s="159"/>
      <c r="E925" s="148"/>
      <c r="F925" s="149"/>
      <c r="G925" s="158"/>
      <c r="H925" s="158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/>
    </row>
    <row r="926" spans="1:26" ht="24.75">
      <c r="A926" s="149"/>
      <c r="B926" s="146"/>
      <c r="C926" s="147"/>
      <c r="D926" s="159"/>
      <c r="E926" s="148"/>
      <c r="F926" s="149"/>
      <c r="G926" s="156"/>
      <c r="H926" s="156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/>
    </row>
    <row r="927" spans="1:26" ht="24.75">
      <c r="A927" s="149"/>
      <c r="B927" s="146"/>
      <c r="C927" s="147"/>
      <c r="D927" s="159"/>
      <c r="E927" s="148"/>
      <c r="F927" s="149"/>
      <c r="G927" s="158"/>
      <c r="H927" s="158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</row>
    <row r="928" spans="1:26" ht="24.75">
      <c r="A928" s="149"/>
      <c r="B928" s="146"/>
      <c r="C928" s="147"/>
      <c r="D928" s="159"/>
      <c r="E928" s="148"/>
      <c r="F928" s="149"/>
      <c r="G928" s="156"/>
      <c r="H928" s="156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</row>
    <row r="929" spans="1:26" ht="24.75">
      <c r="A929" s="149"/>
      <c r="B929" s="146"/>
      <c r="C929" s="147"/>
      <c r="D929" s="159"/>
      <c r="E929" s="148"/>
      <c r="F929" s="149"/>
      <c r="G929" s="158"/>
      <c r="H929" s="158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</row>
    <row r="930" spans="1:26" ht="24.75">
      <c r="A930" s="149"/>
      <c r="B930" s="146"/>
      <c r="C930" s="147"/>
      <c r="D930" s="159"/>
      <c r="E930" s="148"/>
      <c r="F930" s="149"/>
      <c r="G930" s="156"/>
      <c r="H930" s="156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</row>
    <row r="931" spans="1:26" ht="24.75">
      <c r="A931" s="149"/>
      <c r="B931" s="146"/>
      <c r="C931" s="147"/>
      <c r="D931" s="159"/>
      <c r="E931" s="148"/>
      <c r="F931" s="149"/>
      <c r="G931" s="158"/>
      <c r="H931" s="158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</row>
    <row r="932" spans="1:26" ht="24.75">
      <c r="A932" s="149"/>
      <c r="B932" s="146"/>
      <c r="C932" s="147"/>
      <c r="D932" s="159"/>
      <c r="E932" s="148"/>
      <c r="F932" s="149"/>
      <c r="G932" s="156"/>
      <c r="H932" s="156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</row>
    <row r="933" spans="1:26" ht="24.75">
      <c r="A933" s="149"/>
      <c r="B933" s="146"/>
      <c r="C933" s="147"/>
      <c r="D933" s="159"/>
      <c r="E933" s="148"/>
      <c r="F933" s="149"/>
      <c r="G933" s="158"/>
      <c r="H933" s="158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/>
    </row>
    <row r="934" spans="1:26" ht="24.75">
      <c r="A934" s="149"/>
      <c r="B934" s="146"/>
      <c r="C934" s="147"/>
      <c r="D934" s="159"/>
      <c r="E934" s="148"/>
      <c r="F934" s="149"/>
      <c r="G934" s="156"/>
      <c r="H934" s="156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9"/>
    </row>
    <row r="935" spans="1:26" ht="24.75">
      <c r="A935" s="149"/>
      <c r="B935" s="146"/>
      <c r="C935" s="147"/>
      <c r="D935" s="159"/>
      <c r="E935" s="148"/>
      <c r="F935" s="149"/>
      <c r="G935" s="158"/>
      <c r="H935" s="158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9"/>
    </row>
    <row r="936" spans="1:26" ht="24.75">
      <c r="A936" s="149"/>
      <c r="B936" s="146"/>
      <c r="C936" s="147"/>
      <c r="D936" s="159"/>
      <c r="E936" s="148"/>
      <c r="F936" s="149"/>
      <c r="G936" s="156"/>
      <c r="H936" s="156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9"/>
    </row>
    <row r="937" spans="1:26" ht="24.75">
      <c r="A937" s="149"/>
      <c r="B937" s="146"/>
      <c r="C937" s="147"/>
      <c r="D937" s="159"/>
      <c r="E937" s="148"/>
      <c r="F937" s="149"/>
      <c r="G937" s="158"/>
      <c r="H937" s="158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9"/>
    </row>
    <row r="938" spans="1:26" ht="24.75">
      <c r="A938" s="149"/>
      <c r="B938" s="146"/>
      <c r="C938" s="147"/>
      <c r="D938" s="159"/>
      <c r="E938" s="148"/>
      <c r="F938" s="149"/>
      <c r="G938" s="156"/>
      <c r="H938" s="156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9"/>
    </row>
    <row r="939" spans="1:26" ht="24.75">
      <c r="A939" s="149"/>
      <c r="B939" s="146"/>
      <c r="C939" s="147"/>
      <c r="D939" s="159"/>
      <c r="E939" s="148"/>
      <c r="F939" s="149"/>
      <c r="G939" s="158"/>
      <c r="H939" s="158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9"/>
    </row>
    <row r="940" spans="1:26" ht="24.75">
      <c r="A940" s="149"/>
      <c r="B940" s="146"/>
      <c r="C940" s="147"/>
      <c r="D940" s="159"/>
      <c r="E940" s="148"/>
      <c r="F940" s="149"/>
      <c r="G940" s="156"/>
      <c r="H940" s="156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  <c r="Z940" s="149"/>
    </row>
    <row r="941" spans="1:26" ht="24.75">
      <c r="A941" s="149"/>
      <c r="B941" s="146"/>
      <c r="C941" s="147"/>
      <c r="D941" s="159"/>
      <c r="E941" s="148"/>
      <c r="F941" s="149"/>
      <c r="G941" s="158"/>
      <c r="H941" s="158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9"/>
    </row>
    <row r="942" spans="1:26" ht="24.75">
      <c r="A942" s="149"/>
      <c r="B942" s="146"/>
      <c r="C942" s="147"/>
      <c r="D942" s="159"/>
      <c r="E942" s="148"/>
      <c r="F942" s="149"/>
      <c r="G942" s="156"/>
      <c r="H942" s="156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9"/>
    </row>
    <row r="943" spans="1:26" ht="24.75">
      <c r="A943" s="149"/>
      <c r="B943" s="146"/>
      <c r="C943" s="147"/>
      <c r="D943" s="159"/>
      <c r="E943" s="148"/>
      <c r="F943" s="149"/>
      <c r="G943" s="158"/>
      <c r="H943" s="158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9"/>
    </row>
    <row r="944" spans="1:26" ht="24.75">
      <c r="A944" s="149"/>
      <c r="B944" s="146"/>
      <c r="C944" s="147"/>
      <c r="D944" s="159"/>
      <c r="E944" s="148"/>
      <c r="F944" s="149"/>
      <c r="G944" s="156"/>
      <c r="H944" s="156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9"/>
    </row>
    <row r="945" spans="1:26" ht="24.75">
      <c r="A945" s="149"/>
      <c r="B945" s="146"/>
      <c r="C945" s="147"/>
      <c r="D945" s="159"/>
      <c r="E945" s="148"/>
      <c r="F945" s="149"/>
      <c r="G945" s="158"/>
      <c r="H945" s="158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9"/>
    </row>
    <row r="946" spans="1:26" ht="24.75">
      <c r="A946" s="149"/>
      <c r="B946" s="146"/>
      <c r="C946" s="147"/>
      <c r="D946" s="159"/>
      <c r="E946" s="148"/>
      <c r="F946" s="149"/>
      <c r="G946" s="156"/>
      <c r="H946" s="156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9"/>
    </row>
    <row r="947" spans="1:26" ht="24.75">
      <c r="A947" s="149"/>
      <c r="B947" s="146"/>
      <c r="C947" s="147"/>
      <c r="D947" s="159"/>
      <c r="E947" s="148"/>
      <c r="F947" s="149"/>
      <c r="G947" s="158"/>
      <c r="H947" s="158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9"/>
    </row>
    <row r="948" spans="1:26" ht="24.75">
      <c r="A948" s="149"/>
      <c r="B948" s="146"/>
      <c r="C948" s="147"/>
      <c r="D948" s="159"/>
      <c r="E948" s="148"/>
      <c r="F948" s="149"/>
      <c r="G948" s="156"/>
      <c r="H948" s="156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9"/>
    </row>
    <row r="949" spans="1:26" ht="24.75">
      <c r="A949" s="149"/>
      <c r="B949" s="146"/>
      <c r="C949" s="147"/>
      <c r="D949" s="159"/>
      <c r="E949" s="148"/>
      <c r="F949" s="149"/>
      <c r="G949" s="158"/>
      <c r="H949" s="158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9"/>
    </row>
    <row r="950" spans="1:26" ht="24.75">
      <c r="A950" s="149"/>
      <c r="B950" s="146"/>
      <c r="C950" s="147"/>
      <c r="D950" s="159"/>
      <c r="E950" s="148"/>
      <c r="F950" s="149"/>
      <c r="G950" s="156"/>
      <c r="H950" s="156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  <c r="Z950" s="149"/>
    </row>
    <row r="951" spans="1:26" ht="24.75">
      <c r="A951" s="149"/>
      <c r="B951" s="146"/>
      <c r="C951" s="147"/>
      <c r="D951" s="159"/>
      <c r="E951" s="148"/>
      <c r="F951" s="149"/>
      <c r="G951" s="158"/>
      <c r="H951" s="158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  <c r="Z951" s="149"/>
    </row>
    <row r="952" spans="1:26" ht="24.75">
      <c r="A952" s="149"/>
      <c r="B952" s="146"/>
      <c r="C952" s="147"/>
      <c r="D952" s="159"/>
      <c r="E952" s="148"/>
      <c r="F952" s="149"/>
      <c r="G952" s="156"/>
      <c r="H952" s="156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  <c r="Z952" s="149"/>
    </row>
    <row r="953" spans="1:26" ht="24.75">
      <c r="A953" s="149"/>
      <c r="B953" s="146"/>
      <c r="C953" s="147"/>
      <c r="D953" s="159"/>
      <c r="E953" s="148"/>
      <c r="F953" s="149"/>
      <c r="G953" s="158"/>
      <c r="H953" s="158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  <c r="Z953" s="149"/>
    </row>
    <row r="954" spans="1:26" ht="24.75">
      <c r="A954" s="149"/>
      <c r="B954" s="146"/>
      <c r="C954" s="147"/>
      <c r="D954" s="159"/>
      <c r="E954" s="148"/>
      <c r="F954" s="149"/>
      <c r="G954" s="156"/>
      <c r="H954" s="156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  <c r="Z954" s="149"/>
    </row>
    <row r="955" spans="1:26" ht="24.75">
      <c r="A955" s="149"/>
      <c r="B955" s="146"/>
      <c r="C955" s="147"/>
      <c r="D955" s="159"/>
      <c r="E955" s="148"/>
      <c r="F955" s="149"/>
      <c r="G955" s="158"/>
      <c r="H955" s="158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  <c r="Z955" s="149"/>
    </row>
    <row r="956" spans="1:26" ht="24.75">
      <c r="A956" s="149"/>
      <c r="B956" s="146"/>
      <c r="C956" s="147"/>
      <c r="D956" s="159"/>
      <c r="E956" s="148"/>
      <c r="F956" s="149"/>
      <c r="G956" s="156"/>
      <c r="H956" s="156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  <c r="Z956" s="149"/>
    </row>
    <row r="957" spans="1:26" ht="24.75">
      <c r="A957" s="149"/>
      <c r="B957" s="146"/>
      <c r="C957" s="147"/>
      <c r="D957" s="159"/>
      <c r="E957" s="148"/>
      <c r="F957" s="149"/>
      <c r="G957" s="158"/>
      <c r="H957" s="158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  <c r="Z957" s="149"/>
    </row>
    <row r="958" spans="1:26" ht="24.75">
      <c r="A958" s="149"/>
      <c r="B958" s="146"/>
      <c r="C958" s="147"/>
      <c r="D958" s="159"/>
      <c r="E958" s="148"/>
      <c r="F958" s="149"/>
      <c r="G958" s="156"/>
      <c r="H958" s="156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  <c r="Z958" s="149"/>
    </row>
    <row r="959" spans="1:26" ht="24.75">
      <c r="A959" s="149"/>
      <c r="B959" s="146"/>
      <c r="C959" s="147"/>
      <c r="D959" s="159"/>
      <c r="E959" s="148"/>
      <c r="F959" s="149"/>
      <c r="G959" s="158"/>
      <c r="H959" s="158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  <c r="Z959" s="149"/>
    </row>
    <row r="960" spans="1:26" ht="24.75">
      <c r="A960" s="149"/>
      <c r="B960" s="146"/>
      <c r="C960" s="147"/>
      <c r="D960" s="159"/>
      <c r="E960" s="148"/>
      <c r="F960" s="149"/>
      <c r="G960" s="156"/>
      <c r="H960" s="156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  <c r="Z960" s="149"/>
    </row>
    <row r="961" spans="1:26" ht="24.75">
      <c r="A961" s="149"/>
      <c r="B961" s="146"/>
      <c r="C961" s="147"/>
      <c r="D961" s="159"/>
      <c r="E961" s="148"/>
      <c r="F961" s="149"/>
      <c r="G961" s="158"/>
      <c r="H961" s="158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9"/>
    </row>
    <row r="962" spans="1:26" ht="24.75">
      <c r="A962" s="149"/>
      <c r="B962" s="146"/>
      <c r="C962" s="147"/>
      <c r="D962" s="159"/>
      <c r="E962" s="148"/>
      <c r="F962" s="149"/>
      <c r="G962" s="156"/>
      <c r="H962" s="156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9"/>
    </row>
    <row r="963" spans="1:26" ht="24.75">
      <c r="A963" s="149"/>
      <c r="B963" s="146"/>
      <c r="C963" s="147"/>
      <c r="D963" s="159"/>
      <c r="E963" s="148"/>
      <c r="F963" s="149"/>
      <c r="G963" s="158"/>
      <c r="H963" s="158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9"/>
    </row>
    <row r="964" spans="1:26" ht="24.75">
      <c r="A964" s="149"/>
      <c r="B964" s="146"/>
      <c r="C964" s="147"/>
      <c r="D964" s="159"/>
      <c r="E964" s="148"/>
      <c r="F964" s="149"/>
      <c r="G964" s="156"/>
      <c r="H964" s="156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  <c r="Z964" s="149"/>
    </row>
    <row r="965" spans="1:26" ht="24.75">
      <c r="A965" s="149"/>
      <c r="B965" s="146"/>
      <c r="C965" s="147"/>
      <c r="D965" s="159"/>
      <c r="E965" s="148"/>
      <c r="F965" s="149"/>
      <c r="G965" s="158"/>
      <c r="H965" s="158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9"/>
    </row>
    <row r="966" spans="1:26" ht="24.75">
      <c r="A966" s="149"/>
      <c r="B966" s="146"/>
      <c r="C966" s="147"/>
      <c r="D966" s="159"/>
      <c r="E966" s="148"/>
      <c r="F966" s="149"/>
      <c r="G966" s="156"/>
      <c r="H966" s="156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  <c r="Z966" s="149"/>
    </row>
    <row r="967" spans="1:26" ht="24.75">
      <c r="A967" s="149"/>
      <c r="B967" s="146"/>
      <c r="C967" s="147"/>
      <c r="D967" s="159"/>
      <c r="E967" s="148"/>
      <c r="F967" s="149"/>
      <c r="G967" s="158"/>
      <c r="H967" s="158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  <c r="Z967" s="149"/>
    </row>
    <row r="968" spans="1:26" ht="24.75">
      <c r="A968" s="149"/>
      <c r="B968" s="146"/>
      <c r="C968" s="147"/>
      <c r="D968" s="159"/>
      <c r="E968" s="148"/>
      <c r="F968" s="149"/>
      <c r="G968" s="156"/>
      <c r="H968" s="156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  <c r="Z968" s="149"/>
    </row>
    <row r="969" spans="1:26" ht="24.75">
      <c r="A969" s="149"/>
      <c r="B969" s="146"/>
      <c r="C969" s="147"/>
      <c r="D969" s="159"/>
      <c r="E969" s="148"/>
      <c r="F969" s="149"/>
      <c r="G969" s="158"/>
      <c r="H969" s="158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  <c r="Z969" s="149"/>
    </row>
    <row r="970" spans="1:26" ht="24.75">
      <c r="A970" s="149"/>
      <c r="B970" s="146"/>
      <c r="C970" s="147"/>
      <c r="D970" s="159"/>
      <c r="E970" s="148"/>
      <c r="F970" s="149"/>
      <c r="G970" s="156"/>
      <c r="H970" s="156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  <c r="Y970" s="149"/>
      <c r="Z970" s="149"/>
    </row>
    <row r="971" spans="1:26" ht="24.75">
      <c r="A971" s="149"/>
      <c r="B971" s="146"/>
      <c r="C971" s="147"/>
      <c r="D971" s="159"/>
      <c r="E971" s="148"/>
      <c r="F971" s="149"/>
      <c r="G971" s="158"/>
      <c r="H971" s="158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  <c r="Y971" s="149"/>
      <c r="Z971" s="149"/>
    </row>
    <row r="972" spans="1:26" ht="24.75">
      <c r="A972" s="149"/>
      <c r="B972" s="146"/>
      <c r="C972" s="147"/>
      <c r="D972" s="159"/>
      <c r="E972" s="148"/>
      <c r="F972" s="149"/>
      <c r="G972" s="156"/>
      <c r="H972" s="156"/>
      <c r="I972" s="14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  <c r="Y972" s="149"/>
      <c r="Z972" s="149"/>
    </row>
    <row r="973" spans="1:26" ht="24.75">
      <c r="A973" s="149"/>
      <c r="B973" s="146"/>
      <c r="C973" s="147"/>
      <c r="D973" s="159"/>
      <c r="E973" s="148"/>
      <c r="F973" s="149"/>
      <c r="G973" s="158"/>
      <c r="H973" s="158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49"/>
      <c r="U973" s="149"/>
      <c r="V973" s="149"/>
      <c r="W973" s="149"/>
      <c r="X973" s="149"/>
      <c r="Y973" s="149"/>
      <c r="Z973" s="149"/>
    </row>
    <row r="974" spans="1:26" ht="24.75">
      <c r="A974" s="149"/>
      <c r="B974" s="146"/>
      <c r="C974" s="147"/>
      <c r="D974" s="159"/>
      <c r="E974" s="148"/>
      <c r="F974" s="149"/>
      <c r="G974" s="156"/>
      <c r="H974" s="156"/>
      <c r="I974" s="149"/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49"/>
      <c r="U974" s="149"/>
      <c r="V974" s="149"/>
      <c r="W974" s="149"/>
      <c r="X974" s="149"/>
      <c r="Y974" s="149"/>
      <c r="Z974" s="149"/>
    </row>
    <row r="975" spans="1:26" ht="24.75">
      <c r="A975" s="149"/>
      <c r="B975" s="146"/>
      <c r="C975" s="147"/>
      <c r="D975" s="159"/>
      <c r="E975" s="148"/>
      <c r="F975" s="149"/>
      <c r="G975" s="158"/>
      <c r="H975" s="158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49"/>
      <c r="U975" s="149"/>
      <c r="V975" s="149"/>
      <c r="W975" s="149"/>
      <c r="X975" s="149"/>
      <c r="Y975" s="149"/>
      <c r="Z975" s="149"/>
    </row>
    <row r="976" spans="1:26" ht="24.75">
      <c r="A976" s="149"/>
      <c r="B976" s="146"/>
      <c r="C976" s="147"/>
      <c r="D976" s="159"/>
      <c r="E976" s="148"/>
      <c r="F976" s="149"/>
      <c r="G976" s="156"/>
      <c r="H976" s="156"/>
      <c r="I976" s="149"/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  <c r="Y976" s="149"/>
      <c r="Z976" s="149"/>
    </row>
    <row r="977" spans="1:26" ht="24.75">
      <c r="A977" s="149"/>
      <c r="B977" s="146"/>
      <c r="C977" s="147"/>
      <c r="D977" s="159"/>
      <c r="E977" s="148"/>
      <c r="F977" s="149"/>
      <c r="G977" s="158"/>
      <c r="H977" s="158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  <c r="Z977" s="149"/>
    </row>
    <row r="978" spans="1:26" ht="24.75">
      <c r="A978" s="149"/>
      <c r="B978" s="146"/>
      <c r="C978" s="147"/>
      <c r="D978" s="159"/>
      <c r="E978" s="148"/>
      <c r="F978" s="149"/>
      <c r="G978" s="156"/>
      <c r="H978" s="156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9"/>
    </row>
    <row r="979" spans="1:26" ht="24.75">
      <c r="A979" s="149"/>
      <c r="B979" s="146"/>
      <c r="C979" s="147"/>
      <c r="D979" s="159"/>
      <c r="E979" s="148"/>
      <c r="F979" s="149"/>
      <c r="G979" s="158"/>
      <c r="H979" s="158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9"/>
    </row>
    <row r="980" spans="1:26" ht="24.75">
      <c r="A980" s="149"/>
      <c r="B980" s="146"/>
      <c r="C980" s="147"/>
      <c r="D980" s="159"/>
      <c r="E980" s="148"/>
      <c r="F980" s="149"/>
      <c r="G980" s="156"/>
      <c r="H980" s="156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9"/>
    </row>
    <row r="981" spans="1:26" ht="24.75">
      <c r="A981" s="149"/>
      <c r="B981" s="146"/>
      <c r="C981" s="147"/>
      <c r="D981" s="159"/>
      <c r="E981" s="148"/>
      <c r="F981" s="149"/>
      <c r="G981" s="158"/>
      <c r="H981" s="158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9"/>
    </row>
    <row r="982" spans="1:26" ht="24.75">
      <c r="A982" s="149"/>
      <c r="B982" s="146"/>
      <c r="C982" s="147"/>
      <c r="D982" s="159"/>
      <c r="E982" s="148"/>
      <c r="F982" s="149"/>
      <c r="G982" s="156"/>
      <c r="H982" s="156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9"/>
    </row>
    <row r="983" spans="1:26" ht="24.75">
      <c r="A983" s="149"/>
      <c r="B983" s="146"/>
      <c r="C983" s="147"/>
      <c r="D983" s="159"/>
      <c r="E983" s="148"/>
      <c r="F983" s="149"/>
      <c r="G983" s="158"/>
      <c r="H983" s="158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9"/>
    </row>
    <row r="984" spans="1:26" ht="24.75">
      <c r="A984" s="149"/>
      <c r="B984" s="146"/>
      <c r="C984" s="147"/>
      <c r="D984" s="159"/>
      <c r="E984" s="148"/>
      <c r="F984" s="149"/>
      <c r="G984" s="156"/>
      <c r="H984" s="156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9"/>
    </row>
    <row r="985" spans="1:26" ht="24.75">
      <c r="A985" s="149"/>
      <c r="B985" s="146"/>
      <c r="C985" s="147"/>
      <c r="D985" s="159"/>
      <c r="E985" s="148"/>
      <c r="F985" s="149"/>
      <c r="G985" s="158"/>
      <c r="H985" s="158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9"/>
    </row>
    <row r="986" spans="1:26" ht="24.75">
      <c r="A986" s="149"/>
      <c r="B986" s="146"/>
      <c r="C986" s="147"/>
      <c r="D986" s="159"/>
      <c r="E986" s="148"/>
      <c r="F986" s="149"/>
      <c r="G986" s="156"/>
      <c r="H986" s="156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9"/>
    </row>
    <row r="987" spans="1:26" ht="24.75">
      <c r="A987" s="149"/>
      <c r="B987" s="146"/>
      <c r="C987" s="147"/>
      <c r="D987" s="159"/>
      <c r="E987" s="148"/>
      <c r="F987" s="149"/>
      <c r="G987" s="158"/>
      <c r="H987" s="158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  <c r="Y987" s="149"/>
      <c r="Z987" s="149"/>
    </row>
    <row r="988" spans="1:26" ht="24.75">
      <c r="A988" s="149"/>
      <c r="B988" s="146"/>
      <c r="C988" s="147"/>
      <c r="D988" s="159"/>
      <c r="E988" s="148"/>
      <c r="F988" s="149"/>
      <c r="G988" s="156"/>
      <c r="H988" s="156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  <c r="Y988" s="149"/>
      <c r="Z988" s="149"/>
    </row>
    <row r="989" spans="1:26" ht="24.75">
      <c r="A989" s="149"/>
      <c r="B989" s="146"/>
      <c r="C989" s="147"/>
      <c r="D989" s="159"/>
      <c r="E989" s="148"/>
      <c r="F989" s="149"/>
      <c r="G989" s="158"/>
      <c r="H989" s="158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  <c r="Y989" s="149"/>
      <c r="Z989" s="149"/>
    </row>
    <row r="990" spans="1:26" ht="24.75">
      <c r="A990" s="149"/>
      <c r="B990" s="146"/>
      <c r="C990" s="147"/>
      <c r="D990" s="159"/>
      <c r="E990" s="148"/>
      <c r="F990" s="149"/>
      <c r="G990" s="156"/>
      <c r="H990" s="156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  <c r="Y990" s="149"/>
      <c r="Z990" s="149"/>
    </row>
    <row r="991" spans="1:26" ht="24.75">
      <c r="A991" s="149"/>
      <c r="B991" s="146"/>
      <c r="C991" s="147"/>
      <c r="D991" s="159"/>
      <c r="E991" s="148"/>
      <c r="F991" s="149"/>
      <c r="G991" s="158"/>
      <c r="H991" s="158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  <c r="Y991" s="149"/>
      <c r="Z991" s="149"/>
    </row>
    <row r="992" spans="1:26" ht="24.75">
      <c r="A992" s="149"/>
      <c r="B992" s="146"/>
      <c r="C992" s="147"/>
      <c r="D992" s="159"/>
      <c r="E992" s="148"/>
      <c r="F992" s="149"/>
      <c r="G992" s="156"/>
      <c r="H992" s="156"/>
      <c r="I992" s="149"/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  <c r="Y992" s="149"/>
      <c r="Z992" s="149"/>
    </row>
    <row r="993" spans="1:26" ht="24.75">
      <c r="A993" s="149"/>
      <c r="B993" s="146"/>
      <c r="C993" s="147"/>
      <c r="D993" s="159"/>
      <c r="E993" s="148"/>
      <c r="F993" s="149"/>
      <c r="G993" s="158"/>
      <c r="H993" s="158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49"/>
      <c r="U993" s="149"/>
      <c r="V993" s="149"/>
      <c r="W993" s="149"/>
      <c r="X993" s="149"/>
      <c r="Y993" s="149"/>
      <c r="Z993" s="149"/>
    </row>
    <row r="994" spans="1:26" ht="24.75">
      <c r="A994" s="149"/>
      <c r="B994" s="146"/>
      <c r="C994" s="147"/>
      <c r="D994" s="159"/>
      <c r="E994" s="148"/>
      <c r="F994" s="149"/>
      <c r="G994" s="156"/>
      <c r="H994" s="156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49"/>
      <c r="U994" s="149"/>
      <c r="V994" s="149"/>
      <c r="W994" s="149"/>
      <c r="X994" s="149"/>
      <c r="Y994" s="149"/>
      <c r="Z994" s="149"/>
    </row>
    <row r="995" spans="1:26" ht="24.75">
      <c r="A995" s="149"/>
      <c r="B995" s="146"/>
      <c r="C995" s="147"/>
      <c r="D995" s="159"/>
      <c r="E995" s="148"/>
      <c r="F995" s="149"/>
      <c r="G995" s="158"/>
      <c r="H995" s="158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49"/>
      <c r="U995" s="149"/>
      <c r="V995" s="149"/>
      <c r="W995" s="149"/>
      <c r="X995" s="149"/>
      <c r="Y995" s="149"/>
      <c r="Z995" s="149"/>
    </row>
    <row r="996" spans="1:26" ht="24.75">
      <c r="A996" s="149"/>
      <c r="B996" s="146"/>
      <c r="C996" s="147"/>
      <c r="D996" s="159"/>
      <c r="E996" s="148"/>
      <c r="F996" s="149"/>
      <c r="G996" s="156"/>
      <c r="H996" s="156"/>
      <c r="I996" s="149"/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49"/>
      <c r="U996" s="149"/>
      <c r="V996" s="149"/>
      <c r="W996" s="149"/>
      <c r="X996" s="149"/>
      <c r="Y996" s="149"/>
      <c r="Z996" s="149"/>
    </row>
    <row r="997" spans="1:26" ht="24.75">
      <c r="A997" s="149"/>
      <c r="B997" s="146"/>
      <c r="C997" s="147"/>
      <c r="D997" s="159"/>
      <c r="E997" s="148"/>
      <c r="F997" s="149"/>
      <c r="G997" s="158"/>
      <c r="H997" s="158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49"/>
      <c r="U997" s="149"/>
      <c r="V997" s="149"/>
      <c r="W997" s="149"/>
      <c r="X997" s="149"/>
      <c r="Y997" s="149"/>
      <c r="Z997" s="149"/>
    </row>
    <row r="998" spans="1:26" ht="24.75">
      <c r="A998" s="149"/>
      <c r="B998" s="146"/>
      <c r="C998" s="147"/>
      <c r="D998" s="159"/>
      <c r="E998" s="148"/>
      <c r="F998" s="149"/>
      <c r="G998" s="156"/>
      <c r="H998" s="156"/>
      <c r="I998" s="149"/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49"/>
      <c r="U998" s="149"/>
      <c r="V998" s="149"/>
      <c r="W998" s="149"/>
      <c r="X998" s="149"/>
      <c r="Y998" s="149"/>
      <c r="Z998" s="149"/>
    </row>
    <row r="999" spans="1:26" ht="24.75">
      <c r="A999" s="149"/>
      <c r="B999" s="146"/>
      <c r="C999" s="147"/>
      <c r="D999" s="159"/>
      <c r="E999" s="148"/>
      <c r="F999" s="149"/>
      <c r="G999" s="158"/>
      <c r="H999" s="158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49"/>
      <c r="U999" s="149"/>
      <c r="V999" s="149"/>
      <c r="W999" s="149"/>
      <c r="X999" s="149"/>
      <c r="Y999" s="149"/>
      <c r="Z999" s="149"/>
    </row>
    <row r="1000" spans="1:26" ht="24.75">
      <c r="A1000" s="149"/>
      <c r="B1000" s="146"/>
      <c r="C1000" s="147"/>
      <c r="D1000" s="159"/>
      <c r="E1000" s="148"/>
      <c r="F1000" s="149"/>
      <c r="G1000" s="156"/>
      <c r="H1000" s="156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49"/>
      <c r="U1000" s="149"/>
      <c r="V1000" s="149"/>
      <c r="W1000" s="149"/>
      <c r="X1000" s="149"/>
      <c r="Y1000" s="149"/>
      <c r="Z1000" s="149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70.42578125" customWidth="1"/>
    <col min="3" max="3" width="34.5703125" customWidth="1"/>
    <col min="4" max="4" width="33.28515625" customWidth="1"/>
    <col min="5" max="5" width="44.28515625" customWidth="1"/>
    <col min="6" max="7" width="48.7109375" customWidth="1"/>
    <col min="8" max="8" width="57.140625" customWidth="1"/>
    <col min="9" max="9" width="38.5703125" customWidth="1"/>
    <col min="10" max="10" width="10.7109375" customWidth="1"/>
    <col min="11" max="11" width="27.140625" customWidth="1"/>
    <col min="12" max="12" width="23.85546875" customWidth="1"/>
    <col min="13" max="13" width="25.5703125" customWidth="1"/>
    <col min="14" max="14" width="36.140625" customWidth="1"/>
    <col min="15" max="15" width="20.42578125" customWidth="1"/>
    <col min="16" max="16" width="25.7109375" customWidth="1"/>
    <col min="17" max="17" width="10.7109375" customWidth="1"/>
    <col min="18" max="18" width="26.42578125" customWidth="1"/>
    <col min="19" max="26" width="10.7109375" customWidth="1"/>
  </cols>
  <sheetData>
    <row r="1" spans="1:18">
      <c r="A1" s="147" t="str">
        <f ca="1">IFERROR(__xludf.DUMMYFUNCTION("Query(MIR!C32:R60,""select C,D,E,I,F,H,G,M,N,O,Q,R"")"),"#REF!")</f>
        <v>#REF!</v>
      </c>
      <c r="B1" s="94"/>
    </row>
    <row r="2" spans="1:18">
      <c r="A2" s="94"/>
      <c r="B2" s="161" t="s">
        <v>408</v>
      </c>
      <c r="C2" s="161" t="s">
        <v>409</v>
      </c>
      <c r="D2" s="161" t="s">
        <v>410</v>
      </c>
      <c r="E2" s="161" t="s">
        <v>411</v>
      </c>
      <c r="F2" s="161" t="s">
        <v>412</v>
      </c>
      <c r="G2" s="161" t="s">
        <v>413</v>
      </c>
      <c r="H2" s="162" t="s">
        <v>414</v>
      </c>
      <c r="I2" s="163" t="s">
        <v>415</v>
      </c>
      <c r="J2" s="163" t="s">
        <v>416</v>
      </c>
      <c r="K2" s="163" t="s">
        <v>417</v>
      </c>
      <c r="L2" s="163" t="s">
        <v>418</v>
      </c>
      <c r="M2" s="163" t="s">
        <v>419</v>
      </c>
      <c r="N2" s="164" t="s">
        <v>420</v>
      </c>
      <c r="O2" s="163" t="s">
        <v>421</v>
      </c>
      <c r="P2" s="163" t="s">
        <v>422</v>
      </c>
      <c r="Q2" s="162" t="s">
        <v>423</v>
      </c>
      <c r="R2" s="165" t="s">
        <v>424</v>
      </c>
    </row>
    <row r="3" spans="1:18" ht="30" customHeight="1">
      <c r="B3" s="166" t="s">
        <v>425</v>
      </c>
      <c r="C3" s="167" t="s">
        <v>6</v>
      </c>
      <c r="D3" s="228" t="s">
        <v>426</v>
      </c>
      <c r="E3" s="168" t="s">
        <v>427</v>
      </c>
      <c r="F3" s="169" t="s">
        <v>428</v>
      </c>
      <c r="G3" s="168" t="s">
        <v>429</v>
      </c>
      <c r="H3" s="168" t="s">
        <v>430</v>
      </c>
      <c r="I3" s="170" t="s">
        <v>431</v>
      </c>
      <c r="J3" s="171" t="s">
        <v>432</v>
      </c>
      <c r="K3" s="172" t="s">
        <v>433</v>
      </c>
      <c r="L3" s="172" t="s">
        <v>385</v>
      </c>
      <c r="M3" s="172" t="s">
        <v>434</v>
      </c>
      <c r="N3" s="1" t="s">
        <v>435</v>
      </c>
      <c r="O3" s="170" t="s">
        <v>436</v>
      </c>
      <c r="P3" s="170" t="s">
        <v>437</v>
      </c>
      <c r="Q3" s="168" t="s">
        <v>438</v>
      </c>
      <c r="R3" s="173" t="s">
        <v>439</v>
      </c>
    </row>
    <row r="4" spans="1:18" ht="105">
      <c r="B4" s="166" t="s">
        <v>440</v>
      </c>
      <c r="C4" s="174" t="s">
        <v>441</v>
      </c>
      <c r="D4" s="229"/>
      <c r="E4" s="168" t="s">
        <v>14</v>
      </c>
      <c r="F4" s="169" t="s">
        <v>442</v>
      </c>
      <c r="G4" s="168" t="s">
        <v>443</v>
      </c>
      <c r="H4" s="168" t="s">
        <v>21</v>
      </c>
      <c r="I4" s="170" t="s">
        <v>444</v>
      </c>
      <c r="J4" s="171" t="s">
        <v>445</v>
      </c>
      <c r="K4" s="172" t="s">
        <v>446</v>
      </c>
      <c r="L4" s="172" t="s">
        <v>447</v>
      </c>
      <c r="M4" s="172" t="s">
        <v>448</v>
      </c>
      <c r="N4" s="175" t="s">
        <v>449</v>
      </c>
      <c r="O4" s="170" t="s">
        <v>450</v>
      </c>
      <c r="P4" s="170" t="s">
        <v>451</v>
      </c>
      <c r="Q4" s="168" t="s">
        <v>452</v>
      </c>
      <c r="R4" s="173" t="s">
        <v>453</v>
      </c>
    </row>
    <row r="5" spans="1:18" ht="60">
      <c r="B5" s="166" t="s">
        <v>9</v>
      </c>
      <c r="C5" s="176" t="s">
        <v>454</v>
      </c>
      <c r="D5" s="230"/>
      <c r="E5" s="168" t="s">
        <v>455</v>
      </c>
      <c r="F5" s="169" t="s">
        <v>456</v>
      </c>
      <c r="G5" s="168" t="s">
        <v>457</v>
      </c>
      <c r="H5" s="168" t="s">
        <v>458</v>
      </c>
      <c r="I5" s="170" t="s">
        <v>459</v>
      </c>
      <c r="J5" s="171" t="s">
        <v>460</v>
      </c>
      <c r="K5" s="172" t="s">
        <v>461</v>
      </c>
      <c r="L5" s="172" t="s">
        <v>462</v>
      </c>
      <c r="M5" s="172" t="s">
        <v>463</v>
      </c>
      <c r="N5" s="177" t="s">
        <v>464</v>
      </c>
      <c r="O5" s="170" t="s">
        <v>465</v>
      </c>
      <c r="P5" s="170" t="s">
        <v>466</v>
      </c>
      <c r="Q5" s="168" t="s">
        <v>467</v>
      </c>
      <c r="R5" s="173" t="s">
        <v>468</v>
      </c>
    </row>
    <row r="6" spans="1:18" ht="25.5" customHeight="1">
      <c r="B6" s="166" t="s">
        <v>469</v>
      </c>
      <c r="C6" s="178" t="s">
        <v>470</v>
      </c>
      <c r="D6" s="179" t="s">
        <v>471</v>
      </c>
      <c r="E6" s="180" t="s">
        <v>472</v>
      </c>
      <c r="F6" s="169" t="s">
        <v>473</v>
      </c>
      <c r="G6" s="91" t="s">
        <v>474</v>
      </c>
      <c r="I6" s="170" t="s">
        <v>475</v>
      </c>
      <c r="J6" s="171" t="s">
        <v>476</v>
      </c>
      <c r="K6" s="172" t="s">
        <v>477</v>
      </c>
      <c r="L6" s="172" t="s">
        <v>478</v>
      </c>
      <c r="M6" s="170" t="s">
        <v>479</v>
      </c>
      <c r="N6" s="181" t="s">
        <v>480</v>
      </c>
      <c r="O6" s="170" t="s">
        <v>481</v>
      </c>
      <c r="P6" s="170" t="s">
        <v>482</v>
      </c>
      <c r="R6" s="173" t="s">
        <v>483</v>
      </c>
    </row>
    <row r="7" spans="1:18" ht="75">
      <c r="B7" s="166" t="s">
        <v>484</v>
      </c>
      <c r="C7" s="178" t="s">
        <v>485</v>
      </c>
      <c r="D7" s="182" t="s">
        <v>486</v>
      </c>
      <c r="E7" s="168"/>
      <c r="F7" s="169" t="s">
        <v>487</v>
      </c>
      <c r="G7" s="91" t="s">
        <v>488</v>
      </c>
      <c r="I7" s="170" t="s">
        <v>489</v>
      </c>
      <c r="J7" s="171" t="s">
        <v>490</v>
      </c>
      <c r="K7" s="172" t="s">
        <v>491</v>
      </c>
      <c r="L7" s="172" t="s">
        <v>492</v>
      </c>
      <c r="M7" s="172" t="s">
        <v>493</v>
      </c>
      <c r="N7" s="181" t="s">
        <v>494</v>
      </c>
      <c r="O7" s="170" t="s">
        <v>495</v>
      </c>
      <c r="R7" s="173" t="s">
        <v>496</v>
      </c>
    </row>
    <row r="8" spans="1:18" ht="15" customHeight="1">
      <c r="B8" s="166" t="s">
        <v>497</v>
      </c>
      <c r="C8" s="178" t="s">
        <v>498</v>
      </c>
      <c r="D8" s="179" t="s">
        <v>499</v>
      </c>
      <c r="E8" s="168"/>
      <c r="F8" s="169" t="s">
        <v>500</v>
      </c>
      <c r="G8" s="91" t="s">
        <v>501</v>
      </c>
      <c r="I8" s="170" t="s">
        <v>502</v>
      </c>
      <c r="J8" s="171" t="s">
        <v>503</v>
      </c>
      <c r="K8" s="172" t="s">
        <v>504</v>
      </c>
      <c r="L8" s="183" t="s">
        <v>505</v>
      </c>
      <c r="M8" s="172" t="s">
        <v>506</v>
      </c>
      <c r="N8" s="184" t="s">
        <v>507</v>
      </c>
      <c r="O8" s="170" t="s">
        <v>508</v>
      </c>
      <c r="R8" s="173" t="s">
        <v>509</v>
      </c>
    </row>
    <row r="9" spans="1:18" ht="75">
      <c r="B9" s="166" t="s">
        <v>510</v>
      </c>
      <c r="C9" s="185" t="s">
        <v>511</v>
      </c>
      <c r="D9" s="228" t="s">
        <v>512</v>
      </c>
      <c r="E9" s="168"/>
      <c r="F9" s="169" t="s">
        <v>513</v>
      </c>
      <c r="G9" s="166" t="s">
        <v>514</v>
      </c>
      <c r="I9" s="170" t="s">
        <v>515</v>
      </c>
      <c r="J9" s="171" t="s">
        <v>516</v>
      </c>
      <c r="K9" s="172" t="s">
        <v>517</v>
      </c>
      <c r="L9" s="186"/>
      <c r="M9" s="172" t="s">
        <v>518</v>
      </c>
      <c r="N9" s="181" t="s">
        <v>519</v>
      </c>
      <c r="O9" s="170" t="s">
        <v>520</v>
      </c>
      <c r="R9" s="173" t="s">
        <v>521</v>
      </c>
    </row>
    <row r="10" spans="1:18" ht="75">
      <c r="B10" s="166" t="s">
        <v>522</v>
      </c>
      <c r="C10" s="187" t="s">
        <v>523</v>
      </c>
      <c r="D10" s="230"/>
      <c r="E10" s="168"/>
      <c r="F10" s="169" t="s">
        <v>524</v>
      </c>
      <c r="G10" s="166" t="s">
        <v>525</v>
      </c>
      <c r="I10" s="170" t="s">
        <v>526</v>
      </c>
      <c r="J10" s="188"/>
      <c r="K10" s="172" t="s">
        <v>527</v>
      </c>
      <c r="L10" s="186"/>
      <c r="M10" s="172" t="s">
        <v>528</v>
      </c>
      <c r="N10" s="184" t="s">
        <v>529</v>
      </c>
      <c r="O10" s="170" t="s">
        <v>530</v>
      </c>
      <c r="R10" s="173" t="s">
        <v>531</v>
      </c>
    </row>
    <row r="11" spans="1:18" ht="15" customHeight="1">
      <c r="B11" s="166" t="s">
        <v>532</v>
      </c>
      <c r="C11" s="189" t="s">
        <v>533</v>
      </c>
      <c r="D11" s="228" t="s">
        <v>534</v>
      </c>
      <c r="E11" s="168"/>
      <c r="F11" s="169" t="s">
        <v>535</v>
      </c>
      <c r="G11" s="166" t="s">
        <v>536</v>
      </c>
      <c r="I11" s="170" t="s">
        <v>537</v>
      </c>
      <c r="J11" s="190"/>
      <c r="K11" s="172" t="s">
        <v>538</v>
      </c>
      <c r="L11" s="186"/>
      <c r="M11" s="172" t="s">
        <v>539</v>
      </c>
      <c r="N11" s="184" t="s">
        <v>540</v>
      </c>
      <c r="R11" s="173" t="s">
        <v>541</v>
      </c>
    </row>
    <row r="12" spans="1:18" ht="180">
      <c r="B12" s="166" t="s">
        <v>542</v>
      </c>
      <c r="C12" s="191" t="s">
        <v>543</v>
      </c>
      <c r="D12" s="229"/>
      <c r="E12" s="168"/>
      <c r="F12" s="169" t="s">
        <v>544</v>
      </c>
      <c r="G12" s="166" t="s">
        <v>545</v>
      </c>
      <c r="I12" s="170" t="s">
        <v>23</v>
      </c>
      <c r="J12" s="192"/>
      <c r="K12" s="172" t="s">
        <v>546</v>
      </c>
      <c r="L12" s="186"/>
      <c r="M12" s="170" t="s">
        <v>386</v>
      </c>
      <c r="N12" s="177" t="s">
        <v>387</v>
      </c>
      <c r="R12" s="173" t="s">
        <v>547</v>
      </c>
    </row>
    <row r="13" spans="1:18" ht="24.75" customHeight="1">
      <c r="B13" s="166" t="s">
        <v>548</v>
      </c>
      <c r="C13" s="191" t="s">
        <v>549</v>
      </c>
      <c r="D13" s="231"/>
      <c r="E13" s="168"/>
      <c r="F13" s="169" t="s">
        <v>550</v>
      </c>
      <c r="G13" s="166" t="s">
        <v>551</v>
      </c>
      <c r="I13" s="170" t="s">
        <v>552</v>
      </c>
      <c r="K13" s="172" t="s">
        <v>553</v>
      </c>
      <c r="L13" s="186"/>
      <c r="M13" s="172" t="s">
        <v>554</v>
      </c>
      <c r="N13" s="184" t="s">
        <v>555</v>
      </c>
      <c r="R13" s="173" t="s">
        <v>556</v>
      </c>
    </row>
    <row r="14" spans="1:18" ht="135">
      <c r="B14" s="166" t="s">
        <v>557</v>
      </c>
      <c r="C14" s="189" t="s">
        <v>558</v>
      </c>
      <c r="D14" s="232" t="s">
        <v>11</v>
      </c>
      <c r="E14" s="168"/>
      <c r="F14" s="169" t="s">
        <v>559</v>
      </c>
      <c r="G14" s="166" t="s">
        <v>560</v>
      </c>
      <c r="I14" s="170" t="s">
        <v>561</v>
      </c>
      <c r="J14" s="190"/>
      <c r="K14" s="172" t="s">
        <v>562</v>
      </c>
      <c r="L14" s="186"/>
      <c r="M14" s="172" t="s">
        <v>563</v>
      </c>
      <c r="N14" s="184" t="s">
        <v>564</v>
      </c>
      <c r="R14" s="173" t="s">
        <v>565</v>
      </c>
    </row>
    <row r="15" spans="1:18" ht="135">
      <c r="B15" s="166" t="s">
        <v>566</v>
      </c>
      <c r="C15" s="189" t="s">
        <v>567</v>
      </c>
      <c r="D15" s="231"/>
      <c r="E15" s="168"/>
      <c r="F15" s="169" t="s">
        <v>568</v>
      </c>
      <c r="G15" s="166" t="s">
        <v>569</v>
      </c>
      <c r="I15" s="170" t="s">
        <v>570</v>
      </c>
      <c r="J15" s="190"/>
      <c r="K15" s="172" t="s">
        <v>384</v>
      </c>
      <c r="L15" s="186"/>
      <c r="M15" s="172" t="s">
        <v>571</v>
      </c>
      <c r="N15" s="184" t="s">
        <v>572</v>
      </c>
      <c r="R15" s="173" t="s">
        <v>573</v>
      </c>
    </row>
    <row r="16" spans="1:18" ht="90">
      <c r="B16" s="166" t="s">
        <v>574</v>
      </c>
      <c r="C16" s="194" t="s">
        <v>575</v>
      </c>
      <c r="D16" s="193" t="s">
        <v>576</v>
      </c>
      <c r="E16" s="168"/>
      <c r="F16" s="169" t="s">
        <v>16</v>
      </c>
      <c r="G16" s="166" t="s">
        <v>577</v>
      </c>
      <c r="I16" s="170" t="s">
        <v>578</v>
      </c>
      <c r="J16" s="192"/>
      <c r="K16" s="172" t="s">
        <v>579</v>
      </c>
      <c r="L16" s="186"/>
      <c r="M16" s="172" t="s">
        <v>580</v>
      </c>
      <c r="N16" s="184" t="s">
        <v>581</v>
      </c>
      <c r="R16" s="173" t="s">
        <v>582</v>
      </c>
    </row>
    <row r="17" spans="2:18" ht="135">
      <c r="B17" s="166" t="s">
        <v>583</v>
      </c>
      <c r="C17" s="178" t="s">
        <v>584</v>
      </c>
      <c r="D17" s="182" t="s">
        <v>585</v>
      </c>
      <c r="F17" s="169" t="s">
        <v>586</v>
      </c>
      <c r="G17" s="166" t="s">
        <v>587</v>
      </c>
      <c r="I17" s="170" t="s">
        <v>588</v>
      </c>
      <c r="K17" s="172" t="s">
        <v>589</v>
      </c>
      <c r="L17" s="186"/>
      <c r="M17" s="172" t="s">
        <v>590</v>
      </c>
      <c r="N17" s="184" t="s">
        <v>591</v>
      </c>
      <c r="R17" s="173" t="s">
        <v>592</v>
      </c>
    </row>
    <row r="18" spans="2:18" ht="105">
      <c r="B18" s="166" t="s">
        <v>593</v>
      </c>
      <c r="C18" s="185" t="s">
        <v>594</v>
      </c>
      <c r="D18" s="232" t="s">
        <v>595</v>
      </c>
      <c r="F18" s="169" t="s">
        <v>596</v>
      </c>
      <c r="G18" s="91" t="s">
        <v>597</v>
      </c>
      <c r="I18" s="170" t="s">
        <v>598</v>
      </c>
      <c r="K18" s="172" t="s">
        <v>599</v>
      </c>
      <c r="L18" s="186"/>
      <c r="M18" s="170" t="s">
        <v>600</v>
      </c>
      <c r="N18" s="184" t="s">
        <v>601</v>
      </c>
      <c r="R18" s="173" t="s">
        <v>602</v>
      </c>
    </row>
    <row r="19" spans="2:18" ht="15" customHeight="1">
      <c r="B19" s="166" t="s">
        <v>603</v>
      </c>
      <c r="C19" s="187" t="s">
        <v>604</v>
      </c>
      <c r="D19" s="231"/>
      <c r="F19" s="169" t="s">
        <v>605</v>
      </c>
      <c r="G19" s="166" t="s">
        <v>606</v>
      </c>
      <c r="I19" s="170" t="s">
        <v>607</v>
      </c>
      <c r="J19" s="1"/>
      <c r="K19" s="172" t="s">
        <v>608</v>
      </c>
      <c r="L19" s="186"/>
      <c r="M19" s="172" t="s">
        <v>609</v>
      </c>
      <c r="N19" s="181" t="s">
        <v>610</v>
      </c>
      <c r="R19" s="173" t="s">
        <v>611</v>
      </c>
    </row>
    <row r="20" spans="2:18" ht="135">
      <c r="B20" s="166" t="s">
        <v>612</v>
      </c>
      <c r="C20" s="195" t="s">
        <v>613</v>
      </c>
      <c r="D20" s="193" t="s">
        <v>614</v>
      </c>
      <c r="F20" s="169" t="s">
        <v>615</v>
      </c>
      <c r="G20" s="166" t="s">
        <v>616</v>
      </c>
      <c r="I20" s="170" t="s">
        <v>617</v>
      </c>
      <c r="J20" s="1"/>
      <c r="K20" s="172" t="s">
        <v>618</v>
      </c>
      <c r="L20" s="186"/>
      <c r="M20" s="172" t="s">
        <v>619</v>
      </c>
      <c r="N20" s="181" t="s">
        <v>620</v>
      </c>
      <c r="R20" s="173" t="s">
        <v>621</v>
      </c>
    </row>
    <row r="21" spans="2:18" ht="15.75" customHeight="1">
      <c r="B21" s="166" t="s">
        <v>622</v>
      </c>
      <c r="C21" s="195" t="s">
        <v>623</v>
      </c>
      <c r="D21" s="193" t="s">
        <v>624</v>
      </c>
      <c r="F21" s="169" t="s">
        <v>625</v>
      </c>
      <c r="G21" s="166" t="s">
        <v>626</v>
      </c>
      <c r="I21" s="170" t="s">
        <v>627</v>
      </c>
      <c r="K21" s="172" t="s">
        <v>628</v>
      </c>
      <c r="L21" s="186"/>
      <c r="M21" s="172" t="s">
        <v>629</v>
      </c>
      <c r="N21" s="181" t="s">
        <v>630</v>
      </c>
      <c r="R21" s="173" t="s">
        <v>631</v>
      </c>
    </row>
    <row r="22" spans="2:18" ht="15.75" customHeight="1">
      <c r="B22" s="166" t="s">
        <v>632</v>
      </c>
      <c r="C22" s="185" t="s">
        <v>633</v>
      </c>
      <c r="D22" s="225" t="s">
        <v>634</v>
      </c>
      <c r="F22" s="169" t="s">
        <v>635</v>
      </c>
      <c r="G22" s="166" t="s">
        <v>636</v>
      </c>
      <c r="I22" s="170" t="s">
        <v>637</v>
      </c>
      <c r="K22" s="172" t="s">
        <v>638</v>
      </c>
      <c r="L22" s="186"/>
      <c r="M22" s="170" t="s">
        <v>639</v>
      </c>
      <c r="N22" s="181" t="s">
        <v>640</v>
      </c>
      <c r="R22" s="173" t="s">
        <v>641</v>
      </c>
    </row>
    <row r="23" spans="2:18" ht="15.75" customHeight="1">
      <c r="B23" s="166" t="s">
        <v>642</v>
      </c>
      <c r="C23" s="187" t="s">
        <v>643</v>
      </c>
      <c r="D23" s="226"/>
      <c r="F23" s="169" t="s">
        <v>644</v>
      </c>
      <c r="G23" s="166" t="s">
        <v>645</v>
      </c>
      <c r="I23" s="170" t="s">
        <v>646</v>
      </c>
      <c r="K23" s="172" t="s">
        <v>647</v>
      </c>
      <c r="L23" s="186"/>
      <c r="M23" s="172" t="s">
        <v>648</v>
      </c>
      <c r="N23" s="177" t="s">
        <v>649</v>
      </c>
      <c r="R23" s="173" t="s">
        <v>650</v>
      </c>
    </row>
    <row r="24" spans="2:18" ht="15.75" customHeight="1">
      <c r="B24" s="166" t="s">
        <v>651</v>
      </c>
      <c r="C24" s="195" t="s">
        <v>652</v>
      </c>
      <c r="D24" s="196" t="s">
        <v>653</v>
      </c>
      <c r="F24" s="169" t="s">
        <v>654</v>
      </c>
      <c r="G24" s="166" t="s">
        <v>655</v>
      </c>
      <c r="I24" s="170" t="s">
        <v>656</v>
      </c>
      <c r="K24" s="172" t="s">
        <v>657</v>
      </c>
      <c r="L24" s="186"/>
      <c r="M24" s="190"/>
      <c r="N24" s="177" t="s">
        <v>658</v>
      </c>
      <c r="R24" s="173" t="s">
        <v>659</v>
      </c>
    </row>
    <row r="25" spans="2:18" ht="15.75" customHeight="1">
      <c r="B25" s="166" t="s">
        <v>660</v>
      </c>
      <c r="C25" s="185" t="s">
        <v>661</v>
      </c>
      <c r="D25" s="225" t="s">
        <v>662</v>
      </c>
      <c r="F25" s="169" t="s">
        <v>663</v>
      </c>
      <c r="G25" s="166" t="s">
        <v>664</v>
      </c>
      <c r="I25" s="170" t="s">
        <v>665</v>
      </c>
      <c r="K25" s="172" t="s">
        <v>666</v>
      </c>
      <c r="L25" s="186"/>
      <c r="M25" s="190"/>
      <c r="N25" s="177" t="s">
        <v>667</v>
      </c>
      <c r="R25" s="173" t="s">
        <v>668</v>
      </c>
    </row>
    <row r="26" spans="2:18" ht="21" customHeight="1">
      <c r="C26" s="174" t="s">
        <v>669</v>
      </c>
      <c r="D26" s="227"/>
      <c r="F26" s="169" t="s">
        <v>670</v>
      </c>
      <c r="G26" s="166" t="s">
        <v>671</v>
      </c>
      <c r="I26" s="170" t="s">
        <v>672</v>
      </c>
      <c r="K26" s="172" t="s">
        <v>673</v>
      </c>
      <c r="L26" s="186"/>
      <c r="M26" s="190"/>
      <c r="N26" s="177" t="s">
        <v>674</v>
      </c>
      <c r="R26" s="173" t="s">
        <v>675</v>
      </c>
    </row>
    <row r="27" spans="2:18" ht="15.75" customHeight="1">
      <c r="C27" s="174" t="s">
        <v>676</v>
      </c>
      <c r="D27" s="227"/>
      <c r="F27" s="169" t="s">
        <v>677</v>
      </c>
      <c r="G27" s="166" t="s">
        <v>678</v>
      </c>
      <c r="I27" s="170" t="s">
        <v>679</v>
      </c>
      <c r="K27" s="172" t="s">
        <v>680</v>
      </c>
      <c r="L27" s="186"/>
      <c r="M27" s="190"/>
      <c r="N27" s="177" t="s">
        <v>681</v>
      </c>
      <c r="R27" s="173" t="s">
        <v>98</v>
      </c>
    </row>
    <row r="28" spans="2:18" ht="15.75" customHeight="1">
      <c r="C28" s="187" t="s">
        <v>682</v>
      </c>
      <c r="D28" s="226"/>
      <c r="F28" s="197" t="s">
        <v>683</v>
      </c>
      <c r="G28" s="166" t="s">
        <v>684</v>
      </c>
      <c r="I28" s="170" t="s">
        <v>685</v>
      </c>
      <c r="K28" s="172" t="s">
        <v>686</v>
      </c>
      <c r="L28" s="186"/>
      <c r="M28" s="190"/>
      <c r="N28" s="177" t="s">
        <v>687</v>
      </c>
      <c r="R28" s="173" t="s">
        <v>688</v>
      </c>
    </row>
    <row r="29" spans="2:18" ht="15.75" customHeight="1">
      <c r="C29" s="185" t="s">
        <v>689</v>
      </c>
      <c r="D29" s="225" t="s">
        <v>690</v>
      </c>
      <c r="F29" s="169" t="s">
        <v>691</v>
      </c>
      <c r="G29" s="166" t="s">
        <v>692</v>
      </c>
      <c r="I29" s="170" t="s">
        <v>693</v>
      </c>
      <c r="K29" s="172" t="s">
        <v>694</v>
      </c>
      <c r="L29" s="186"/>
      <c r="M29" s="190"/>
      <c r="N29" s="177" t="s">
        <v>695</v>
      </c>
      <c r="R29" s="173" t="s">
        <v>696</v>
      </c>
    </row>
    <row r="30" spans="2:18" ht="15" customHeight="1">
      <c r="C30" s="174" t="s">
        <v>697</v>
      </c>
      <c r="D30" s="227"/>
      <c r="F30" s="169" t="s">
        <v>698</v>
      </c>
      <c r="G30" s="166" t="s">
        <v>699</v>
      </c>
      <c r="I30" s="170" t="s">
        <v>700</v>
      </c>
      <c r="L30" s="186"/>
      <c r="M30" s="190"/>
      <c r="N30" s="177" t="s">
        <v>701</v>
      </c>
      <c r="R30" s="173" t="s">
        <v>702</v>
      </c>
    </row>
    <row r="31" spans="2:18" ht="105" customHeight="1">
      <c r="C31" s="187" t="s">
        <v>703</v>
      </c>
      <c r="D31" s="226"/>
      <c r="G31" s="166" t="s">
        <v>704</v>
      </c>
      <c r="I31" s="170" t="s">
        <v>705</v>
      </c>
      <c r="L31" s="186"/>
      <c r="M31" s="190"/>
      <c r="N31" s="177" t="s">
        <v>706</v>
      </c>
      <c r="R31" s="173" t="s">
        <v>707</v>
      </c>
    </row>
    <row r="32" spans="2:18" ht="15.75" customHeight="1">
      <c r="C32" s="178" t="s">
        <v>708</v>
      </c>
      <c r="D32" s="198" t="s">
        <v>709</v>
      </c>
      <c r="G32" s="166" t="s">
        <v>710</v>
      </c>
      <c r="I32" s="170" t="s">
        <v>711</v>
      </c>
      <c r="L32" s="186"/>
      <c r="M32" s="190"/>
      <c r="N32" s="177" t="s">
        <v>712</v>
      </c>
      <c r="R32" s="173" t="s">
        <v>713</v>
      </c>
    </row>
    <row r="33" spans="7:18" ht="15.75" customHeight="1">
      <c r="G33" s="166" t="s">
        <v>714</v>
      </c>
      <c r="L33" s="186"/>
      <c r="M33" s="190"/>
      <c r="N33" s="177" t="s">
        <v>715</v>
      </c>
      <c r="R33" s="173" t="s">
        <v>716</v>
      </c>
    </row>
    <row r="34" spans="7:18" ht="15.75" customHeight="1">
      <c r="G34" s="166" t="s">
        <v>717</v>
      </c>
      <c r="L34" s="186"/>
      <c r="M34" s="192"/>
      <c r="N34" s="177" t="s">
        <v>718</v>
      </c>
      <c r="R34" s="173" t="s">
        <v>719</v>
      </c>
    </row>
    <row r="35" spans="7:18" ht="15.75" customHeight="1">
      <c r="G35" s="166" t="s">
        <v>720</v>
      </c>
      <c r="L35" s="186"/>
      <c r="N35" s="177" t="s">
        <v>721</v>
      </c>
      <c r="R35" s="173" t="s">
        <v>722</v>
      </c>
    </row>
    <row r="36" spans="7:18" ht="15" customHeight="1">
      <c r="G36" s="166" t="s">
        <v>723</v>
      </c>
      <c r="L36" s="186"/>
      <c r="N36" s="177" t="s">
        <v>724</v>
      </c>
      <c r="R36" s="173" t="s">
        <v>725</v>
      </c>
    </row>
    <row r="37" spans="7:18" ht="15.75" customHeight="1">
      <c r="G37" s="166" t="s">
        <v>726</v>
      </c>
      <c r="L37" s="186"/>
      <c r="N37" s="177" t="s">
        <v>727</v>
      </c>
      <c r="R37" s="173" t="s">
        <v>728</v>
      </c>
    </row>
    <row r="38" spans="7:18" ht="15.75" customHeight="1">
      <c r="G38" s="166" t="s">
        <v>729</v>
      </c>
      <c r="L38" s="186"/>
      <c r="N38" s="177" t="s">
        <v>730</v>
      </c>
      <c r="R38" s="173" t="s">
        <v>731</v>
      </c>
    </row>
    <row r="39" spans="7:18" ht="15.75" customHeight="1">
      <c r="G39" s="166" t="s">
        <v>732</v>
      </c>
      <c r="L39" s="186"/>
      <c r="N39" s="177" t="s">
        <v>733</v>
      </c>
      <c r="R39" s="173" t="s">
        <v>734</v>
      </c>
    </row>
    <row r="40" spans="7:18" ht="15" customHeight="1">
      <c r="G40" s="166" t="s">
        <v>735</v>
      </c>
      <c r="L40" s="186"/>
      <c r="N40" s="177" t="s">
        <v>736</v>
      </c>
      <c r="R40" s="173" t="s">
        <v>737</v>
      </c>
    </row>
    <row r="41" spans="7:18" ht="15.75" customHeight="1">
      <c r="G41" s="166" t="s">
        <v>738</v>
      </c>
      <c r="L41" s="186"/>
      <c r="N41" s="177" t="s">
        <v>739</v>
      </c>
      <c r="R41" s="173" t="s">
        <v>740</v>
      </c>
    </row>
    <row r="42" spans="7:18" ht="15" customHeight="1">
      <c r="G42" s="166" t="s">
        <v>741</v>
      </c>
      <c r="L42" s="186"/>
      <c r="N42" s="181" t="s">
        <v>742</v>
      </c>
      <c r="R42" s="173" t="s">
        <v>743</v>
      </c>
    </row>
    <row r="43" spans="7:18" ht="15.75" customHeight="1">
      <c r="G43" s="166" t="s">
        <v>744</v>
      </c>
      <c r="L43" s="186"/>
      <c r="N43" s="1" t="s">
        <v>745</v>
      </c>
      <c r="R43" s="173" t="s">
        <v>746</v>
      </c>
    </row>
    <row r="44" spans="7:18" ht="15.75" customHeight="1">
      <c r="G44" s="166" t="s">
        <v>747</v>
      </c>
      <c r="L44" s="186"/>
      <c r="N44" s="177" t="s">
        <v>748</v>
      </c>
      <c r="R44" s="173" t="s">
        <v>749</v>
      </c>
    </row>
    <row r="45" spans="7:18" ht="15.75" customHeight="1">
      <c r="G45" s="166" t="s">
        <v>750</v>
      </c>
      <c r="L45" s="186"/>
      <c r="N45" s="177" t="s">
        <v>751</v>
      </c>
      <c r="R45" s="173" t="s">
        <v>752</v>
      </c>
    </row>
    <row r="46" spans="7:18" ht="15" customHeight="1">
      <c r="G46" s="166" t="s">
        <v>753</v>
      </c>
      <c r="L46" s="186"/>
      <c r="N46" s="177" t="s">
        <v>754</v>
      </c>
      <c r="R46" s="173" t="s">
        <v>755</v>
      </c>
    </row>
    <row r="47" spans="7:18" ht="15.75" customHeight="1">
      <c r="G47" s="166" t="s">
        <v>756</v>
      </c>
      <c r="L47" s="186"/>
      <c r="N47" s="177" t="s">
        <v>757</v>
      </c>
      <c r="R47" s="173" t="s">
        <v>758</v>
      </c>
    </row>
    <row r="48" spans="7:18" ht="15" customHeight="1">
      <c r="G48" s="166" t="s">
        <v>759</v>
      </c>
      <c r="L48" s="186"/>
      <c r="N48" s="177" t="s">
        <v>760</v>
      </c>
      <c r="R48" s="173" t="s">
        <v>761</v>
      </c>
    </row>
    <row r="49" spans="7:18" ht="15.75" customHeight="1">
      <c r="G49" s="166" t="s">
        <v>762</v>
      </c>
      <c r="L49" s="186"/>
      <c r="N49" s="177" t="s">
        <v>763</v>
      </c>
      <c r="R49" s="173" t="s">
        <v>764</v>
      </c>
    </row>
    <row r="50" spans="7:18" ht="15" customHeight="1">
      <c r="G50" s="166" t="s">
        <v>765</v>
      </c>
      <c r="L50" s="186"/>
      <c r="N50" s="184" t="s">
        <v>766</v>
      </c>
      <c r="R50" s="173" t="s">
        <v>767</v>
      </c>
    </row>
    <row r="51" spans="7:18" ht="15.75" customHeight="1">
      <c r="G51" s="166" t="s">
        <v>768</v>
      </c>
      <c r="L51" s="186"/>
      <c r="N51" s="177" t="s">
        <v>769</v>
      </c>
      <c r="R51" s="173" t="s">
        <v>770</v>
      </c>
    </row>
    <row r="52" spans="7:18" ht="15.75" customHeight="1">
      <c r="G52" s="166" t="s">
        <v>771</v>
      </c>
      <c r="L52" s="186"/>
      <c r="N52" s="177" t="s">
        <v>772</v>
      </c>
      <c r="R52" s="173" t="s">
        <v>773</v>
      </c>
    </row>
    <row r="53" spans="7:18" ht="15" customHeight="1">
      <c r="G53" s="166" t="s">
        <v>774</v>
      </c>
      <c r="L53" s="186"/>
      <c r="N53" s="184" t="s">
        <v>775</v>
      </c>
      <c r="R53" s="173" t="s">
        <v>776</v>
      </c>
    </row>
    <row r="54" spans="7:18" ht="15.75" customHeight="1">
      <c r="G54" s="166" t="s">
        <v>777</v>
      </c>
      <c r="L54" s="186"/>
      <c r="N54" s="177" t="s">
        <v>778</v>
      </c>
      <c r="R54" s="173" t="s">
        <v>779</v>
      </c>
    </row>
    <row r="55" spans="7:18" ht="15" customHeight="1">
      <c r="G55" s="166" t="s">
        <v>780</v>
      </c>
      <c r="L55" s="186"/>
      <c r="N55" s="177" t="s">
        <v>781</v>
      </c>
      <c r="R55" s="173" t="s">
        <v>782</v>
      </c>
    </row>
    <row r="56" spans="7:18" ht="15.75" customHeight="1">
      <c r="G56" s="166" t="s">
        <v>783</v>
      </c>
      <c r="L56" s="186"/>
      <c r="N56" s="177" t="s">
        <v>784</v>
      </c>
      <c r="R56" s="173" t="s">
        <v>785</v>
      </c>
    </row>
    <row r="57" spans="7:18" ht="15.75" customHeight="1">
      <c r="G57" s="166" t="s">
        <v>786</v>
      </c>
      <c r="L57" s="186"/>
      <c r="N57" s="177" t="s">
        <v>787</v>
      </c>
      <c r="R57" s="173" t="s">
        <v>788</v>
      </c>
    </row>
    <row r="58" spans="7:18" ht="15" customHeight="1">
      <c r="G58" s="166" t="s">
        <v>789</v>
      </c>
      <c r="L58" s="186"/>
      <c r="N58" s="177" t="s">
        <v>790</v>
      </c>
      <c r="R58" s="173" t="s">
        <v>791</v>
      </c>
    </row>
    <row r="59" spans="7:18" ht="15.75" customHeight="1">
      <c r="G59" s="166" t="s">
        <v>792</v>
      </c>
      <c r="L59" s="186"/>
      <c r="N59" s="177" t="s">
        <v>793</v>
      </c>
      <c r="R59" s="173" t="s">
        <v>794</v>
      </c>
    </row>
    <row r="60" spans="7:18" ht="15" customHeight="1">
      <c r="G60" s="166" t="s">
        <v>795</v>
      </c>
      <c r="L60" s="186"/>
      <c r="N60" s="177" t="s">
        <v>796</v>
      </c>
      <c r="R60" s="173" t="s">
        <v>797</v>
      </c>
    </row>
    <row r="61" spans="7:18" ht="15.75" customHeight="1">
      <c r="G61" s="166" t="s">
        <v>798</v>
      </c>
      <c r="L61" s="186"/>
      <c r="N61" s="177" t="s">
        <v>799</v>
      </c>
      <c r="R61" s="173" t="s">
        <v>800</v>
      </c>
    </row>
    <row r="62" spans="7:18" ht="15" customHeight="1">
      <c r="G62" s="166" t="s">
        <v>801</v>
      </c>
      <c r="L62" s="186"/>
      <c r="N62" s="177" t="s">
        <v>802</v>
      </c>
      <c r="R62" s="173" t="s">
        <v>803</v>
      </c>
    </row>
    <row r="63" spans="7:18" ht="15.75" customHeight="1">
      <c r="G63" s="166" t="s">
        <v>804</v>
      </c>
      <c r="L63" s="186"/>
      <c r="N63" s="177" t="s">
        <v>805</v>
      </c>
      <c r="R63" s="173" t="s">
        <v>806</v>
      </c>
    </row>
    <row r="64" spans="7:18" ht="15.75" customHeight="1">
      <c r="G64" s="166" t="s">
        <v>807</v>
      </c>
      <c r="L64" s="186"/>
      <c r="N64" s="177" t="s">
        <v>808</v>
      </c>
      <c r="R64" s="173" t="s">
        <v>809</v>
      </c>
    </row>
    <row r="65" spans="7:18" ht="15.75" customHeight="1">
      <c r="G65" s="166" t="s">
        <v>810</v>
      </c>
      <c r="L65" s="186"/>
      <c r="N65" s="177" t="s">
        <v>811</v>
      </c>
      <c r="R65" s="173" t="s">
        <v>812</v>
      </c>
    </row>
    <row r="66" spans="7:18" ht="15" customHeight="1">
      <c r="G66" s="166" t="s">
        <v>813</v>
      </c>
      <c r="L66" s="186"/>
      <c r="N66" s="177" t="s">
        <v>814</v>
      </c>
      <c r="R66" s="173" t="s">
        <v>815</v>
      </c>
    </row>
    <row r="67" spans="7:18" ht="15.75" customHeight="1">
      <c r="G67" s="166" t="s">
        <v>816</v>
      </c>
      <c r="L67" s="186"/>
      <c r="N67" s="177" t="s">
        <v>817</v>
      </c>
      <c r="R67" s="173" t="s">
        <v>818</v>
      </c>
    </row>
    <row r="68" spans="7:18" ht="15.75" customHeight="1">
      <c r="G68" s="166" t="s">
        <v>18</v>
      </c>
      <c r="L68" s="186"/>
      <c r="N68" s="177" t="s">
        <v>819</v>
      </c>
      <c r="R68" s="173" t="s">
        <v>820</v>
      </c>
    </row>
    <row r="69" spans="7:18" ht="15.75" customHeight="1">
      <c r="G69" s="166" t="s">
        <v>821</v>
      </c>
      <c r="L69" s="186"/>
      <c r="N69" s="177" t="s">
        <v>822</v>
      </c>
      <c r="R69" s="173" t="s">
        <v>823</v>
      </c>
    </row>
    <row r="70" spans="7:18" ht="15" customHeight="1">
      <c r="G70" s="91" t="s">
        <v>824</v>
      </c>
      <c r="L70" s="186"/>
      <c r="N70" s="177" t="s">
        <v>825</v>
      </c>
      <c r="R70" s="173" t="s">
        <v>826</v>
      </c>
    </row>
    <row r="71" spans="7:18" ht="15.75" customHeight="1">
      <c r="G71" s="166" t="s">
        <v>827</v>
      </c>
      <c r="L71" s="186"/>
      <c r="N71" s="177" t="s">
        <v>828</v>
      </c>
      <c r="R71" s="173" t="s">
        <v>829</v>
      </c>
    </row>
    <row r="72" spans="7:18" ht="15.75" customHeight="1">
      <c r="G72" s="166" t="s">
        <v>830</v>
      </c>
      <c r="L72" s="186"/>
      <c r="N72" s="177" t="s">
        <v>831</v>
      </c>
      <c r="R72" s="173" t="s">
        <v>832</v>
      </c>
    </row>
    <row r="73" spans="7:18" ht="15.75" customHeight="1">
      <c r="G73" s="166" t="s">
        <v>833</v>
      </c>
      <c r="L73" s="186"/>
      <c r="N73" s="177" t="s">
        <v>834</v>
      </c>
      <c r="R73" s="173" t="s">
        <v>835</v>
      </c>
    </row>
    <row r="74" spans="7:18" ht="15.75" customHeight="1">
      <c r="G74" s="166" t="s">
        <v>836</v>
      </c>
      <c r="L74" s="186"/>
      <c r="N74" s="177" t="s">
        <v>837</v>
      </c>
      <c r="R74" s="173" t="s">
        <v>838</v>
      </c>
    </row>
    <row r="75" spans="7:18" ht="15.75" customHeight="1">
      <c r="G75" s="166" t="s">
        <v>839</v>
      </c>
      <c r="L75" s="186"/>
      <c r="N75" s="177" t="s">
        <v>840</v>
      </c>
      <c r="R75" s="173" t="s">
        <v>841</v>
      </c>
    </row>
    <row r="76" spans="7:18" ht="15.75" customHeight="1">
      <c r="G76" s="166" t="s">
        <v>842</v>
      </c>
      <c r="L76" s="186"/>
      <c r="N76" s="177" t="s">
        <v>843</v>
      </c>
      <c r="R76" s="173" t="s">
        <v>844</v>
      </c>
    </row>
    <row r="77" spans="7:18" ht="15.75" customHeight="1">
      <c r="G77" s="166" t="s">
        <v>845</v>
      </c>
      <c r="L77" s="186"/>
      <c r="N77" s="177" t="s">
        <v>846</v>
      </c>
      <c r="R77" s="173" t="s">
        <v>847</v>
      </c>
    </row>
    <row r="78" spans="7:18" ht="15.75" customHeight="1">
      <c r="G78" s="166" t="s">
        <v>848</v>
      </c>
      <c r="L78" s="186"/>
      <c r="N78" s="177" t="s">
        <v>849</v>
      </c>
      <c r="R78" s="173" t="s">
        <v>850</v>
      </c>
    </row>
    <row r="79" spans="7:18" ht="15.75" customHeight="1">
      <c r="G79" s="166" t="s">
        <v>851</v>
      </c>
      <c r="L79" s="186"/>
      <c r="N79" s="177" t="s">
        <v>852</v>
      </c>
      <c r="R79" s="173" t="s">
        <v>853</v>
      </c>
    </row>
    <row r="80" spans="7:18" ht="15" customHeight="1">
      <c r="G80" s="166" t="s">
        <v>854</v>
      </c>
      <c r="L80" s="186"/>
      <c r="N80" s="177" t="s">
        <v>855</v>
      </c>
      <c r="R80" s="173" t="s">
        <v>856</v>
      </c>
    </row>
    <row r="81" spans="7:18" ht="15.75" customHeight="1">
      <c r="G81" s="166" t="s">
        <v>857</v>
      </c>
      <c r="L81" s="186"/>
      <c r="N81" s="184" t="s">
        <v>858</v>
      </c>
      <c r="R81" s="173" t="s">
        <v>859</v>
      </c>
    </row>
    <row r="82" spans="7:18" ht="15.75" customHeight="1">
      <c r="G82" s="166" t="s">
        <v>860</v>
      </c>
      <c r="L82" s="186"/>
      <c r="N82" s="177" t="s">
        <v>861</v>
      </c>
      <c r="R82" s="173" t="s">
        <v>862</v>
      </c>
    </row>
    <row r="83" spans="7:18" ht="15" customHeight="1">
      <c r="G83" s="166" t="s">
        <v>863</v>
      </c>
      <c r="L83" s="186"/>
      <c r="N83" s="177" t="s">
        <v>864</v>
      </c>
      <c r="R83" s="173" t="s">
        <v>865</v>
      </c>
    </row>
    <row r="84" spans="7:18" ht="15.75" customHeight="1">
      <c r="G84" s="166" t="s">
        <v>866</v>
      </c>
      <c r="L84" s="186"/>
      <c r="N84" s="177" t="s">
        <v>867</v>
      </c>
      <c r="R84" s="173" t="s">
        <v>868</v>
      </c>
    </row>
    <row r="85" spans="7:18" ht="15.75" customHeight="1">
      <c r="G85" s="166" t="s">
        <v>869</v>
      </c>
      <c r="L85" s="186"/>
      <c r="N85" s="177" t="s">
        <v>870</v>
      </c>
      <c r="R85" s="173" t="s">
        <v>871</v>
      </c>
    </row>
    <row r="86" spans="7:18" ht="15.75" customHeight="1">
      <c r="G86" s="166" t="s">
        <v>872</v>
      </c>
      <c r="L86" s="186"/>
      <c r="N86" s="177" t="s">
        <v>873</v>
      </c>
      <c r="R86" s="173" t="s">
        <v>874</v>
      </c>
    </row>
    <row r="87" spans="7:18" ht="15.75" customHeight="1">
      <c r="G87" s="91" t="s">
        <v>875</v>
      </c>
      <c r="L87" s="186"/>
      <c r="N87" s="181" t="s">
        <v>876</v>
      </c>
      <c r="R87" s="173" t="s">
        <v>877</v>
      </c>
    </row>
    <row r="88" spans="7:18" ht="15" customHeight="1">
      <c r="G88" s="166" t="s">
        <v>878</v>
      </c>
      <c r="L88" s="186"/>
      <c r="N88" s="199" t="s">
        <v>879</v>
      </c>
      <c r="R88" s="173" t="s">
        <v>292</v>
      </c>
    </row>
    <row r="89" spans="7:18" ht="15.75" customHeight="1">
      <c r="G89" s="166" t="s">
        <v>880</v>
      </c>
      <c r="L89" s="186"/>
      <c r="N89" s="181" t="s">
        <v>881</v>
      </c>
      <c r="R89" s="173" t="s">
        <v>882</v>
      </c>
    </row>
    <row r="90" spans="7:18" ht="15.75" customHeight="1">
      <c r="G90" s="166" t="s">
        <v>883</v>
      </c>
      <c r="L90" s="186"/>
      <c r="N90" s="177" t="s">
        <v>884</v>
      </c>
      <c r="R90" s="173" t="s">
        <v>885</v>
      </c>
    </row>
    <row r="91" spans="7:18" ht="15" customHeight="1">
      <c r="G91" s="166" t="s">
        <v>886</v>
      </c>
      <c r="L91" s="200"/>
      <c r="N91" s="1" t="s">
        <v>887</v>
      </c>
      <c r="R91" s="173" t="s">
        <v>888</v>
      </c>
    </row>
    <row r="92" spans="7:18" ht="15.75" customHeight="1">
      <c r="G92" s="166" t="s">
        <v>889</v>
      </c>
      <c r="N92" s="177" t="s">
        <v>890</v>
      </c>
      <c r="R92" s="173" t="s">
        <v>891</v>
      </c>
    </row>
    <row r="93" spans="7:18" ht="15.75" customHeight="1">
      <c r="G93" s="166" t="s">
        <v>892</v>
      </c>
      <c r="L93" s="186"/>
      <c r="N93" s="181" t="s">
        <v>893</v>
      </c>
      <c r="R93" s="173" t="s">
        <v>894</v>
      </c>
    </row>
    <row r="94" spans="7:18" ht="15.75" customHeight="1">
      <c r="G94" s="91" t="s">
        <v>895</v>
      </c>
      <c r="L94" s="186"/>
      <c r="N94" s="181" t="s">
        <v>896</v>
      </c>
      <c r="R94" s="173" t="s">
        <v>897</v>
      </c>
    </row>
    <row r="95" spans="7:18" ht="15" customHeight="1">
      <c r="G95" s="166" t="s">
        <v>898</v>
      </c>
      <c r="L95" s="186"/>
      <c r="R95" s="173" t="s">
        <v>899</v>
      </c>
    </row>
    <row r="96" spans="7:18" ht="15.75" customHeight="1">
      <c r="G96" s="166" t="s">
        <v>900</v>
      </c>
      <c r="L96" s="186"/>
      <c r="R96" s="173" t="s">
        <v>901</v>
      </c>
    </row>
    <row r="97" spans="7:18" ht="15.75" customHeight="1">
      <c r="G97" s="166" t="s">
        <v>902</v>
      </c>
      <c r="L97" s="186"/>
      <c r="R97" s="173" t="s">
        <v>903</v>
      </c>
    </row>
    <row r="98" spans="7:18" ht="15" customHeight="1">
      <c r="G98" s="166" t="s">
        <v>904</v>
      </c>
      <c r="L98" s="186"/>
      <c r="R98" s="173" t="s">
        <v>905</v>
      </c>
    </row>
    <row r="99" spans="7:18" ht="15.75" customHeight="1">
      <c r="G99" s="166" t="s">
        <v>906</v>
      </c>
      <c r="L99" s="186"/>
      <c r="R99" s="173" t="s">
        <v>907</v>
      </c>
    </row>
    <row r="100" spans="7:18" ht="15.75" customHeight="1">
      <c r="G100" s="166" t="s">
        <v>908</v>
      </c>
      <c r="L100" s="186"/>
      <c r="R100" s="201"/>
    </row>
    <row r="101" spans="7:18" ht="15" customHeight="1">
      <c r="G101" s="166" t="s">
        <v>909</v>
      </c>
      <c r="L101" s="186"/>
    </row>
    <row r="102" spans="7:18" ht="15.75" customHeight="1">
      <c r="G102" s="166" t="s">
        <v>910</v>
      </c>
      <c r="L102" s="186"/>
    </row>
    <row r="103" spans="7:18" ht="15.75" customHeight="1">
      <c r="G103" s="166" t="s">
        <v>911</v>
      </c>
      <c r="L103" s="186"/>
    </row>
    <row r="104" spans="7:18" ht="15" customHeight="1">
      <c r="G104" s="166" t="s">
        <v>912</v>
      </c>
      <c r="L104" s="186"/>
    </row>
    <row r="105" spans="7:18" ht="15.75" customHeight="1">
      <c r="G105" s="166" t="s">
        <v>913</v>
      </c>
      <c r="L105" s="186"/>
    </row>
    <row r="106" spans="7:18" ht="15.75" customHeight="1">
      <c r="G106" s="166" t="s">
        <v>914</v>
      </c>
      <c r="L106" s="186"/>
    </row>
    <row r="107" spans="7:18" ht="15" customHeight="1">
      <c r="G107" s="166" t="s">
        <v>915</v>
      </c>
      <c r="L107" s="186"/>
    </row>
    <row r="108" spans="7:18" ht="15.75" customHeight="1">
      <c r="G108" s="166" t="s">
        <v>916</v>
      </c>
      <c r="L108" s="186"/>
    </row>
    <row r="109" spans="7:18" ht="15.75" customHeight="1">
      <c r="G109" s="166" t="s">
        <v>917</v>
      </c>
      <c r="L109" s="186"/>
    </row>
    <row r="110" spans="7:18" ht="15.75" customHeight="1">
      <c r="G110" s="166" t="s">
        <v>918</v>
      </c>
      <c r="L110" s="186"/>
    </row>
    <row r="111" spans="7:18" ht="15" customHeight="1">
      <c r="G111" s="166" t="s">
        <v>919</v>
      </c>
      <c r="L111" s="186"/>
    </row>
    <row r="112" spans="7:18" ht="15.75" customHeight="1">
      <c r="G112" s="91" t="s">
        <v>920</v>
      </c>
      <c r="L112" s="186"/>
    </row>
    <row r="113" spans="7:12" ht="15" customHeight="1">
      <c r="G113" s="91" t="s">
        <v>921</v>
      </c>
      <c r="L113" s="186"/>
    </row>
    <row r="114" spans="7:12" ht="15.75" customHeight="1">
      <c r="L114" s="186"/>
    </row>
    <row r="115" spans="7:12" ht="15.75" customHeight="1">
      <c r="L115" s="186"/>
    </row>
    <row r="116" spans="7:12" ht="15" customHeight="1">
      <c r="L116" s="186"/>
    </row>
    <row r="117" spans="7:12" ht="15.75" customHeight="1">
      <c r="L117" s="186"/>
    </row>
    <row r="118" spans="7:12" ht="15.75" customHeight="1">
      <c r="L118" s="186"/>
    </row>
    <row r="119" spans="7:12" ht="15.75" customHeight="1">
      <c r="L119" s="186"/>
    </row>
    <row r="120" spans="7:12" ht="15.75" customHeight="1">
      <c r="L120" s="186"/>
    </row>
    <row r="121" spans="7:12" ht="15.75" customHeight="1">
      <c r="L121" s="186"/>
    </row>
    <row r="122" spans="7:12" ht="15" customHeight="1">
      <c r="L122" s="186"/>
    </row>
    <row r="123" spans="7:12" ht="15.75" customHeight="1">
      <c r="L123" s="186"/>
    </row>
    <row r="124" spans="7:12" ht="15" customHeight="1">
      <c r="L124" s="186"/>
    </row>
    <row r="125" spans="7:12" ht="15.75" customHeight="1">
      <c r="L125" s="186"/>
    </row>
    <row r="126" spans="7:12" ht="15" customHeight="1">
      <c r="L126" s="186"/>
    </row>
    <row r="127" spans="7:12" ht="15.75" customHeight="1">
      <c r="L127" s="186"/>
    </row>
    <row r="128" spans="7:12" ht="15.75" customHeight="1">
      <c r="L128" s="186"/>
    </row>
    <row r="129" spans="12:12" ht="15.75" customHeight="1">
      <c r="L129" s="186"/>
    </row>
    <row r="130" spans="12:12" ht="15" customHeight="1">
      <c r="L130" s="186"/>
    </row>
    <row r="131" spans="12:12" ht="15.75" customHeight="1">
      <c r="L131" s="186"/>
    </row>
    <row r="132" spans="12:12" ht="15.75" customHeight="1">
      <c r="L132" s="186"/>
    </row>
    <row r="133" spans="12:12" ht="15" customHeight="1">
      <c r="L133" s="186"/>
    </row>
    <row r="134" spans="12:12" ht="15.75" customHeight="1">
      <c r="L134" s="186"/>
    </row>
    <row r="135" spans="12:12" ht="15.75" customHeight="1">
      <c r="L135" s="186"/>
    </row>
    <row r="136" spans="12:12" ht="15" customHeight="1">
      <c r="L136" s="186"/>
    </row>
    <row r="137" spans="12:12" ht="15.75" customHeight="1">
      <c r="L137" s="186"/>
    </row>
    <row r="138" spans="12:12" ht="15" customHeight="1">
      <c r="L138" s="186"/>
    </row>
    <row r="139" spans="12:12" ht="15.75" customHeight="1">
      <c r="L139" s="186"/>
    </row>
    <row r="140" spans="12:12" ht="15.75" customHeight="1">
      <c r="L140" s="186"/>
    </row>
    <row r="141" spans="12:12" ht="15" customHeight="1">
      <c r="L141" s="186"/>
    </row>
    <row r="142" spans="12:12" ht="15.75" customHeight="1">
      <c r="L142" s="186"/>
    </row>
    <row r="143" spans="12:12" ht="15.75" customHeight="1">
      <c r="L143" s="186"/>
    </row>
    <row r="144" spans="12:12" ht="15.75" customHeight="1">
      <c r="L144" s="186"/>
    </row>
    <row r="145" spans="12:12" ht="15.75" customHeight="1">
      <c r="L145" s="186"/>
    </row>
    <row r="146" spans="12:12" ht="15" customHeight="1">
      <c r="L146" s="200"/>
    </row>
    <row r="147" spans="12:12" ht="15.75" customHeight="1"/>
    <row r="149" spans="12:12" ht="15.75" customHeight="1"/>
    <row r="151" spans="12:12" ht="15.75" customHeight="1"/>
    <row r="152" spans="12:12" ht="15.75" customHeight="1"/>
    <row r="154" spans="12:12" ht="15.75" customHeight="1"/>
    <row r="155" spans="12:12" ht="15.75" customHeight="1"/>
    <row r="156" spans="12:12" ht="15.75" customHeight="1"/>
    <row r="157" spans="12:12" ht="15.75" customHeight="1"/>
    <row r="159" spans="12:12" ht="15.75" customHeight="1"/>
    <row r="160" spans="12:12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5" ht="15.75" customHeight="1"/>
    <row r="176" ht="15.75" customHeight="1"/>
    <row r="177" ht="15.75" customHeight="1"/>
    <row r="179" ht="15.75" customHeight="1"/>
    <row r="181" ht="15.75" customHeight="1"/>
    <row r="182" ht="15.75" customHeight="1"/>
    <row r="183" ht="15.75" customHeight="1"/>
    <row r="184" ht="15.75" customHeight="1"/>
    <row r="186" ht="15.75" customHeight="1"/>
    <row r="187" ht="15.75" customHeight="1"/>
    <row r="189" ht="15.75" customHeight="1"/>
    <row r="190" ht="15.75" customHeight="1"/>
    <row r="191" ht="15.75" customHeight="1"/>
    <row r="192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9" ht="15.75" customHeight="1"/>
    <row r="220" ht="15.75" customHeight="1"/>
    <row r="222" ht="15.75" customHeight="1"/>
    <row r="223" ht="15.75" customHeight="1"/>
    <row r="225" ht="15.75" customHeight="1"/>
    <row r="227" ht="15.75" customHeight="1"/>
    <row r="228" ht="15.75" customHeight="1"/>
    <row r="230" ht="15.75" customHeight="1"/>
    <row r="231" ht="15.75" customHeight="1"/>
    <row r="233" ht="15.75" customHeight="1"/>
    <row r="235" ht="15.75" customHeight="1"/>
    <row r="237" ht="15.75" customHeight="1"/>
    <row r="239" ht="15.75" customHeight="1"/>
    <row r="240" ht="15.75" customHeight="1"/>
    <row r="242" ht="15.75" customHeight="1"/>
    <row r="243" ht="15.75" customHeight="1"/>
    <row r="244" ht="15.75" customHeight="1"/>
    <row r="246" ht="15.75" customHeight="1"/>
    <row r="248" ht="15.75" customHeight="1"/>
    <row r="250" ht="15.75" customHeight="1"/>
    <row r="251" ht="15.75" customHeight="1"/>
    <row r="253" ht="15.75" customHeight="1"/>
    <row r="254" ht="15.75" customHeight="1"/>
    <row r="255" ht="15.75" customHeight="1"/>
    <row r="257" ht="15.75" customHeight="1"/>
    <row r="259" ht="15.75" customHeight="1"/>
    <row r="260" ht="15.75" customHeight="1"/>
    <row r="261" ht="15.75" customHeight="1"/>
    <row r="263" ht="15.75" customHeight="1"/>
    <row r="265" ht="15.75" customHeight="1"/>
    <row r="266" ht="15.75" customHeight="1"/>
    <row r="268" ht="15.75" customHeight="1"/>
    <row r="269" ht="15.75" customHeight="1"/>
    <row r="271" ht="15.75" customHeight="1"/>
    <row r="272" ht="15.75" customHeight="1"/>
    <row r="273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/>
  </sheetViews>
  <sheetFormatPr baseColWidth="10" defaultColWidth="14.42578125" defaultRowHeight="15" customHeight="1"/>
  <sheetData>
    <row r="1" spans="1:3">
      <c r="A1" s="94" t="str">
        <f ca="1">IFERROR(__xludf.DUMMYFUNCTION("QUERY(IMPORTRANGE(""1FwOKR1Wd8CiIMKrhY4aqdfQeQD4i3Z0kL8Yz2rETErQ"",""'Campos meta'!A:C""),""SELECT *"",1)"),"ID")</f>
        <v>ID</v>
      </c>
      <c r="B1" s="94" t="str">
        <f ca="1">IFERROR(__xludf.DUMMYFUNCTION("""COMPUTED_VALUE"""),"UNIDAD DE MEDIDA")</f>
        <v>UNIDAD DE MEDIDA</v>
      </c>
      <c r="C1" s="94" t="str">
        <f ca="1">IFERROR(__xludf.DUMMYFUNCTION("""COMPUTED_VALUE"""),"META PROGRAMADA")</f>
        <v>META PROGRAMADA</v>
      </c>
    </row>
    <row r="2" spans="1:3">
      <c r="A2" s="94" t="str">
        <f ca="1">IFERROR(__xludf.DUMMYFUNCTION("""COMPUTED_VALUE"""),"1.0.0.0")</f>
        <v>1.0.0.0</v>
      </c>
      <c r="B2" s="94" t="str">
        <f ca="1">IFERROR(__xludf.DUMMYFUNCTION("""COMPUTED_VALUE"""),"Porcentaje")</f>
        <v>Porcentaje</v>
      </c>
      <c r="C2" s="95">
        <f ca="1">IFERROR(__xludf.DUMMYFUNCTION("""COMPUTED_VALUE"""),8)</f>
        <v>8</v>
      </c>
    </row>
    <row r="3" spans="1:3">
      <c r="A3" s="94" t="str">
        <f ca="1">IFERROR(__xludf.DUMMYFUNCTION("""COMPUTED_VALUE"""),"1.1.0.0")</f>
        <v>1.1.0.0</v>
      </c>
      <c r="B3" s="94" t="str">
        <f ca="1">IFERROR(__xludf.DUMMYFUNCTION("""COMPUTED_VALUE"""),"Porcentaje")</f>
        <v>Porcentaje</v>
      </c>
      <c r="C3" s="95">
        <f ca="1">IFERROR(__xludf.DUMMYFUNCTION("""COMPUTED_VALUE"""),7568)</f>
        <v>7568</v>
      </c>
    </row>
    <row r="4" spans="1:3">
      <c r="A4" s="94" t="str">
        <f ca="1">IFERROR(__xludf.DUMMYFUNCTION("""COMPUTED_VALUE"""),"1.1.1.0")</f>
        <v>1.1.1.0</v>
      </c>
      <c r="B4" s="94" t="str">
        <f ca="1">IFERROR(__xludf.DUMMYFUNCTION("""COMPUTED_VALUE"""),"Porcentaje")</f>
        <v>Porcentaje</v>
      </c>
      <c r="C4" s="95">
        <f ca="1">IFERROR(__xludf.DUMMYFUNCTION("""COMPUTED_VALUE"""),500)</f>
        <v>500</v>
      </c>
    </row>
    <row r="5" spans="1:3">
      <c r="A5" s="94" t="str">
        <f ca="1">IFERROR(__xludf.DUMMYFUNCTION("""COMPUTED_VALUE"""),"1.1.1.1")</f>
        <v>1.1.1.1</v>
      </c>
      <c r="B5" s="94" t="str">
        <f ca="1">IFERROR(__xludf.DUMMYFUNCTION("""COMPUTED_VALUE"""),"Porcentaje")</f>
        <v>Porcentaje</v>
      </c>
      <c r="C5" s="95">
        <f ca="1">IFERROR(__xludf.DUMMYFUNCTION("""COMPUTED_VALUE"""),24)</f>
        <v>24</v>
      </c>
    </row>
    <row r="6" spans="1:3">
      <c r="A6" s="94" t="str">
        <f ca="1">IFERROR(__xludf.DUMMYFUNCTION("""COMPUTED_VALUE"""),"1.1.1.2")</f>
        <v>1.1.1.2</v>
      </c>
      <c r="B6" s="94" t="str">
        <f ca="1">IFERROR(__xludf.DUMMYFUNCTION("""COMPUTED_VALUE"""),"Porcentaje")</f>
        <v>Porcentaje</v>
      </c>
      <c r="C6" s="95">
        <f ca="1">IFERROR(__xludf.DUMMYFUNCTION("""COMPUTED_VALUE"""),11)</f>
        <v>11</v>
      </c>
    </row>
    <row r="7" spans="1:3">
      <c r="A7" s="94" t="str">
        <f ca="1">IFERROR(__xludf.DUMMYFUNCTION("""COMPUTED_VALUE"""),"1.1.1.3")</f>
        <v>1.1.1.3</v>
      </c>
      <c r="B7" s="94" t="str">
        <f ca="1">IFERROR(__xludf.DUMMYFUNCTION("""COMPUTED_VALUE"""),"Promedio")</f>
        <v>Promedio</v>
      </c>
      <c r="C7" s="95">
        <f ca="1">IFERROR(__xludf.DUMMYFUNCTION("""COMPUTED_VALUE"""),270)</f>
        <v>270</v>
      </c>
    </row>
    <row r="8" spans="1:3">
      <c r="A8" s="94" t="str">
        <f ca="1">IFERROR(__xludf.DUMMYFUNCTION("""COMPUTED_VALUE"""),"1.1.1.4")</f>
        <v>1.1.1.4</v>
      </c>
      <c r="B8" s="94" t="str">
        <f ca="1">IFERROR(__xludf.DUMMYFUNCTION("""COMPUTED_VALUE"""),"Porcentaje")</f>
        <v>Porcentaje</v>
      </c>
      <c r="C8" s="95">
        <f ca="1">IFERROR(__xludf.DUMMYFUNCTION("""COMPUTED_VALUE"""),7)</f>
        <v>7</v>
      </c>
    </row>
    <row r="9" spans="1:3">
      <c r="A9" s="94" t="str">
        <f ca="1">IFERROR(__xludf.DUMMYFUNCTION("""COMPUTED_VALUE"""),"1.1.1.5")</f>
        <v>1.1.1.5</v>
      </c>
      <c r="B9" s="94" t="str">
        <f ca="1">IFERROR(__xludf.DUMMYFUNCTION("""COMPUTED_VALUE"""),"Porcentaje")</f>
        <v>Porcentaje</v>
      </c>
      <c r="C9" s="95">
        <f ca="1">IFERROR(__xludf.DUMMYFUNCTION("""COMPUTED_VALUE"""),422)</f>
        <v>422</v>
      </c>
    </row>
    <row r="10" spans="1:3">
      <c r="A10" s="94" t="str">
        <f ca="1">IFERROR(__xludf.DUMMYFUNCTION("""COMPUTED_VALUE"""),"1.1.2.0")</f>
        <v>1.1.2.0</v>
      </c>
      <c r="B10" s="94" t="str">
        <f ca="1">IFERROR(__xludf.DUMMYFUNCTION("""COMPUTED_VALUE"""),"Porcentaje")</f>
        <v>Porcentaje</v>
      </c>
      <c r="C10" s="95">
        <f ca="1">IFERROR(__xludf.DUMMYFUNCTION("""COMPUTED_VALUE"""),6)</f>
        <v>6</v>
      </c>
    </row>
    <row r="11" spans="1:3">
      <c r="A11" s="94" t="str">
        <f ca="1">IFERROR(__xludf.DUMMYFUNCTION("""COMPUTED_VALUE"""),"1.1.2.1")</f>
        <v>1.1.2.1</v>
      </c>
      <c r="B11" s="94" t="str">
        <f ca="1">IFERROR(__xludf.DUMMYFUNCTION("""COMPUTED_VALUE"""),"Porcentaje")</f>
        <v>Porcentaje</v>
      </c>
      <c r="C11" s="95">
        <f ca="1">IFERROR(__xludf.DUMMYFUNCTION("""COMPUTED_VALUE"""),12)</f>
        <v>12</v>
      </c>
    </row>
    <row r="12" spans="1:3">
      <c r="A12" s="94" t="str">
        <f ca="1">IFERROR(__xludf.DUMMYFUNCTION("""COMPUTED_VALUE"""),"1.1.2.2")</f>
        <v>1.1.2.2</v>
      </c>
      <c r="B12" s="94" t="str">
        <f ca="1">IFERROR(__xludf.DUMMYFUNCTION("""COMPUTED_VALUE"""),"Porcentaje")</f>
        <v>Porcentaje</v>
      </c>
      <c r="C12" s="95">
        <f ca="1">IFERROR(__xludf.DUMMYFUNCTION("""COMPUTED_VALUE"""),2)</f>
        <v>2</v>
      </c>
    </row>
    <row r="13" spans="1:3">
      <c r="A13" s="94" t="str">
        <f ca="1">IFERROR(__xludf.DUMMYFUNCTION("""COMPUTED_VALUE"""),"1.1.3.0")</f>
        <v>1.1.3.0</v>
      </c>
      <c r="B13" s="94" t="str">
        <f ca="1">IFERROR(__xludf.DUMMYFUNCTION("""COMPUTED_VALUE"""),"Porcentaje")</f>
        <v>Porcentaje</v>
      </c>
      <c r="C13" s="95">
        <f ca="1">IFERROR(__xludf.DUMMYFUNCTION("""COMPUTED_VALUE"""),12)</f>
        <v>12</v>
      </c>
    </row>
    <row r="14" spans="1:3">
      <c r="A14" s="94" t="str">
        <f ca="1">IFERROR(__xludf.DUMMYFUNCTION("""COMPUTED_VALUE"""),"1.1.3.1")</f>
        <v>1.1.3.1</v>
      </c>
      <c r="B14" s="94" t="str">
        <f ca="1">IFERROR(__xludf.DUMMYFUNCTION("""COMPUTED_VALUE"""),"Porcentaje")</f>
        <v>Porcentaje</v>
      </c>
      <c r="C14" s="95">
        <f ca="1">IFERROR(__xludf.DUMMYFUNCTION("""COMPUTED_VALUE"""),2)</f>
        <v>2</v>
      </c>
    </row>
    <row r="15" spans="1:3">
      <c r="A15" s="94" t="str">
        <f ca="1">IFERROR(__xludf.DUMMYFUNCTION("""COMPUTED_VALUE"""),"1.1.4.0")</f>
        <v>1.1.4.0</v>
      </c>
      <c r="B15" s="94" t="str">
        <f ca="1">IFERROR(__xludf.DUMMYFUNCTION("""COMPUTED_VALUE"""),"Porcentaje")</f>
        <v>Porcentaje</v>
      </c>
      <c r="C15" s="95">
        <f ca="1">IFERROR(__xludf.DUMMYFUNCTION("""COMPUTED_VALUE"""),120)</f>
        <v>120</v>
      </c>
    </row>
    <row r="16" spans="1:3">
      <c r="A16" s="94" t="str">
        <f ca="1">IFERROR(__xludf.DUMMYFUNCTION("""COMPUTED_VALUE"""),"1.1.4.1")</f>
        <v>1.1.4.1</v>
      </c>
      <c r="B16" s="94" t="str">
        <f ca="1">IFERROR(__xludf.DUMMYFUNCTION("""COMPUTED_VALUE"""),"Porcentaje")</f>
        <v>Porcentaje</v>
      </c>
      <c r="C16" s="95">
        <f ca="1">IFERROR(__xludf.DUMMYFUNCTION("""COMPUTED_VALUE"""),2100)</f>
        <v>2100</v>
      </c>
    </row>
    <row r="17" spans="1:3">
      <c r="A17" s="94" t="str">
        <f ca="1">IFERROR(__xludf.DUMMYFUNCTION("""COMPUTED_VALUE"""),"1.1.4.2")</f>
        <v>1.1.4.2</v>
      </c>
      <c r="B17" s="94" t="str">
        <f ca="1">IFERROR(__xludf.DUMMYFUNCTION("""COMPUTED_VALUE"""),"Porcentaje")</f>
        <v>Porcentaje</v>
      </c>
      <c r="C17" s="95">
        <f ca="1">IFERROR(__xludf.DUMMYFUNCTION("""COMPUTED_VALUE"""),90)</f>
        <v>90</v>
      </c>
    </row>
    <row r="18" spans="1:3">
      <c r="A18" s="94" t="str">
        <f ca="1">IFERROR(__xludf.DUMMYFUNCTION("""COMPUTED_VALUE"""),"1.1.4.3")</f>
        <v>1.1.4.3</v>
      </c>
      <c r="B18" s="94" t="str">
        <f ca="1">IFERROR(__xludf.DUMMYFUNCTION("""COMPUTED_VALUE"""),"Porcentaje")</f>
        <v>Porcentaje</v>
      </c>
      <c r="C18" s="95">
        <f ca="1">IFERROR(__xludf.DUMMYFUNCTION("""COMPUTED_VALUE"""),500)</f>
        <v>500</v>
      </c>
    </row>
    <row r="19" spans="1:3">
      <c r="A19" s="94" t="str">
        <f ca="1">IFERROR(__xludf.DUMMYFUNCTION("""COMPUTED_VALUE"""),"1.1.4.4")</f>
        <v>1.1.4.4</v>
      </c>
      <c r="B19" s="94" t="str">
        <f ca="1">IFERROR(__xludf.DUMMYFUNCTION("""COMPUTED_VALUE"""),"Porcentaje")</f>
        <v>Porcentaje</v>
      </c>
      <c r="C19" s="95">
        <f ca="1">IFERROR(__xludf.DUMMYFUNCTION("""COMPUTED_VALUE"""),450)</f>
        <v>450</v>
      </c>
    </row>
    <row r="20" spans="1:3">
      <c r="A20" s="94" t="str">
        <f ca="1">IFERROR(__xludf.DUMMYFUNCTION("""COMPUTED_VALUE"""),"1.1.5.0")</f>
        <v>1.1.5.0</v>
      </c>
      <c r="B20" s="94" t="str">
        <f ca="1">IFERROR(__xludf.DUMMYFUNCTION("""COMPUTED_VALUE"""),"Porcentaje")</f>
        <v>Porcentaje</v>
      </c>
      <c r="C20" s="95">
        <f ca="1">IFERROR(__xludf.DUMMYFUNCTION("""COMPUTED_VALUE"""),4)</f>
        <v>4</v>
      </c>
    </row>
    <row r="21" spans="1:3">
      <c r="A21" s="94" t="str">
        <f ca="1">IFERROR(__xludf.DUMMYFUNCTION("""COMPUTED_VALUE"""),"1.1.5.1")</f>
        <v>1.1.5.1</v>
      </c>
      <c r="B21" s="94" t="str">
        <f ca="1">IFERROR(__xludf.DUMMYFUNCTION("""COMPUTED_VALUE"""),"Porcentaje")</f>
        <v>Porcentaje</v>
      </c>
      <c r="C21" s="95">
        <f ca="1">IFERROR(__xludf.DUMMYFUNCTION("""COMPUTED_VALUE"""),1259)</f>
        <v>1259</v>
      </c>
    </row>
    <row r="22" spans="1:3">
      <c r="A22" s="94" t="str">
        <f ca="1">IFERROR(__xludf.DUMMYFUNCTION("""COMPUTED_VALUE"""),"1.1.5.2")</f>
        <v>1.1.5.2</v>
      </c>
      <c r="B22" s="94" t="str">
        <f ca="1">IFERROR(__xludf.DUMMYFUNCTION("""COMPUTED_VALUE"""),"Porcentaje")</f>
        <v>Porcentaje</v>
      </c>
      <c r="C22" s="95">
        <f ca="1">IFERROR(__xludf.DUMMYFUNCTION("""COMPUTED_VALUE"""),24)</f>
        <v>24</v>
      </c>
    </row>
    <row r="23" spans="1:3">
      <c r="A23" s="94" t="str">
        <f ca="1">IFERROR(__xludf.DUMMYFUNCTION("""COMPUTED_VALUE"""),"1.1.6.0")</f>
        <v>1.1.6.0</v>
      </c>
      <c r="B23" s="94" t="str">
        <f ca="1">IFERROR(__xludf.DUMMYFUNCTION("""COMPUTED_VALUE"""),"Porcentaje")</f>
        <v>Porcentaje</v>
      </c>
      <c r="C23" s="95">
        <f ca="1">IFERROR(__xludf.DUMMYFUNCTION("""COMPUTED_VALUE"""),1488)</f>
        <v>1488</v>
      </c>
    </row>
    <row r="24" spans="1:3">
      <c r="A24" s="94" t="str">
        <f ca="1">IFERROR(__xludf.DUMMYFUNCTION("""COMPUTED_VALUE"""),"1.1.6.1")</f>
        <v>1.1.6.1</v>
      </c>
      <c r="B24" s="94" t="str">
        <f ca="1">IFERROR(__xludf.DUMMYFUNCTION("""COMPUTED_VALUE"""),"Porcentaje")</f>
        <v>Porcentaje</v>
      </c>
      <c r="C24" s="95">
        <f ca="1">IFERROR(__xludf.DUMMYFUNCTION("""COMPUTED_VALUE"""),250)</f>
        <v>250</v>
      </c>
    </row>
    <row r="25" spans="1:3">
      <c r="A25" s="94" t="str">
        <f ca="1">IFERROR(__xludf.DUMMYFUNCTION("""COMPUTED_VALUE"""),"1.1.7.0")</f>
        <v>1.1.7.0</v>
      </c>
      <c r="B25" s="94" t="str">
        <f ca="1">IFERROR(__xludf.DUMMYFUNCTION("""COMPUTED_VALUE"""),"Porcentaje")</f>
        <v>Porcentaje</v>
      </c>
      <c r="C25" s="95">
        <f ca="1">IFERROR(__xludf.DUMMYFUNCTION("""COMPUTED_VALUE"""),3000)</f>
        <v>3000</v>
      </c>
    </row>
    <row r="26" spans="1:3">
      <c r="A26" s="94" t="str">
        <f ca="1">IFERROR(__xludf.DUMMYFUNCTION("""COMPUTED_VALUE"""),"1.1.7.1")</f>
        <v>1.1.7.1</v>
      </c>
      <c r="B26" s="94" t="str">
        <f ca="1">IFERROR(__xludf.DUMMYFUNCTION("""COMPUTED_VALUE"""),"Porcentaje")</f>
        <v>Porcentaje</v>
      </c>
      <c r="C26" s="95">
        <f ca="1">IFERROR(__xludf.DUMMYFUNCTION("""COMPUTED_VALUE"""),45)</f>
        <v>45</v>
      </c>
    </row>
    <row r="27" spans="1:3">
      <c r="A27" s="94" t="str">
        <f ca="1">IFERROR(__xludf.DUMMYFUNCTION("""COMPUTED_VALUE"""),"1.1.7.2")</f>
        <v>1.1.7.2</v>
      </c>
      <c r="B27" s="94" t="str">
        <f ca="1">IFERROR(__xludf.DUMMYFUNCTION("""COMPUTED_VALUE"""),"Porcentaje")</f>
        <v>Porcentaje</v>
      </c>
      <c r="C27" s="95">
        <f ca="1">IFERROR(__xludf.DUMMYFUNCTION("""COMPUTED_VALUE"""),250)</f>
        <v>250</v>
      </c>
    </row>
    <row r="28" spans="1:3">
      <c r="A28" s="94" t="str">
        <f ca="1">IFERROR(__xludf.DUMMYFUNCTION("""COMPUTED_VALUE"""),"1.1.7.3")</f>
        <v>1.1.7.3</v>
      </c>
      <c r="B28" s="94" t="str">
        <f ca="1">IFERROR(__xludf.DUMMYFUNCTION("""COMPUTED_VALUE"""),"Porcentaje")</f>
        <v>Porcentaje</v>
      </c>
      <c r="C28" s="95">
        <f ca="1">IFERROR(__xludf.DUMMYFUNCTION("""COMPUTED_VALUE"""),900)</f>
        <v>900</v>
      </c>
    </row>
    <row r="29" spans="1:3">
      <c r="A29" s="94" t="str">
        <f ca="1">IFERROR(__xludf.DUMMYFUNCTION("""COMPUTED_VALUE"""),"1.1.8.0")</f>
        <v>1.1.8.0</v>
      </c>
      <c r="B29" s="94" t="str">
        <f ca="1">IFERROR(__xludf.DUMMYFUNCTION("""COMPUTED_VALUE"""),"Porcentaje")</f>
        <v>Porcentaje</v>
      </c>
      <c r="C29" s="95">
        <f ca="1">IFERROR(__xludf.DUMMYFUNCTION("""COMPUTED_VALUE"""),720)</f>
        <v>720</v>
      </c>
    </row>
    <row r="30" spans="1:3">
      <c r="A30" s="94" t="str">
        <f ca="1">IFERROR(__xludf.DUMMYFUNCTION("""COMPUTED_VALUE"""),"1.1.8.1")</f>
        <v>1.1.8.1</v>
      </c>
      <c r="B30" s="94" t="str">
        <f ca="1">IFERROR(__xludf.DUMMYFUNCTION("""COMPUTED_VALUE"""),"Porcentaje")</f>
        <v>Porcentaje</v>
      </c>
      <c r="C30" s="95">
        <f ca="1">IFERROR(__xludf.DUMMYFUNCTION("""COMPUTED_VALUE"""),600)</f>
        <v>600</v>
      </c>
    </row>
    <row r="31" spans="1:3">
      <c r="A31" s="94" t="str">
        <f ca="1">IFERROR(__xludf.DUMMYFUNCTION("""COMPUTED_VALUE"""),"1.1.8.2")</f>
        <v>1.1.8.2</v>
      </c>
      <c r="B31" s="94" t="str">
        <f ca="1">IFERROR(__xludf.DUMMYFUNCTION("""COMPUTED_VALUE"""),"Porcentaje")</f>
        <v>Porcentaje</v>
      </c>
      <c r="C31" s="95">
        <f ca="1">IFERROR(__xludf.DUMMYFUNCTION("""COMPUTED_VALUE"""),40)</f>
        <v>40</v>
      </c>
    </row>
    <row r="32" spans="1:3">
      <c r="A32" s="94" t="str">
        <f ca="1">IFERROR(__xludf.DUMMYFUNCTION("""COMPUTED_VALUE"""),"1.1.9.0")</f>
        <v>1.1.9.0</v>
      </c>
      <c r="B32" s="94" t="str">
        <f ca="1">IFERROR(__xludf.DUMMYFUNCTION("""COMPUTED_VALUE"""),"Porcentaje")</f>
        <v>Porcentaje</v>
      </c>
      <c r="C32" s="95">
        <f ca="1">IFERROR(__xludf.DUMMYFUNCTION("""COMPUTED_VALUE"""),80)</f>
        <v>80</v>
      </c>
    </row>
    <row r="33" spans="1:3">
      <c r="A33" s="94" t="str">
        <f ca="1">IFERROR(__xludf.DUMMYFUNCTION("""COMPUTED_VALUE"""),"1.1.9.1")</f>
        <v>1.1.9.1</v>
      </c>
      <c r="B33" s="94" t="str">
        <f ca="1">IFERROR(__xludf.DUMMYFUNCTION("""COMPUTED_VALUE"""),"Porcentaje")</f>
        <v>Porcentaje</v>
      </c>
      <c r="C33" s="95">
        <f ca="1">IFERROR(__xludf.DUMMYFUNCTION("""COMPUTED_VALUE"""),500)</f>
        <v>500</v>
      </c>
    </row>
    <row r="34" spans="1:3">
      <c r="A34" s="94" t="str">
        <f ca="1">IFERROR(__xludf.DUMMYFUNCTION("""COMPUTED_VALUE"""),"1.1.9.2")</f>
        <v>1.1.9.2</v>
      </c>
      <c r="B34" s="94" t="str">
        <f ca="1">IFERROR(__xludf.DUMMYFUNCTION("""COMPUTED_VALUE"""),"Porcentaje")</f>
        <v>Porcentaje</v>
      </c>
      <c r="C34" s="95">
        <f ca="1">IFERROR(__xludf.DUMMYFUNCTION("""COMPUTED_VALUE"""),50)</f>
        <v>50</v>
      </c>
    </row>
    <row r="35" spans="1:3">
      <c r="A35" s="94" t="str">
        <f ca="1">IFERROR(__xludf.DUMMYFUNCTION("""COMPUTED_VALUE"""),"1.1.9.3")</f>
        <v>1.1.9.3</v>
      </c>
      <c r="B35" s="94" t="str">
        <f ca="1">IFERROR(__xludf.DUMMYFUNCTION("""COMPUTED_VALUE"""),"Porcentaje")</f>
        <v>Porcentaje</v>
      </c>
      <c r="C35" s="95">
        <f ca="1">IFERROR(__xludf.DUMMYFUNCTION("""COMPUTED_VALUE"""),30)</f>
        <v>30</v>
      </c>
    </row>
    <row r="36" spans="1:3">
      <c r="A36" s="94" t="str">
        <f ca="1">IFERROR(__xludf.DUMMYFUNCTION("""COMPUTED_VALUE"""),"2.0.0.0")</f>
        <v>2.0.0.0</v>
      </c>
      <c r="B36" s="94" t="str">
        <f ca="1">IFERROR(__xludf.DUMMYFUNCTION("""COMPUTED_VALUE"""),"Porcentaje")</f>
        <v>Porcentaje</v>
      </c>
      <c r="C36" s="95">
        <f ca="1">IFERROR(__xludf.DUMMYFUNCTION("""COMPUTED_VALUE"""),37931)</f>
        <v>37931</v>
      </c>
    </row>
    <row r="37" spans="1:3">
      <c r="A37" s="94" t="str">
        <f ca="1">IFERROR(__xludf.DUMMYFUNCTION("""COMPUTED_VALUE"""),"2.1.0.0")</f>
        <v>2.1.0.0</v>
      </c>
      <c r="B37" s="94" t="str">
        <f ca="1">IFERROR(__xludf.DUMMYFUNCTION("""COMPUTED_VALUE"""),"Porcentaje")</f>
        <v>Porcentaje</v>
      </c>
      <c r="C37" s="95">
        <f ca="1">IFERROR(__xludf.DUMMYFUNCTION("""COMPUTED_VALUE"""),1505457)</f>
        <v>1505457</v>
      </c>
    </row>
    <row r="38" spans="1:3">
      <c r="A38" s="94" t="str">
        <f ca="1">IFERROR(__xludf.DUMMYFUNCTION("""COMPUTED_VALUE"""),"2.1.1.0")</f>
        <v>2.1.1.0</v>
      </c>
      <c r="B38" s="94" t="str">
        <f ca="1">IFERROR(__xludf.DUMMYFUNCTION("""COMPUTED_VALUE"""),"Porcentaje")</f>
        <v>Porcentaje</v>
      </c>
      <c r="C38" s="95">
        <f ca="1">IFERROR(__xludf.DUMMYFUNCTION("""COMPUTED_VALUE"""),9)</f>
        <v>9</v>
      </c>
    </row>
    <row r="39" spans="1:3">
      <c r="A39" s="94" t="str">
        <f ca="1">IFERROR(__xludf.DUMMYFUNCTION("""COMPUTED_VALUE"""),"2.1.1.1")</f>
        <v>2.1.1.1</v>
      </c>
      <c r="B39" s="94" t="str">
        <f ca="1">IFERROR(__xludf.DUMMYFUNCTION("""COMPUTED_VALUE"""),"Porcentaje")</f>
        <v>Porcentaje</v>
      </c>
      <c r="C39" s="95">
        <f ca="1">IFERROR(__xludf.DUMMYFUNCTION("""COMPUTED_VALUE"""),7450)</f>
        <v>7450</v>
      </c>
    </row>
    <row r="40" spans="1:3">
      <c r="A40" s="94" t="str">
        <f ca="1">IFERROR(__xludf.DUMMYFUNCTION("""COMPUTED_VALUE"""),"2.1.1.2")</f>
        <v>2.1.1.2</v>
      </c>
      <c r="B40" s="94" t="str">
        <f ca="1">IFERROR(__xludf.DUMMYFUNCTION("""COMPUTED_VALUE"""),"Porcentaje")</f>
        <v>Porcentaje</v>
      </c>
      <c r="C40" s="95">
        <f ca="1">IFERROR(__xludf.DUMMYFUNCTION("""COMPUTED_VALUE"""),640)</f>
        <v>640</v>
      </c>
    </row>
    <row r="41" spans="1:3">
      <c r="A41" s="94" t="str">
        <f ca="1">IFERROR(__xludf.DUMMYFUNCTION("""COMPUTED_VALUE"""),"2.1.1.3")</f>
        <v>2.1.1.3</v>
      </c>
      <c r="B41" s="94" t="str">
        <f ca="1">IFERROR(__xludf.DUMMYFUNCTION("""COMPUTED_VALUE"""),"Porcentaje")</f>
        <v>Porcentaje</v>
      </c>
      <c r="C41" s="95">
        <f ca="1">IFERROR(__xludf.DUMMYFUNCTION("""COMPUTED_VALUE"""),5000)</f>
        <v>5000</v>
      </c>
    </row>
    <row r="42" spans="1:3">
      <c r="A42" s="94" t="str">
        <f ca="1">IFERROR(__xludf.DUMMYFUNCTION("""COMPUTED_VALUE"""),"2.1.1.4")</f>
        <v>2.1.1.4</v>
      </c>
      <c r="B42" s="94" t="str">
        <f ca="1">IFERROR(__xludf.DUMMYFUNCTION("""COMPUTED_VALUE"""),"Porcentaje")</f>
        <v>Porcentaje</v>
      </c>
      <c r="C42" s="95">
        <f ca="1">IFERROR(__xludf.DUMMYFUNCTION("""COMPUTED_VALUE"""),8791)</f>
        <v>8791</v>
      </c>
    </row>
    <row r="43" spans="1:3">
      <c r="A43" s="94" t="str">
        <f ca="1">IFERROR(__xludf.DUMMYFUNCTION("""COMPUTED_VALUE"""),"2.1.1.5")</f>
        <v>2.1.1.5</v>
      </c>
      <c r="B43" s="94" t="str">
        <f ca="1">IFERROR(__xludf.DUMMYFUNCTION("""COMPUTED_VALUE"""),"Porcentaje")</f>
        <v>Porcentaje</v>
      </c>
      <c r="C43" s="95">
        <f ca="1">IFERROR(__xludf.DUMMYFUNCTION("""COMPUTED_VALUE"""),1190350)</f>
        <v>1190350</v>
      </c>
    </row>
    <row r="44" spans="1:3">
      <c r="A44" s="94" t="str">
        <f ca="1">IFERROR(__xludf.DUMMYFUNCTION("""COMPUTED_VALUE"""),"2.1.1.6")</f>
        <v>2.1.1.6</v>
      </c>
      <c r="B44" s="94" t="str">
        <f ca="1">IFERROR(__xludf.DUMMYFUNCTION("""COMPUTED_VALUE"""),"Porcentaje")</f>
        <v>Porcentaje</v>
      </c>
      <c r="C44" s="95">
        <f ca="1">IFERROR(__xludf.DUMMYFUNCTION("""COMPUTED_VALUE"""),26292)</f>
        <v>26292</v>
      </c>
    </row>
    <row r="45" spans="1:3">
      <c r="A45" s="94" t="str">
        <f ca="1">IFERROR(__xludf.DUMMYFUNCTION("""COMPUTED_VALUE"""),"2.1.1.7")</f>
        <v>2.1.1.7</v>
      </c>
      <c r="B45" s="94" t="str">
        <f ca="1">IFERROR(__xludf.DUMMYFUNCTION("""COMPUTED_VALUE"""),"Porcentaje")</f>
        <v>Porcentaje</v>
      </c>
      <c r="C45" s="95">
        <f ca="1">IFERROR(__xludf.DUMMYFUNCTION("""COMPUTED_VALUE"""),4020)</f>
        <v>4020</v>
      </c>
    </row>
    <row r="46" spans="1:3">
      <c r="A46" s="94" t="str">
        <f ca="1">IFERROR(__xludf.DUMMYFUNCTION("""COMPUTED_VALUE"""),"2.1.1.8")</f>
        <v>2.1.1.8</v>
      </c>
      <c r="B46" s="94" t="str">
        <f ca="1">IFERROR(__xludf.DUMMYFUNCTION("""COMPUTED_VALUE"""),"Porcentaje")</f>
        <v>Porcentaje</v>
      </c>
      <c r="C46" s="95">
        <f ca="1">IFERROR(__xludf.DUMMYFUNCTION("""COMPUTED_VALUE"""),6000)</f>
        <v>6000</v>
      </c>
    </row>
    <row r="47" spans="1:3">
      <c r="A47" s="94" t="str">
        <f ca="1">IFERROR(__xludf.DUMMYFUNCTION("""COMPUTED_VALUE"""),"2.1.1.9")</f>
        <v>2.1.1.9</v>
      </c>
      <c r="B47" s="94" t="str">
        <f ca="1">IFERROR(__xludf.DUMMYFUNCTION("""COMPUTED_VALUE"""),"Promedio")</f>
        <v>Promedio</v>
      </c>
      <c r="C47" s="95">
        <f ca="1">IFERROR(__xludf.DUMMYFUNCTION("""COMPUTED_VALUE"""),2550)</f>
        <v>2550</v>
      </c>
    </row>
    <row r="48" spans="1:3">
      <c r="A48" s="94" t="str">
        <f ca="1">IFERROR(__xludf.DUMMYFUNCTION("""COMPUTED_VALUE"""),"2.1.1.10")</f>
        <v>2.1.1.10</v>
      </c>
      <c r="B48" s="94" t="str">
        <f ca="1">IFERROR(__xludf.DUMMYFUNCTION("""COMPUTED_VALUE"""),"Porcentaje")</f>
        <v>Porcentaje</v>
      </c>
      <c r="C48" s="95">
        <f ca="1">IFERROR(__xludf.DUMMYFUNCTION("""COMPUTED_VALUE"""),15000)</f>
        <v>15000</v>
      </c>
    </row>
    <row r="49" spans="1:3">
      <c r="A49" s="94" t="str">
        <f ca="1">IFERROR(__xludf.DUMMYFUNCTION("""COMPUTED_VALUE"""),"2.1.1.11")</f>
        <v>2.1.1.11</v>
      </c>
      <c r="B49" s="94" t="str">
        <f ca="1">IFERROR(__xludf.DUMMYFUNCTION("""COMPUTED_VALUE"""),"Porcentaje")</f>
        <v>Porcentaje</v>
      </c>
      <c r="C49" s="95">
        <f ca="1">IFERROR(__xludf.DUMMYFUNCTION("""COMPUTED_VALUE"""),29000)</f>
        <v>29000</v>
      </c>
    </row>
    <row r="50" spans="1:3">
      <c r="A50" s="94" t="str">
        <f ca="1">IFERROR(__xludf.DUMMYFUNCTION("""COMPUTED_VALUE"""),"2.1.1.12")</f>
        <v>2.1.1.12</v>
      </c>
      <c r="B50" s="94" t="str">
        <f ca="1">IFERROR(__xludf.DUMMYFUNCTION("""COMPUTED_VALUE"""),"Promedio")</f>
        <v>Promedio</v>
      </c>
      <c r="C50" s="95">
        <f ca="1">IFERROR(__xludf.DUMMYFUNCTION("""COMPUTED_VALUE"""),1500)</f>
        <v>1500</v>
      </c>
    </row>
    <row r="51" spans="1:3">
      <c r="A51" s="94" t="str">
        <f ca="1">IFERROR(__xludf.DUMMYFUNCTION("""COMPUTED_VALUE"""),"2.1.1.13")</f>
        <v>2.1.1.13</v>
      </c>
      <c r="B51" s="94" t="str">
        <f ca="1">IFERROR(__xludf.DUMMYFUNCTION("""COMPUTED_VALUE"""),"Porcentaje")</f>
        <v>Porcentaje</v>
      </c>
      <c r="C51" s="95">
        <f ca="1">IFERROR(__xludf.DUMMYFUNCTION("""COMPUTED_VALUE"""),224400)</f>
        <v>224400</v>
      </c>
    </row>
    <row r="52" spans="1:3">
      <c r="A52" s="94" t="str">
        <f ca="1">IFERROR(__xludf.DUMMYFUNCTION("""COMPUTED_VALUE"""),"2.1.1.14")</f>
        <v>2.1.1.14</v>
      </c>
      <c r="B52" s="94" t="str">
        <f ca="1">IFERROR(__xludf.DUMMYFUNCTION("""COMPUTED_VALUE"""),"Promedio")</f>
        <v>Promedio</v>
      </c>
      <c r="C52" s="95">
        <f ca="1">IFERROR(__xludf.DUMMYFUNCTION("""COMPUTED_VALUE"""),4500)</f>
        <v>4500</v>
      </c>
    </row>
    <row r="53" spans="1:3">
      <c r="A53" s="94" t="str">
        <f ca="1">IFERROR(__xludf.DUMMYFUNCTION("""COMPUTED_VALUE"""),"2.1.1.15")</f>
        <v>2.1.1.15</v>
      </c>
      <c r="B53" s="94" t="str">
        <f ca="1">IFERROR(__xludf.DUMMYFUNCTION("""COMPUTED_VALUE"""),"Promedio")</f>
        <v>Promedio</v>
      </c>
      <c r="C53" s="95">
        <f ca="1">IFERROR(__xludf.DUMMYFUNCTION("""COMPUTED_VALUE"""),780)</f>
        <v>780</v>
      </c>
    </row>
    <row r="54" spans="1:3">
      <c r="A54" s="94" t="str">
        <f ca="1">IFERROR(__xludf.DUMMYFUNCTION("""COMPUTED_VALUE"""),"2.1.1.16")</f>
        <v>2.1.1.16</v>
      </c>
      <c r="B54" s="94" t="str">
        <f ca="1">IFERROR(__xludf.DUMMYFUNCTION("""COMPUTED_VALUE"""),"Porcentaje")</f>
        <v>Porcentaje</v>
      </c>
      <c r="C54" s="95">
        <f ca="1">IFERROR(__xludf.DUMMYFUNCTION("""COMPUTED_VALUE"""),2030)</f>
        <v>2030</v>
      </c>
    </row>
    <row r="55" spans="1:3">
      <c r="A55" s="94" t="str">
        <f ca="1">IFERROR(__xludf.DUMMYFUNCTION("""COMPUTED_VALUE"""),"2.1.1.17")</f>
        <v>2.1.1.17</v>
      </c>
      <c r="B55" s="94" t="str">
        <f ca="1">IFERROR(__xludf.DUMMYFUNCTION("""COMPUTED_VALUE"""),"Porcentaje")</f>
        <v>Porcentaje</v>
      </c>
      <c r="C55" s="95">
        <f ca="1">IFERROR(__xludf.DUMMYFUNCTION("""COMPUTED_VALUE"""),1188)</f>
        <v>1188</v>
      </c>
    </row>
    <row r="56" spans="1:3">
      <c r="A56" s="94" t="str">
        <f ca="1">IFERROR(__xludf.DUMMYFUNCTION("""COMPUTED_VALUE"""),"2.1.2.0")</f>
        <v>2.1.2.0</v>
      </c>
      <c r="B56" s="94" t="str">
        <f ca="1">IFERROR(__xludf.DUMMYFUNCTION("""COMPUTED_VALUE"""),"Porcentaje")</f>
        <v>Porcentaje</v>
      </c>
      <c r="C56" s="95">
        <f ca="1">IFERROR(__xludf.DUMMYFUNCTION("""COMPUTED_VALUE"""),5000)</f>
        <v>5000</v>
      </c>
    </row>
    <row r="57" spans="1:3">
      <c r="A57" s="94" t="str">
        <f ca="1">IFERROR(__xludf.DUMMYFUNCTION("""COMPUTED_VALUE"""),"2.1.2.1")</f>
        <v>2.1.2.1</v>
      </c>
      <c r="B57" s="94" t="str">
        <f ca="1">IFERROR(__xludf.DUMMYFUNCTION("""COMPUTED_VALUE"""),"Porcentaje")</f>
        <v>Porcentaje</v>
      </c>
      <c r="C57" s="95">
        <f ca="1">IFERROR(__xludf.DUMMYFUNCTION("""COMPUTED_VALUE"""),7)</f>
        <v>7</v>
      </c>
    </row>
    <row r="58" spans="1:3">
      <c r="A58" s="94" t="str">
        <f ca="1">IFERROR(__xludf.DUMMYFUNCTION("""COMPUTED_VALUE"""),"2.1.3.0")</f>
        <v>2.1.3.0</v>
      </c>
      <c r="B58" s="94" t="str">
        <f ca="1">IFERROR(__xludf.DUMMYFUNCTION("""COMPUTED_VALUE"""),"Porcentaje")</f>
        <v>Porcentaje</v>
      </c>
      <c r="C58" s="95">
        <f ca="1">IFERROR(__xludf.DUMMYFUNCTION("""COMPUTED_VALUE"""),1100)</f>
        <v>1100</v>
      </c>
    </row>
    <row r="59" spans="1:3">
      <c r="A59" s="94" t="str">
        <f ca="1">IFERROR(__xludf.DUMMYFUNCTION("""COMPUTED_VALUE"""),"2.1.3.1")</f>
        <v>2.1.3.1</v>
      </c>
      <c r="B59" s="94" t="str">
        <f ca="1">IFERROR(__xludf.DUMMYFUNCTION("""COMPUTED_VALUE"""),"Porcentaje")</f>
        <v>Porcentaje</v>
      </c>
      <c r="C59" s="95">
        <f ca="1">IFERROR(__xludf.DUMMYFUNCTION("""COMPUTED_VALUE"""),700)</f>
        <v>700</v>
      </c>
    </row>
    <row r="60" spans="1:3">
      <c r="A60" s="94" t="str">
        <f ca="1">IFERROR(__xludf.DUMMYFUNCTION("""COMPUTED_VALUE"""),"2.1.3.2")</f>
        <v>2.1.3.2</v>
      </c>
      <c r="B60" s="94" t="str">
        <f ca="1">IFERROR(__xludf.DUMMYFUNCTION("""COMPUTED_VALUE"""),"Porcentaje")</f>
        <v>Porcentaje</v>
      </c>
      <c r="C60" s="95">
        <f ca="1">IFERROR(__xludf.DUMMYFUNCTION("""COMPUTED_VALUE"""),400)</f>
        <v>400</v>
      </c>
    </row>
    <row r="61" spans="1:3">
      <c r="A61" s="94" t="str">
        <f ca="1">IFERROR(__xludf.DUMMYFUNCTION("""COMPUTED_VALUE"""),"2.1.4.0")</f>
        <v>2.1.4.0</v>
      </c>
      <c r="B61" s="94" t="str">
        <f ca="1">IFERROR(__xludf.DUMMYFUNCTION("""COMPUTED_VALUE"""),"Porcentaje")</f>
        <v>Porcentaje</v>
      </c>
      <c r="C61" s="95">
        <f ca="1">IFERROR(__xludf.DUMMYFUNCTION("""COMPUTED_VALUE"""),12)</f>
        <v>12</v>
      </c>
    </row>
    <row r="62" spans="1:3">
      <c r="A62" s="94" t="str">
        <f ca="1">IFERROR(__xludf.DUMMYFUNCTION("""COMPUTED_VALUE"""),"2.1.4.1")</f>
        <v>2.1.4.1</v>
      </c>
      <c r="B62" s="94" t="str">
        <f ca="1">IFERROR(__xludf.DUMMYFUNCTION("""COMPUTED_VALUE"""),"Promedio")</f>
        <v>Promedio</v>
      </c>
      <c r="C62" s="95">
        <f ca="1">IFERROR(__xludf.DUMMYFUNCTION("""COMPUTED_VALUE"""),330)</f>
        <v>330</v>
      </c>
    </row>
    <row r="63" spans="1:3">
      <c r="A63" s="94" t="str">
        <f ca="1">IFERROR(__xludf.DUMMYFUNCTION("""COMPUTED_VALUE"""),"2.1.4.2")</f>
        <v>2.1.4.2</v>
      </c>
      <c r="B63" s="94" t="str">
        <f ca="1">IFERROR(__xludf.DUMMYFUNCTION("""COMPUTED_VALUE"""),"Porcentaje")</f>
        <v>Porcentaje</v>
      </c>
      <c r="C63" s="95">
        <f ca="1">IFERROR(__xludf.DUMMYFUNCTION("""COMPUTED_VALUE"""),1800)</f>
        <v>1800</v>
      </c>
    </row>
    <row r="64" spans="1:3">
      <c r="A64" s="94" t="str">
        <f ca="1">IFERROR(__xludf.DUMMYFUNCTION("""COMPUTED_VALUE"""),"3.0.0.0")</f>
        <v>3.0.0.0</v>
      </c>
      <c r="B64" s="94" t="str">
        <f ca="1">IFERROR(__xludf.DUMMYFUNCTION("""COMPUTED_VALUE"""),"Porcentaje")</f>
        <v>Porcentaje</v>
      </c>
      <c r="C64" s="95">
        <f ca="1">IFERROR(__xludf.DUMMYFUNCTION("""COMPUTED_VALUE"""),849)</f>
        <v>849</v>
      </c>
    </row>
    <row r="65" spans="1:3">
      <c r="A65" s="94" t="str">
        <f ca="1">IFERROR(__xludf.DUMMYFUNCTION("""COMPUTED_VALUE"""),"3.1.0.0")</f>
        <v>3.1.0.0</v>
      </c>
      <c r="B65" s="94" t="str">
        <f ca="1">IFERROR(__xludf.DUMMYFUNCTION("""COMPUTED_VALUE"""),"Porcentaje")</f>
        <v>Porcentaje</v>
      </c>
      <c r="C65" s="95">
        <f ca="1">IFERROR(__xludf.DUMMYFUNCTION("""COMPUTED_VALUE"""),104445)</f>
        <v>104445</v>
      </c>
    </row>
    <row r="66" spans="1:3">
      <c r="A66" s="94" t="str">
        <f ca="1">IFERROR(__xludf.DUMMYFUNCTION("""COMPUTED_VALUE"""),"3.1.1.0")</f>
        <v>3.1.1.0</v>
      </c>
      <c r="B66" s="94" t="str">
        <f ca="1">IFERROR(__xludf.DUMMYFUNCTION("""COMPUTED_VALUE"""),"Porcentaje")</f>
        <v>Porcentaje</v>
      </c>
      <c r="C66" s="95">
        <f ca="1">IFERROR(__xludf.DUMMYFUNCTION("""COMPUTED_VALUE"""),30)</f>
        <v>30</v>
      </c>
    </row>
    <row r="67" spans="1:3">
      <c r="A67" s="94" t="str">
        <f ca="1">IFERROR(__xludf.DUMMYFUNCTION("""COMPUTED_VALUE"""),"3.1.1.1")</f>
        <v>3.1.1.1</v>
      </c>
      <c r="B67" s="94" t="str">
        <f ca="1">IFERROR(__xludf.DUMMYFUNCTION("""COMPUTED_VALUE"""),"Porcentaje")</f>
        <v>Porcentaje</v>
      </c>
      <c r="C67" s="95">
        <f ca="1">IFERROR(__xludf.DUMMYFUNCTION("""COMPUTED_VALUE"""),1000)</f>
        <v>1000</v>
      </c>
    </row>
    <row r="68" spans="1:3">
      <c r="A68" s="94" t="str">
        <f ca="1">IFERROR(__xludf.DUMMYFUNCTION("""COMPUTED_VALUE"""),"3.1.2.0")</f>
        <v>3.1.2.0</v>
      </c>
      <c r="B68" s="94" t="str">
        <f ca="1">IFERROR(__xludf.DUMMYFUNCTION("""COMPUTED_VALUE"""),"Promedio")</f>
        <v>Promedio</v>
      </c>
      <c r="C68" s="95">
        <f ca="1">IFERROR(__xludf.DUMMYFUNCTION("""COMPUTED_VALUE"""),213)</f>
        <v>213</v>
      </c>
    </row>
    <row r="69" spans="1:3">
      <c r="A69" s="94" t="str">
        <f ca="1">IFERROR(__xludf.DUMMYFUNCTION("""COMPUTED_VALUE"""),"3.1.2.1")</f>
        <v>3.1.2.1</v>
      </c>
      <c r="B69" s="94" t="str">
        <f ca="1">IFERROR(__xludf.DUMMYFUNCTION("""COMPUTED_VALUE"""),"Porcentaje")</f>
        <v>Porcentaje</v>
      </c>
      <c r="C69" s="95">
        <f ca="1">IFERROR(__xludf.DUMMYFUNCTION("""COMPUTED_VALUE"""),25)</f>
        <v>25</v>
      </c>
    </row>
    <row r="70" spans="1:3">
      <c r="A70" s="94" t="str">
        <f ca="1">IFERROR(__xludf.DUMMYFUNCTION("""COMPUTED_VALUE"""),"3.1.3.0")</f>
        <v>3.1.3.0</v>
      </c>
      <c r="B70" s="94" t="str">
        <f ca="1">IFERROR(__xludf.DUMMYFUNCTION("""COMPUTED_VALUE"""),"Porcentaje")</f>
        <v>Porcentaje</v>
      </c>
      <c r="C70" s="95">
        <f ca="1">IFERROR(__xludf.DUMMYFUNCTION("""COMPUTED_VALUE"""),103420)</f>
        <v>103420</v>
      </c>
    </row>
    <row r="71" spans="1:3">
      <c r="A71" s="94" t="str">
        <f ca="1">IFERROR(__xludf.DUMMYFUNCTION("""COMPUTED_VALUE"""),"3.1.3.1")</f>
        <v>3.1.3.1</v>
      </c>
      <c r="B71" s="94" t="str">
        <f ca="1">IFERROR(__xludf.DUMMYFUNCTION("""COMPUTED_VALUE"""),"Porcentaje")</f>
        <v>Porcentaje</v>
      </c>
      <c r="C71" s="95">
        <f ca="1">IFERROR(__xludf.DUMMYFUNCTION("""COMPUTED_VALUE"""),1320)</f>
        <v>1320</v>
      </c>
    </row>
    <row r="72" spans="1:3">
      <c r="A72" s="94" t="str">
        <f ca="1">IFERROR(__xludf.DUMMYFUNCTION("""COMPUTED_VALUE"""),"3.1.3.2")</f>
        <v>3.1.3.2</v>
      </c>
      <c r="B72" s="94" t="str">
        <f ca="1">IFERROR(__xludf.DUMMYFUNCTION("""COMPUTED_VALUE"""),"Porcentaje")</f>
        <v>Porcentaje</v>
      </c>
      <c r="C72" s="95">
        <f ca="1">IFERROR(__xludf.DUMMYFUNCTION("""COMPUTED_VALUE"""),900)</f>
        <v>900</v>
      </c>
    </row>
    <row r="73" spans="1:3">
      <c r="A73" s="94" t="str">
        <f ca="1">IFERROR(__xludf.DUMMYFUNCTION("""COMPUTED_VALUE"""),"3.1.3.3")</f>
        <v>3.1.3.3</v>
      </c>
      <c r="B73" s="94" t="str">
        <f ca="1">IFERROR(__xludf.DUMMYFUNCTION("""COMPUTED_VALUE"""),"Porcentaje")</f>
        <v>Porcentaje</v>
      </c>
      <c r="C73" s="95">
        <f ca="1">IFERROR(__xludf.DUMMYFUNCTION("""COMPUTED_VALUE"""),100000)</f>
        <v>100000</v>
      </c>
    </row>
    <row r="74" spans="1:3">
      <c r="A74" s="94" t="str">
        <f ca="1">IFERROR(__xludf.DUMMYFUNCTION("""COMPUTED_VALUE"""),"3.1.3.4")</f>
        <v>3.1.3.4</v>
      </c>
      <c r="B74" s="94" t="str">
        <f ca="1">IFERROR(__xludf.DUMMYFUNCTION("""COMPUTED_VALUE"""),"Porcentaje")</f>
        <v>Porcentaje</v>
      </c>
      <c r="C74" s="95">
        <f ca="1">IFERROR(__xludf.DUMMYFUNCTION("""COMPUTED_VALUE"""),1200)</f>
        <v>1200</v>
      </c>
    </row>
    <row r="75" spans="1:3">
      <c r="A75" s="94" t="str">
        <f ca="1">IFERROR(__xludf.DUMMYFUNCTION("""COMPUTED_VALUE"""),"3.1.3.5")</f>
        <v>3.1.3.5</v>
      </c>
      <c r="B75" s="94" t="str">
        <f ca="1">IFERROR(__xludf.DUMMYFUNCTION("""COMPUTED_VALUE"""),"Porcentaje")</f>
        <v>Porcentaje</v>
      </c>
      <c r="C75" s="95">
        <f ca="1">IFERROR(__xludf.DUMMYFUNCTION("""COMPUTED_VALUE"""),748)</f>
        <v>748</v>
      </c>
    </row>
    <row r="76" spans="1:3">
      <c r="A76" s="94" t="str">
        <f ca="1">IFERROR(__xludf.DUMMYFUNCTION("""COMPUTED_VALUE"""),"4.0.0.0")</f>
        <v>4.0.0.0</v>
      </c>
      <c r="B76" s="94" t="str">
        <f ca="1">IFERROR(__xludf.DUMMYFUNCTION("""COMPUTED_VALUE"""),"Porcentaje")</f>
        <v>Porcentaje</v>
      </c>
      <c r="C76" s="95">
        <f ca="1">IFERROR(__xludf.DUMMYFUNCTION("""COMPUTED_VALUE"""),16580)</f>
        <v>16580</v>
      </c>
    </row>
    <row r="77" spans="1:3">
      <c r="A77" s="94" t="str">
        <f ca="1">IFERROR(__xludf.DUMMYFUNCTION("""COMPUTED_VALUE"""),"4.1.0.0")</f>
        <v>4.1.0.0</v>
      </c>
      <c r="B77" s="94" t="str">
        <f ca="1">IFERROR(__xludf.DUMMYFUNCTION("""COMPUTED_VALUE"""),"Porcentaje")</f>
        <v>Porcentaje</v>
      </c>
      <c r="C77" s="95">
        <f ca="1">IFERROR(__xludf.DUMMYFUNCTION("""COMPUTED_VALUE"""),9420)</f>
        <v>9420</v>
      </c>
    </row>
    <row r="78" spans="1:3">
      <c r="A78" s="94" t="str">
        <f ca="1">IFERROR(__xludf.DUMMYFUNCTION("""COMPUTED_VALUE"""),"4.1.1.0")</f>
        <v>4.1.1.0</v>
      </c>
      <c r="B78" s="94" t="str">
        <f ca="1">IFERROR(__xludf.DUMMYFUNCTION("""COMPUTED_VALUE"""),"Porcentaje")</f>
        <v>Porcentaje</v>
      </c>
      <c r="C78" s="95">
        <f ca="1">IFERROR(__xludf.DUMMYFUNCTION("""COMPUTED_VALUE"""),5600)</f>
        <v>5600</v>
      </c>
    </row>
    <row r="79" spans="1:3">
      <c r="A79" s="94" t="str">
        <f ca="1">IFERROR(__xludf.DUMMYFUNCTION("""COMPUTED_VALUE"""),"4.1.1.1")</f>
        <v>4.1.1.1</v>
      </c>
      <c r="B79" s="94" t="str">
        <f ca="1">IFERROR(__xludf.DUMMYFUNCTION("""COMPUTED_VALUE"""),"Porcentaje")</f>
        <v>Porcentaje</v>
      </c>
      <c r="C79" s="95">
        <f ca="1">IFERROR(__xludf.DUMMYFUNCTION("""COMPUTED_VALUE"""),4000)</f>
        <v>4000</v>
      </c>
    </row>
    <row r="80" spans="1:3">
      <c r="A80" s="94" t="str">
        <f ca="1">IFERROR(__xludf.DUMMYFUNCTION("""COMPUTED_VALUE"""),"4.1.1.2")</f>
        <v>4.1.1.2</v>
      </c>
      <c r="B80" s="94" t="str">
        <f ca="1">IFERROR(__xludf.DUMMYFUNCTION("""COMPUTED_VALUE"""),"Porcentaje")</f>
        <v>Porcentaje</v>
      </c>
      <c r="C80" s="95">
        <f ca="1">IFERROR(__xludf.DUMMYFUNCTION("""COMPUTED_VALUE"""),1600)</f>
        <v>1600</v>
      </c>
    </row>
    <row r="81" spans="1:3">
      <c r="A81" s="94" t="str">
        <f ca="1">IFERROR(__xludf.DUMMYFUNCTION("""COMPUTED_VALUE"""),"4.1.2.0")</f>
        <v>4.1.2.0</v>
      </c>
      <c r="B81" s="94" t="str">
        <f ca="1">IFERROR(__xludf.DUMMYFUNCTION("""COMPUTED_VALUE"""),"Porcentaje")</f>
        <v>Porcentaje</v>
      </c>
      <c r="C81" s="95">
        <f ca="1">IFERROR(__xludf.DUMMYFUNCTION("""COMPUTED_VALUE"""),8580)</f>
        <v>8580</v>
      </c>
    </row>
    <row r="82" spans="1:3">
      <c r="A82" s="94" t="str">
        <f ca="1">IFERROR(__xludf.DUMMYFUNCTION("""COMPUTED_VALUE"""),"4.1.2.1")</f>
        <v>4.1.2.1</v>
      </c>
      <c r="B82" s="94" t="str">
        <f ca="1">IFERROR(__xludf.DUMMYFUNCTION("""COMPUTED_VALUE"""),"Porcentaje")</f>
        <v>Porcentaje</v>
      </c>
      <c r="C82" s="95">
        <f ca="1">IFERROR(__xludf.DUMMYFUNCTION("""COMPUTED_VALUE"""),3000)</f>
        <v>3000</v>
      </c>
    </row>
    <row r="83" spans="1:3">
      <c r="A83" s="94" t="str">
        <f ca="1">IFERROR(__xludf.DUMMYFUNCTION("""COMPUTED_VALUE"""),"4.1.2.2")</f>
        <v>4.1.2.2</v>
      </c>
      <c r="B83" s="94" t="str">
        <f ca="1">IFERROR(__xludf.DUMMYFUNCTION("""COMPUTED_VALUE"""),"Porcentaje")</f>
        <v>Porcentaje</v>
      </c>
      <c r="C83" s="95">
        <f ca="1">IFERROR(__xludf.DUMMYFUNCTION("""COMPUTED_VALUE"""),5500)</f>
        <v>5500</v>
      </c>
    </row>
    <row r="84" spans="1:3">
      <c r="A84" s="94" t="str">
        <f ca="1">IFERROR(__xludf.DUMMYFUNCTION("""COMPUTED_VALUE"""),"4.1.2.3")</f>
        <v>4.1.2.3</v>
      </c>
      <c r="B84" s="94" t="str">
        <f ca="1">IFERROR(__xludf.DUMMYFUNCTION("""COMPUTED_VALUE"""),"Porcentaje")</f>
        <v>Porcentaje</v>
      </c>
      <c r="C84" s="95">
        <f ca="1">IFERROR(__xludf.DUMMYFUNCTION("""COMPUTED_VALUE"""),80)</f>
        <v>80</v>
      </c>
    </row>
    <row r="85" spans="1:3">
      <c r="A85" s="94" t="str">
        <f ca="1">IFERROR(__xludf.DUMMYFUNCTION("""COMPUTED_VALUE"""),"4.1.3.0")</f>
        <v>4.1.3.0</v>
      </c>
      <c r="B85" s="94" t="str">
        <f ca="1">IFERROR(__xludf.DUMMYFUNCTION("""COMPUTED_VALUE"""),"Porcentaje")</f>
        <v>Porcentaje</v>
      </c>
      <c r="C85" s="95">
        <f ca="1">IFERROR(__xludf.DUMMYFUNCTION("""COMPUTED_VALUE"""),1400)</f>
        <v>1400</v>
      </c>
    </row>
    <row r="86" spans="1:3">
      <c r="A86" s="94" t="str">
        <f ca="1">IFERROR(__xludf.DUMMYFUNCTION("""COMPUTED_VALUE"""),"4.1.3.1")</f>
        <v>4.1.3.1</v>
      </c>
      <c r="B86" s="94" t="str">
        <f ca="1">IFERROR(__xludf.DUMMYFUNCTION("""COMPUTED_VALUE"""),"Porcentaje")</f>
        <v>Porcentaje</v>
      </c>
      <c r="C86" s="95">
        <f ca="1">IFERROR(__xludf.DUMMYFUNCTION("""COMPUTED_VALUE"""),200)</f>
        <v>200</v>
      </c>
    </row>
    <row r="87" spans="1:3">
      <c r="A87" s="94" t="str">
        <f ca="1">IFERROR(__xludf.DUMMYFUNCTION("""COMPUTED_VALUE"""),"4.1.3.2")</f>
        <v>4.1.3.2</v>
      </c>
      <c r="B87" s="94" t="str">
        <f ca="1">IFERROR(__xludf.DUMMYFUNCTION("""COMPUTED_VALUE"""),"Porcentaje")</f>
        <v>Porcentaje</v>
      </c>
      <c r="C87" s="95">
        <f ca="1">IFERROR(__xludf.DUMMYFUNCTION("""COMPUTED_VALUE"""),1265)</f>
        <v>1265</v>
      </c>
    </row>
    <row r="88" spans="1:3">
      <c r="A88" s="94" t="str">
        <f ca="1">IFERROR(__xludf.DUMMYFUNCTION("""COMPUTED_VALUE"""),"4.1.3.3")</f>
        <v>4.1.3.3</v>
      </c>
      <c r="B88" s="94" t="str">
        <f ca="1">IFERROR(__xludf.DUMMYFUNCTION("""COMPUTED_VALUE"""),"Porcentaje")</f>
        <v>Porcentaje</v>
      </c>
      <c r="C88" s="95">
        <f ca="1">IFERROR(__xludf.DUMMYFUNCTION("""COMPUTED_VALUE"""),120)</f>
        <v>120</v>
      </c>
    </row>
    <row r="89" spans="1:3">
      <c r="A89" s="94" t="str">
        <f ca="1">IFERROR(__xludf.DUMMYFUNCTION("""COMPUTED_VALUE"""),"4.1.3.4")</f>
        <v>4.1.3.4</v>
      </c>
      <c r="B89" s="94" t="str">
        <f ca="1">IFERROR(__xludf.DUMMYFUNCTION("""COMPUTED_VALUE"""),"Porcentaje")</f>
        <v>Porcentaje</v>
      </c>
      <c r="C89" s="95">
        <f ca="1">IFERROR(__xludf.DUMMYFUNCTION("""COMPUTED_VALUE"""),120)</f>
        <v>120</v>
      </c>
    </row>
    <row r="90" spans="1:3">
      <c r="A90" s="94" t="str">
        <f ca="1">IFERROR(__xludf.DUMMYFUNCTION("""COMPUTED_VALUE"""),"4.1.3.5")</f>
        <v>4.1.3.5</v>
      </c>
      <c r="B90" s="94" t="str">
        <f ca="1">IFERROR(__xludf.DUMMYFUNCTION("""COMPUTED_VALUE"""),"Porcentaje")</f>
        <v>Porcentaje</v>
      </c>
      <c r="C90" s="95">
        <f ca="1">IFERROR(__xludf.DUMMYFUNCTION("""COMPUTED_VALUE"""),700)</f>
        <v>700</v>
      </c>
    </row>
    <row r="91" spans="1:3">
      <c r="A91" s="94" t="str">
        <f ca="1">IFERROR(__xludf.DUMMYFUNCTION("""COMPUTED_VALUE"""),"5.0.0.0")</f>
        <v>5.0.0.0</v>
      </c>
      <c r="B91" s="94" t="str">
        <f ca="1">IFERROR(__xludf.DUMMYFUNCTION("""COMPUTED_VALUE"""),"Porcentaje")</f>
        <v>Porcentaje</v>
      </c>
      <c r="C91" s="95">
        <f ca="1">IFERROR(__xludf.DUMMYFUNCTION("""COMPUTED_VALUE"""),1700)</f>
        <v>1700</v>
      </c>
    </row>
    <row r="92" spans="1:3">
      <c r="A92" s="94" t="str">
        <f ca="1">IFERROR(__xludf.DUMMYFUNCTION("""COMPUTED_VALUE"""),"5.1.0.0")</f>
        <v>5.1.0.0</v>
      </c>
      <c r="B92" s="94" t="str">
        <f ca="1">IFERROR(__xludf.DUMMYFUNCTION("""COMPUTED_VALUE"""),"Porcentaje")</f>
        <v>Porcentaje</v>
      </c>
      <c r="C92" s="95">
        <f ca="1">IFERROR(__xludf.DUMMYFUNCTION("""COMPUTED_VALUE"""),45300)</f>
        <v>45300</v>
      </c>
    </row>
    <row r="93" spans="1:3">
      <c r="A93" s="94" t="str">
        <f ca="1">IFERROR(__xludf.DUMMYFUNCTION("""COMPUTED_VALUE"""),"5.1.1.0")</f>
        <v>5.1.1.0</v>
      </c>
      <c r="B93" s="94" t="str">
        <f ca="1">IFERROR(__xludf.DUMMYFUNCTION("""COMPUTED_VALUE"""),"Porcentaje")</f>
        <v>Porcentaje</v>
      </c>
      <c r="C93" s="95">
        <f ca="1">IFERROR(__xludf.DUMMYFUNCTION("""COMPUTED_VALUE"""),360)</f>
        <v>360</v>
      </c>
    </row>
    <row r="94" spans="1:3">
      <c r="A94" s="94" t="str">
        <f ca="1">IFERROR(__xludf.DUMMYFUNCTION("""COMPUTED_VALUE"""),"5.1.1.1")</f>
        <v>5.1.1.1</v>
      </c>
      <c r="B94" s="94" t="str">
        <f ca="1">IFERROR(__xludf.DUMMYFUNCTION("""COMPUTED_VALUE"""),"Porcentaje")</f>
        <v>Porcentaje</v>
      </c>
      <c r="C94" s="95">
        <f ca="1">IFERROR(__xludf.DUMMYFUNCTION("""COMPUTED_VALUE"""),1500)</f>
        <v>1500</v>
      </c>
    </row>
    <row r="95" spans="1:3">
      <c r="A95" s="94" t="str">
        <f ca="1">IFERROR(__xludf.DUMMYFUNCTION("""COMPUTED_VALUE"""),"5.1.1.2")</f>
        <v>5.1.1.2</v>
      </c>
      <c r="B95" s="94" t="str">
        <f ca="1">IFERROR(__xludf.DUMMYFUNCTION("""COMPUTED_VALUE"""),"Porcentaje")</f>
        <v>Porcentaje</v>
      </c>
      <c r="C95" s="95">
        <f ca="1">IFERROR(__xludf.DUMMYFUNCTION("""COMPUTED_VALUE"""),36500)</f>
        <v>36500</v>
      </c>
    </row>
    <row r="96" spans="1:3">
      <c r="A96" s="94" t="str">
        <f ca="1">IFERROR(__xludf.DUMMYFUNCTION("""COMPUTED_VALUE"""),"5.1.2.0")</f>
        <v>5.1.2.0</v>
      </c>
      <c r="B96" s="94" t="str">
        <f ca="1">IFERROR(__xludf.DUMMYFUNCTION("""COMPUTED_VALUE"""),"Promedio")</f>
        <v>Promedio</v>
      </c>
      <c r="C96" s="95">
        <f ca="1">IFERROR(__xludf.DUMMYFUNCTION("""COMPUTED_VALUE"""),600)</f>
        <v>600</v>
      </c>
    </row>
    <row r="97" spans="1:3">
      <c r="A97" s="94" t="str">
        <f ca="1">IFERROR(__xludf.DUMMYFUNCTION("""COMPUTED_VALUE"""),"5.1.2.1")</f>
        <v>5.1.2.1</v>
      </c>
      <c r="B97" s="94" t="str">
        <f ca="1">IFERROR(__xludf.DUMMYFUNCTION("""COMPUTED_VALUE"""),"Porcentaje")</f>
        <v>Porcentaje</v>
      </c>
      <c r="C97" s="95">
        <f ca="1">IFERROR(__xludf.DUMMYFUNCTION("""COMPUTED_VALUE"""),210)</f>
        <v>210</v>
      </c>
    </row>
    <row r="98" spans="1:3">
      <c r="A98" s="94" t="str">
        <f ca="1">IFERROR(__xludf.DUMMYFUNCTION("""COMPUTED_VALUE"""),"5.1.2.2")</f>
        <v>5.1.2.2</v>
      </c>
      <c r="B98" s="94" t="str">
        <f ca="1">IFERROR(__xludf.DUMMYFUNCTION("""COMPUTED_VALUE"""),"Porcentaje")</f>
        <v>Porcentaje</v>
      </c>
      <c r="C98" s="95">
        <f ca="1">IFERROR(__xludf.DUMMYFUNCTION("""COMPUTED_VALUE"""),8800)</f>
        <v>8800</v>
      </c>
    </row>
    <row r="99" spans="1:3">
      <c r="A99" s="94" t="str">
        <f ca="1">IFERROR(__xludf.DUMMYFUNCTION("""COMPUTED_VALUE"""),"6.0.0.0")</f>
        <v>6.0.0.0</v>
      </c>
      <c r="B99" s="94" t="str">
        <f ca="1">IFERROR(__xludf.DUMMYFUNCTION("""COMPUTED_VALUE"""),"Porcentaje")</f>
        <v>Porcentaje</v>
      </c>
      <c r="C99" s="95">
        <f ca="1">IFERROR(__xludf.DUMMYFUNCTION("""COMPUTED_VALUE"""),10216)</f>
        <v>10216</v>
      </c>
    </row>
    <row r="100" spans="1:3">
      <c r="A100" s="94" t="str">
        <f ca="1">IFERROR(__xludf.DUMMYFUNCTION("""COMPUTED_VALUE"""),"6.1.0.0")</f>
        <v>6.1.0.0</v>
      </c>
      <c r="B100" s="94" t="str">
        <f ca="1">IFERROR(__xludf.DUMMYFUNCTION("""COMPUTED_VALUE"""),"Porcentaje")</f>
        <v>Porcentaje</v>
      </c>
      <c r="C100" s="95">
        <f ca="1">IFERROR(__xludf.DUMMYFUNCTION("""COMPUTED_VALUE"""),36800)</f>
        <v>36800</v>
      </c>
    </row>
    <row r="101" spans="1:3">
      <c r="A101" s="94" t="str">
        <f ca="1">IFERROR(__xludf.DUMMYFUNCTION("""COMPUTED_VALUE"""),"6.1.1.0")</f>
        <v>6.1.1.0</v>
      </c>
      <c r="B101" s="94" t="str">
        <f ca="1">IFERROR(__xludf.DUMMYFUNCTION("""COMPUTED_VALUE"""),"Promedio")</f>
        <v>Promedio</v>
      </c>
      <c r="C101" s="95">
        <f ca="1">IFERROR(__xludf.DUMMYFUNCTION("""COMPUTED_VALUE"""),372)</f>
        <v>372</v>
      </c>
    </row>
    <row r="102" spans="1:3">
      <c r="A102" s="94" t="str">
        <f ca="1">IFERROR(__xludf.DUMMYFUNCTION("""COMPUTED_VALUE"""),"6.1.1.1")</f>
        <v>6.1.1.1</v>
      </c>
      <c r="B102" s="94" t="str">
        <f ca="1">IFERROR(__xludf.DUMMYFUNCTION("""COMPUTED_VALUE"""),"Porcentaje")</f>
        <v>Porcentaje</v>
      </c>
      <c r="C102" s="95">
        <f ca="1">IFERROR(__xludf.DUMMYFUNCTION("""COMPUTED_VALUE"""),810)</f>
        <v>810</v>
      </c>
    </row>
    <row r="103" spans="1:3">
      <c r="A103" s="94" t="str">
        <f ca="1">IFERROR(__xludf.DUMMYFUNCTION("""COMPUTED_VALUE"""),"6.1.1.2")</f>
        <v>6.1.1.2</v>
      </c>
      <c r="B103" s="94" t="str">
        <f ca="1">IFERROR(__xludf.DUMMYFUNCTION("""COMPUTED_VALUE"""),"Porcentaje")</f>
        <v>Porcentaje</v>
      </c>
      <c r="C103" s="95">
        <f ca="1">IFERROR(__xludf.DUMMYFUNCTION("""COMPUTED_VALUE"""),990)</f>
        <v>990</v>
      </c>
    </row>
    <row r="104" spans="1:3">
      <c r="A104" s="94" t="str">
        <f ca="1">IFERROR(__xludf.DUMMYFUNCTION("""COMPUTED_VALUE"""),"6.1.2.0")</f>
        <v>6.1.2.0</v>
      </c>
      <c r="B104" s="94" t="str">
        <f ca="1">IFERROR(__xludf.DUMMYFUNCTION("""COMPUTED_VALUE"""),"Promedio")</f>
        <v>Promedio</v>
      </c>
      <c r="C104" s="95">
        <f ca="1">IFERROR(__xludf.DUMMYFUNCTION("""COMPUTED_VALUE"""),450)</f>
        <v>450</v>
      </c>
    </row>
    <row r="105" spans="1:3">
      <c r="A105" s="94" t="str">
        <f ca="1">IFERROR(__xludf.DUMMYFUNCTION("""COMPUTED_VALUE"""),"6.1.2.1")</f>
        <v>6.1.2.1</v>
      </c>
      <c r="B105" s="94" t="str">
        <f ca="1">IFERROR(__xludf.DUMMYFUNCTION("""COMPUTED_VALUE"""),"Porcentaje")</f>
        <v>Porcentaje</v>
      </c>
      <c r="C105" s="95">
        <f ca="1">IFERROR(__xludf.DUMMYFUNCTION("""COMPUTED_VALUE"""),5600)</f>
        <v>5600</v>
      </c>
    </row>
    <row r="106" spans="1:3">
      <c r="A106" s="94" t="str">
        <f ca="1">IFERROR(__xludf.DUMMYFUNCTION("""COMPUTED_VALUE"""),"6.1.3.0")</f>
        <v>6.1.3.0</v>
      </c>
      <c r="B106" s="94" t="str">
        <f ca="1">IFERROR(__xludf.DUMMYFUNCTION("""COMPUTED_VALUE"""),"Porcentaje")</f>
        <v>Porcentaje</v>
      </c>
      <c r="C106" s="95">
        <f ca="1">IFERROR(__xludf.DUMMYFUNCTION("""COMPUTED_VALUE"""),470)</f>
        <v>470</v>
      </c>
    </row>
    <row r="107" spans="1:3">
      <c r="A107" s="94" t="str">
        <f ca="1">IFERROR(__xludf.DUMMYFUNCTION("""COMPUTED_VALUE"""),"6.1.3.1")</f>
        <v>6.1.3.1</v>
      </c>
      <c r="B107" s="94" t="str">
        <f ca="1">IFERROR(__xludf.DUMMYFUNCTION("""COMPUTED_VALUE"""),"Promedio")</f>
        <v>Promedio</v>
      </c>
      <c r="C107" s="95">
        <f ca="1">IFERROR(__xludf.DUMMYFUNCTION("""COMPUTED_VALUE"""),66)</f>
        <v>66</v>
      </c>
    </row>
    <row r="108" spans="1:3">
      <c r="A108" s="94" t="str">
        <f ca="1">IFERROR(__xludf.DUMMYFUNCTION("""COMPUTED_VALUE"""),"6.1.3.2")</f>
        <v>6.1.3.2</v>
      </c>
      <c r="B108" s="94" t="str">
        <f ca="1">IFERROR(__xludf.DUMMYFUNCTION("""COMPUTED_VALUE"""),"Porcentaje")</f>
        <v>Porcentaje</v>
      </c>
      <c r="C108" s="95">
        <f ca="1">IFERROR(__xludf.DUMMYFUNCTION("""COMPUTED_VALUE"""),15)</f>
        <v>15</v>
      </c>
    </row>
    <row r="109" spans="1:3">
      <c r="A109" s="94" t="str">
        <f ca="1">IFERROR(__xludf.DUMMYFUNCTION("""COMPUTED_VALUE"""),"6.1.3.3")</f>
        <v>6.1.3.3</v>
      </c>
      <c r="B109" s="94" t="str">
        <f ca="1">IFERROR(__xludf.DUMMYFUNCTION("""COMPUTED_VALUE"""),"Porcentaje")</f>
        <v>Porcentaje</v>
      </c>
      <c r="C109" s="95">
        <f ca="1">IFERROR(__xludf.DUMMYFUNCTION("""COMPUTED_VALUE"""),25)</f>
        <v>25</v>
      </c>
    </row>
    <row r="110" spans="1:3">
      <c r="A110" s="94" t="str">
        <f ca="1">IFERROR(__xludf.DUMMYFUNCTION("""COMPUTED_VALUE"""),"6.1.4.0")</f>
        <v>6.1.4.0</v>
      </c>
      <c r="B110" s="94" t="str">
        <f ca="1">IFERROR(__xludf.DUMMYFUNCTION("""COMPUTED_VALUE"""),"Promedio")</f>
        <v>Promedio</v>
      </c>
      <c r="C110" s="95">
        <f ca="1">IFERROR(__xludf.DUMMYFUNCTION("""COMPUTED_VALUE"""),6000)</f>
        <v>6000</v>
      </c>
    </row>
    <row r="111" spans="1:3">
      <c r="A111" s="94" t="str">
        <f ca="1">IFERROR(__xludf.DUMMYFUNCTION("""COMPUTED_VALUE"""),"6.1.4.1")</f>
        <v>6.1.4.1</v>
      </c>
      <c r="B111" s="94" t="str">
        <f ca="1">IFERROR(__xludf.DUMMYFUNCTION("""COMPUTED_VALUE"""),"Porcentaje")</f>
        <v>Porcentaje</v>
      </c>
      <c r="C111" s="95">
        <f ca="1">IFERROR(__xludf.DUMMYFUNCTION("""COMPUTED_VALUE"""),22)</f>
        <v>22</v>
      </c>
    </row>
    <row r="112" spans="1:3">
      <c r="A112" s="94" t="str">
        <f ca="1">IFERROR(__xludf.DUMMYFUNCTION("""COMPUTED_VALUE"""),"6.1.4.2")</f>
        <v>6.1.4.2</v>
      </c>
      <c r="B112" s="94" t="str">
        <f ca="1">IFERROR(__xludf.DUMMYFUNCTION("""COMPUTED_VALUE"""),"Porcentaje")</f>
        <v>Porcentaje</v>
      </c>
      <c r="C112" s="95">
        <f ca="1">IFERROR(__xludf.DUMMYFUNCTION("""COMPUTED_VALUE"""),22000)</f>
        <v>22000</v>
      </c>
    </row>
    <row r="113" spans="1:3">
      <c r="A113" s="94" t="str">
        <f ca="1">IFERROR(__xludf.DUMMYFUNCTION("""COMPUTED_VALUE"""),"6.1.5.0")</f>
        <v>6.1.5.0</v>
      </c>
      <c r="B113" s="94" t="str">
        <f ca="1">IFERROR(__xludf.DUMMYFUNCTION("""COMPUTED_VALUE"""),"Porcentaje")</f>
        <v>Porcentaje</v>
      </c>
      <c r="C113" s="95">
        <f ca="1">IFERROR(__xludf.DUMMYFUNCTION("""COMPUTED_VALUE"""),7920)</f>
        <v>7920</v>
      </c>
    </row>
    <row r="114" spans="1:3">
      <c r="A114" s="94" t="str">
        <f ca="1">IFERROR(__xludf.DUMMYFUNCTION("""COMPUTED_VALUE"""),"6.1.5.1")</f>
        <v>6.1.5.1</v>
      </c>
      <c r="B114" s="94" t="str">
        <f ca="1">IFERROR(__xludf.DUMMYFUNCTION("""COMPUTED_VALUE"""),"Porcentaje")</f>
        <v>Porcentaje</v>
      </c>
      <c r="C114" s="95">
        <f ca="1">IFERROR(__xludf.DUMMYFUNCTION("""COMPUTED_VALUE"""),7250)</f>
        <v>7250</v>
      </c>
    </row>
    <row r="115" spans="1:3">
      <c r="A115" s="94" t="str">
        <f ca="1">IFERROR(__xludf.DUMMYFUNCTION("""COMPUTED_VALUE"""),"6.1.5.2")</f>
        <v>6.1.5.2</v>
      </c>
      <c r="B115" s="94" t="str">
        <f ca="1">IFERROR(__xludf.DUMMYFUNCTION("""COMPUTED_VALUE"""),"Porcentaje")</f>
        <v>Porcentaje</v>
      </c>
      <c r="C115" s="95">
        <f ca="1">IFERROR(__xludf.DUMMYFUNCTION("""COMPUTED_VALUE"""),670)</f>
        <v>670</v>
      </c>
    </row>
    <row r="116" spans="1:3">
      <c r="A116" s="94"/>
      <c r="B116" s="94"/>
      <c r="C116" s="95"/>
    </row>
    <row r="117" spans="1:3">
      <c r="A117" s="94"/>
      <c r="B117" s="94"/>
      <c r="C117" s="95"/>
    </row>
    <row r="118" spans="1:3">
      <c r="A118" s="94"/>
      <c r="B118" s="94"/>
      <c r="C118" s="95"/>
    </row>
    <row r="119" spans="1:3">
      <c r="A119" s="94"/>
      <c r="B119" s="94"/>
      <c r="C119" s="95"/>
    </row>
    <row r="120" spans="1:3">
      <c r="A120" s="94"/>
      <c r="B120" s="94"/>
      <c r="C120" s="95"/>
    </row>
    <row r="121" spans="1:3">
      <c r="A121" s="94"/>
      <c r="B121" s="94"/>
      <c r="C121" s="95"/>
    </row>
    <row r="122" spans="1:3">
      <c r="A122" s="94"/>
      <c r="B122" s="94"/>
      <c r="C122" s="95"/>
    </row>
    <row r="123" spans="1:3">
      <c r="A123" s="94"/>
      <c r="B123" s="94"/>
      <c r="C123" s="95"/>
    </row>
    <row r="124" spans="1:3">
      <c r="A124" s="94"/>
      <c r="B124" s="94"/>
      <c r="C124" s="95"/>
    </row>
    <row r="125" spans="1:3">
      <c r="A125" s="94"/>
      <c r="B125" s="94"/>
      <c r="C125" s="95"/>
    </row>
    <row r="126" spans="1:3">
      <c r="A126" s="94"/>
      <c r="B126" s="94"/>
      <c r="C126" s="95"/>
    </row>
    <row r="127" spans="1:3">
      <c r="A127" s="94"/>
      <c r="B127" s="94"/>
      <c r="C127" s="95"/>
    </row>
    <row r="128" spans="1:3">
      <c r="A128" s="94"/>
      <c r="B128" s="94"/>
      <c r="C128" s="95"/>
    </row>
    <row r="129" spans="1:3">
      <c r="A129" s="94"/>
      <c r="B129" s="94"/>
      <c r="C129" s="95"/>
    </row>
    <row r="130" spans="1:3">
      <c r="A130" s="94"/>
      <c r="B130" s="94"/>
      <c r="C130" s="95"/>
    </row>
    <row r="131" spans="1:3">
      <c r="A131" s="94"/>
      <c r="B131" s="94"/>
      <c r="C131" s="95"/>
    </row>
    <row r="132" spans="1:3">
      <c r="A132" s="94"/>
      <c r="B132" s="94"/>
      <c r="C132" s="95"/>
    </row>
    <row r="133" spans="1:3">
      <c r="A133" s="94"/>
      <c r="B133" s="94"/>
      <c r="C133" s="95"/>
    </row>
    <row r="134" spans="1:3">
      <c r="A134" s="94"/>
      <c r="B134" s="94"/>
      <c r="C134" s="95"/>
    </row>
    <row r="135" spans="1:3">
      <c r="A135" s="94"/>
      <c r="B135" s="94"/>
      <c r="C135" s="95"/>
    </row>
    <row r="136" spans="1:3">
      <c r="A136" s="94"/>
      <c r="B136" s="94"/>
      <c r="C136" s="95"/>
    </row>
    <row r="137" spans="1:3">
      <c r="A137" s="94"/>
      <c r="B137" s="94"/>
      <c r="C137" s="95"/>
    </row>
    <row r="138" spans="1:3">
      <c r="A138" s="94"/>
      <c r="B138" s="94"/>
      <c r="C138" s="95"/>
    </row>
    <row r="139" spans="1:3">
      <c r="A139" s="94"/>
      <c r="B139" s="94"/>
      <c r="C139" s="95"/>
    </row>
    <row r="140" spans="1:3">
      <c r="A140" s="94"/>
      <c r="B140" s="94"/>
      <c r="C140" s="95"/>
    </row>
    <row r="141" spans="1:3">
      <c r="A141" s="94"/>
      <c r="B141" s="94"/>
      <c r="C141" s="95"/>
    </row>
    <row r="142" spans="1:3">
      <c r="A142" s="94"/>
      <c r="B142" s="94"/>
      <c r="C142" s="95"/>
    </row>
    <row r="143" spans="1:3">
      <c r="A143" s="94"/>
      <c r="B143" s="94"/>
      <c r="C143" s="95"/>
    </row>
    <row r="144" spans="1:3">
      <c r="A144" s="94"/>
      <c r="B144" s="94"/>
      <c r="C144" s="95"/>
    </row>
    <row r="145" spans="1:3">
      <c r="A145" s="94"/>
      <c r="B145" s="94"/>
      <c r="C145" s="95"/>
    </row>
    <row r="146" spans="1:3">
      <c r="A146" s="94"/>
      <c r="B146" s="94"/>
      <c r="C146" s="95"/>
    </row>
    <row r="147" spans="1:3">
      <c r="A147" s="94"/>
      <c r="B147" s="94"/>
      <c r="C147" s="95"/>
    </row>
    <row r="148" spans="1:3">
      <c r="A148" s="94"/>
      <c r="B148" s="94"/>
      <c r="C148" s="95"/>
    </row>
    <row r="149" spans="1:3">
      <c r="A149" s="94"/>
      <c r="B149" s="94"/>
      <c r="C149" s="95"/>
    </row>
    <row r="150" spans="1:3">
      <c r="A150" s="94"/>
      <c r="B150" s="94"/>
      <c r="C150" s="95"/>
    </row>
    <row r="151" spans="1:3">
      <c r="A151" s="94"/>
      <c r="B151" s="94"/>
      <c r="C151" s="95"/>
    </row>
    <row r="152" spans="1:3">
      <c r="A152" s="94"/>
      <c r="B152" s="94"/>
      <c r="C152" s="95"/>
    </row>
    <row r="153" spans="1:3">
      <c r="A153" s="94"/>
      <c r="B153" s="94"/>
      <c r="C153" s="95"/>
    </row>
    <row r="154" spans="1:3">
      <c r="A154" s="94"/>
      <c r="B154" s="94"/>
      <c r="C154" s="95"/>
    </row>
    <row r="155" spans="1:3">
      <c r="A155" s="94"/>
      <c r="B155" s="94"/>
      <c r="C155" s="95"/>
    </row>
    <row r="156" spans="1:3">
      <c r="A156" s="94"/>
      <c r="B156" s="94"/>
      <c r="C156" s="95"/>
    </row>
    <row r="157" spans="1:3">
      <c r="A157" s="94"/>
      <c r="B157" s="94"/>
      <c r="C157" s="95"/>
    </row>
    <row r="158" spans="1:3">
      <c r="A158" s="94"/>
      <c r="B158" s="94"/>
      <c r="C158" s="95"/>
    </row>
    <row r="159" spans="1:3">
      <c r="A159" s="94"/>
      <c r="B159" s="94"/>
      <c r="C159" s="95"/>
    </row>
    <row r="160" spans="1:3">
      <c r="A160" s="94"/>
      <c r="B160" s="94"/>
      <c r="C160" s="95"/>
    </row>
    <row r="161" spans="1:3">
      <c r="A161" s="94"/>
      <c r="B161" s="94"/>
      <c r="C161" s="95"/>
    </row>
    <row r="162" spans="1:3">
      <c r="A162" s="94"/>
      <c r="B162" s="94"/>
      <c r="C162" s="95"/>
    </row>
    <row r="163" spans="1:3">
      <c r="A163" s="94"/>
      <c r="B163" s="94"/>
      <c r="C163" s="95"/>
    </row>
    <row r="164" spans="1:3">
      <c r="A164" s="94"/>
      <c r="B164" s="94"/>
      <c r="C164" s="95"/>
    </row>
    <row r="165" spans="1:3">
      <c r="A165" s="94"/>
      <c r="B165" s="94"/>
      <c r="C165" s="95"/>
    </row>
    <row r="166" spans="1:3">
      <c r="A166" s="94"/>
      <c r="B166" s="94"/>
      <c r="C166" s="95"/>
    </row>
    <row r="167" spans="1:3">
      <c r="A167" s="94"/>
      <c r="B167" s="94"/>
      <c r="C167" s="95"/>
    </row>
    <row r="168" spans="1:3">
      <c r="A168" s="94"/>
      <c r="B168" s="94"/>
      <c r="C168" s="95"/>
    </row>
    <row r="169" spans="1:3">
      <c r="A169" s="94"/>
      <c r="B169" s="94"/>
      <c r="C169" s="95"/>
    </row>
    <row r="170" spans="1:3">
      <c r="A170" s="94"/>
      <c r="B170" s="94"/>
      <c r="C170" s="95"/>
    </row>
    <row r="171" spans="1:3">
      <c r="A171" s="94"/>
      <c r="B171" s="94"/>
      <c r="C171" s="95"/>
    </row>
    <row r="172" spans="1:3">
      <c r="A172" s="94"/>
      <c r="B172" s="94"/>
      <c r="C172" s="95"/>
    </row>
    <row r="173" spans="1:3">
      <c r="A173" s="94"/>
      <c r="B173" s="94"/>
      <c r="C173" s="95"/>
    </row>
    <row r="174" spans="1:3">
      <c r="A174" s="94"/>
      <c r="B174" s="94"/>
      <c r="C174" s="95"/>
    </row>
    <row r="175" spans="1:3">
      <c r="A175" s="94"/>
      <c r="B175" s="94"/>
      <c r="C175" s="95"/>
    </row>
    <row r="176" spans="1:3">
      <c r="A176" s="94"/>
      <c r="B176" s="94"/>
      <c r="C176" s="95"/>
    </row>
    <row r="177" spans="1:3">
      <c r="A177" s="94"/>
      <c r="B177" s="94"/>
      <c r="C177" s="95"/>
    </row>
    <row r="178" spans="1:3">
      <c r="A178" s="94"/>
      <c r="B178" s="94"/>
      <c r="C178" s="95"/>
    </row>
    <row r="179" spans="1:3">
      <c r="A179" s="94"/>
      <c r="B179" s="94"/>
      <c r="C179" s="95"/>
    </row>
    <row r="180" spans="1:3">
      <c r="A180" s="94"/>
      <c r="B180" s="94"/>
      <c r="C180" s="95"/>
    </row>
    <row r="181" spans="1:3">
      <c r="A181" s="94"/>
      <c r="B181" s="94"/>
      <c r="C181" s="95"/>
    </row>
    <row r="182" spans="1:3">
      <c r="A182" s="94"/>
      <c r="B182" s="94"/>
      <c r="C182" s="95"/>
    </row>
    <row r="183" spans="1:3">
      <c r="A183" s="94"/>
      <c r="B183" s="94"/>
      <c r="C183" s="95"/>
    </row>
    <row r="184" spans="1:3">
      <c r="A184" s="94"/>
      <c r="B184" s="94"/>
      <c r="C184" s="95"/>
    </row>
    <row r="185" spans="1:3">
      <c r="A185" s="94"/>
      <c r="B185" s="94"/>
      <c r="C185" s="95"/>
    </row>
    <row r="186" spans="1:3">
      <c r="A186" s="94"/>
      <c r="B186" s="94"/>
      <c r="C186" s="95"/>
    </row>
    <row r="187" spans="1:3">
      <c r="A187" s="94"/>
      <c r="B187" s="94"/>
      <c r="C187" s="95"/>
    </row>
    <row r="188" spans="1:3">
      <c r="A188" s="94"/>
      <c r="B188" s="94"/>
      <c r="C188" s="95"/>
    </row>
    <row r="189" spans="1:3">
      <c r="A189" s="94"/>
      <c r="B189" s="94"/>
      <c r="C189" s="95"/>
    </row>
    <row r="190" spans="1:3">
      <c r="A190" s="94"/>
      <c r="B190" s="94"/>
      <c r="C190" s="95"/>
    </row>
    <row r="191" spans="1:3">
      <c r="A191" s="94"/>
      <c r="B191" s="94"/>
      <c r="C191" s="95"/>
    </row>
    <row r="192" spans="1:3">
      <c r="A192" s="94"/>
      <c r="B192" s="94"/>
      <c r="C192" s="95"/>
    </row>
    <row r="193" spans="1:3">
      <c r="A193" s="94"/>
      <c r="B193" s="94"/>
      <c r="C193" s="95"/>
    </row>
    <row r="194" spans="1:3">
      <c r="A194" s="94"/>
      <c r="B194" s="94"/>
      <c r="C194" s="95"/>
    </row>
    <row r="195" spans="1:3">
      <c r="A195" s="94"/>
      <c r="B195" s="94"/>
      <c r="C195" s="95"/>
    </row>
    <row r="196" spans="1:3">
      <c r="A196" s="94"/>
      <c r="B196" s="94"/>
      <c r="C196" s="95"/>
    </row>
    <row r="197" spans="1:3">
      <c r="A197" s="94"/>
      <c r="B197" s="94"/>
      <c r="C197" s="95"/>
    </row>
    <row r="198" spans="1:3">
      <c r="A198" s="94"/>
      <c r="B198" s="94"/>
      <c r="C198" s="95"/>
    </row>
    <row r="199" spans="1:3">
      <c r="A199" s="94"/>
      <c r="B199" s="94"/>
      <c r="C199" s="95"/>
    </row>
    <row r="200" spans="1:3">
      <c r="A200" s="94"/>
      <c r="B200" s="94"/>
      <c r="C200" s="95"/>
    </row>
    <row r="201" spans="1:3">
      <c r="A201" s="94"/>
      <c r="B201" s="94"/>
      <c r="C201" s="95"/>
    </row>
    <row r="202" spans="1:3">
      <c r="A202" s="94"/>
      <c r="B202" s="94"/>
      <c r="C202" s="95"/>
    </row>
    <row r="203" spans="1:3">
      <c r="A203" s="94"/>
      <c r="B203" s="94"/>
      <c r="C203" s="95"/>
    </row>
    <row r="204" spans="1:3">
      <c r="A204" s="94"/>
      <c r="B204" s="94"/>
      <c r="C204" s="95"/>
    </row>
    <row r="205" spans="1:3">
      <c r="A205" s="94"/>
      <c r="B205" s="94"/>
      <c r="C205" s="95"/>
    </row>
    <row r="206" spans="1:3">
      <c r="A206" s="94"/>
      <c r="B206" s="94"/>
      <c r="C206" s="95"/>
    </row>
    <row r="207" spans="1:3">
      <c r="A207" s="94"/>
      <c r="B207" s="94"/>
      <c r="C207" s="95"/>
    </row>
    <row r="208" spans="1:3">
      <c r="A208" s="94"/>
      <c r="B208" s="94"/>
      <c r="C208" s="95"/>
    </row>
    <row r="209" spans="1:3">
      <c r="A209" s="94"/>
      <c r="B209" s="94"/>
      <c r="C209" s="95"/>
    </row>
    <row r="210" spans="1:3">
      <c r="A210" s="94"/>
      <c r="B210" s="94"/>
      <c r="C210" s="95"/>
    </row>
    <row r="211" spans="1:3">
      <c r="A211" s="94"/>
      <c r="B211" s="94"/>
      <c r="C211" s="95"/>
    </row>
    <row r="212" spans="1:3">
      <c r="A212" s="94"/>
      <c r="B212" s="94"/>
      <c r="C212" s="95"/>
    </row>
    <row r="213" spans="1:3">
      <c r="A213" s="94"/>
      <c r="B213" s="94"/>
      <c r="C213" s="95"/>
    </row>
    <row r="214" spans="1:3">
      <c r="A214" s="94"/>
      <c r="B214" s="94"/>
      <c r="C214" s="95"/>
    </row>
    <row r="215" spans="1:3">
      <c r="A215" s="94"/>
      <c r="B215" s="94"/>
      <c r="C215" s="95"/>
    </row>
    <row r="216" spans="1:3">
      <c r="A216" s="94"/>
      <c r="B216" s="94"/>
      <c r="C216" s="95"/>
    </row>
    <row r="217" spans="1:3">
      <c r="A217" s="94"/>
      <c r="B217" s="94"/>
      <c r="C217" s="95"/>
    </row>
    <row r="218" spans="1:3">
      <c r="A218" s="94"/>
      <c r="B218" s="94"/>
      <c r="C218" s="95"/>
    </row>
    <row r="219" spans="1:3">
      <c r="A219" s="94"/>
      <c r="B219" s="94"/>
      <c r="C219" s="95"/>
    </row>
    <row r="220" spans="1:3">
      <c r="A220" s="94"/>
      <c r="B220" s="94"/>
      <c r="C220" s="95"/>
    </row>
    <row r="221" spans="1:3">
      <c r="A221" s="94"/>
      <c r="B221" s="94"/>
      <c r="C221" s="95"/>
    </row>
    <row r="222" spans="1:3">
      <c r="A222" s="94"/>
      <c r="B222" s="94"/>
      <c r="C222" s="95"/>
    </row>
    <row r="223" spans="1:3">
      <c r="A223" s="94"/>
      <c r="B223" s="94"/>
      <c r="C223" s="95"/>
    </row>
    <row r="224" spans="1:3">
      <c r="A224" s="94"/>
      <c r="B224" s="94"/>
      <c r="C224" s="95"/>
    </row>
    <row r="225" spans="1:3">
      <c r="A225" s="94"/>
      <c r="B225" s="94"/>
      <c r="C225" s="95"/>
    </row>
    <row r="226" spans="1:3">
      <c r="A226" s="94"/>
      <c r="B226" s="94"/>
      <c r="C226" s="95"/>
    </row>
    <row r="227" spans="1:3">
      <c r="A227" s="94"/>
      <c r="B227" s="94"/>
      <c r="C227" s="95"/>
    </row>
    <row r="228" spans="1:3">
      <c r="A228" s="94"/>
      <c r="B228" s="94"/>
      <c r="C228" s="95"/>
    </row>
    <row r="229" spans="1:3">
      <c r="A229" s="94"/>
      <c r="B229" s="94"/>
      <c r="C229" s="95"/>
    </row>
    <row r="230" spans="1:3">
      <c r="A230" s="94"/>
      <c r="B230" s="94"/>
      <c r="C230" s="95"/>
    </row>
    <row r="231" spans="1:3">
      <c r="A231" s="94"/>
      <c r="B231" s="94"/>
      <c r="C231" s="95"/>
    </row>
    <row r="232" spans="1:3">
      <c r="A232" s="94"/>
      <c r="B232" s="94"/>
      <c r="C232" s="95"/>
    </row>
    <row r="233" spans="1:3">
      <c r="A233" s="94"/>
      <c r="B233" s="94"/>
      <c r="C233" s="95"/>
    </row>
    <row r="234" spans="1:3">
      <c r="A234" s="94"/>
      <c r="B234" s="94"/>
      <c r="C234" s="95"/>
    </row>
    <row r="235" spans="1:3">
      <c r="A235" s="94"/>
      <c r="B235" s="94"/>
      <c r="C235" s="95"/>
    </row>
    <row r="236" spans="1:3">
      <c r="A236" s="94"/>
      <c r="B236" s="94"/>
      <c r="C236" s="95"/>
    </row>
    <row r="237" spans="1:3">
      <c r="A237" s="94"/>
      <c r="B237" s="94"/>
      <c r="C237" s="95"/>
    </row>
    <row r="238" spans="1:3">
      <c r="A238" s="94"/>
      <c r="B238" s="94"/>
      <c r="C238" s="95"/>
    </row>
    <row r="239" spans="1:3">
      <c r="A239" s="94"/>
      <c r="B239" s="94"/>
      <c r="C239" s="95"/>
    </row>
    <row r="240" spans="1:3">
      <c r="A240" s="94"/>
      <c r="B240" s="94"/>
      <c r="C240" s="95"/>
    </row>
    <row r="241" spans="1:3">
      <c r="A241" s="94"/>
      <c r="B241" s="94"/>
      <c r="C241" s="95"/>
    </row>
    <row r="242" spans="1:3">
      <c r="A242" s="94"/>
      <c r="B242" s="94"/>
      <c r="C242" s="95"/>
    </row>
    <row r="243" spans="1:3">
      <c r="A243" s="94"/>
      <c r="B243" s="94"/>
      <c r="C243" s="95"/>
    </row>
    <row r="244" spans="1:3">
      <c r="A244" s="94"/>
      <c r="B244" s="94"/>
      <c r="C244" s="95"/>
    </row>
    <row r="245" spans="1:3">
      <c r="A245" s="94"/>
      <c r="B245" s="94"/>
      <c r="C245" s="95"/>
    </row>
    <row r="246" spans="1:3">
      <c r="A246" s="94"/>
      <c r="B246" s="94"/>
      <c r="C246" s="95"/>
    </row>
    <row r="247" spans="1:3">
      <c r="A247" s="94"/>
      <c r="B247" s="94"/>
      <c r="C247" s="95"/>
    </row>
    <row r="248" spans="1:3">
      <c r="A248" s="94"/>
      <c r="B248" s="94"/>
      <c r="C248" s="95"/>
    </row>
    <row r="249" spans="1:3">
      <c r="A249" s="94"/>
      <c r="B249" s="94"/>
      <c r="C249" s="95"/>
    </row>
    <row r="250" spans="1:3">
      <c r="A250" s="94"/>
      <c r="B250" s="94"/>
      <c r="C250" s="95"/>
    </row>
    <row r="251" spans="1:3">
      <c r="A251" s="94"/>
      <c r="B251" s="94"/>
      <c r="C251" s="95"/>
    </row>
    <row r="252" spans="1:3">
      <c r="A252" s="94"/>
      <c r="B252" s="94"/>
      <c r="C252" s="95"/>
    </row>
    <row r="253" spans="1:3">
      <c r="A253" s="94"/>
      <c r="B253" s="94"/>
      <c r="C253" s="95"/>
    </row>
    <row r="254" spans="1:3">
      <c r="A254" s="94"/>
      <c r="B254" s="94"/>
      <c r="C254" s="95"/>
    </row>
    <row r="255" spans="1:3">
      <c r="A255" s="94"/>
      <c r="B255" s="94"/>
      <c r="C255" s="95"/>
    </row>
    <row r="256" spans="1:3">
      <c r="A256" s="94"/>
      <c r="B256" s="94"/>
      <c r="C256" s="95"/>
    </row>
    <row r="257" spans="1:3">
      <c r="A257" s="94"/>
      <c r="B257" s="94"/>
      <c r="C257" s="95"/>
    </row>
    <row r="258" spans="1:3">
      <c r="A258" s="94"/>
      <c r="B258" s="94"/>
      <c r="C258" s="95"/>
    </row>
    <row r="259" spans="1:3">
      <c r="A259" s="94"/>
      <c r="B259" s="94"/>
      <c r="C259" s="95"/>
    </row>
    <row r="260" spans="1:3">
      <c r="A260" s="94"/>
      <c r="B260" s="94"/>
      <c r="C260" s="95"/>
    </row>
    <row r="261" spans="1:3">
      <c r="A261" s="94"/>
      <c r="B261" s="94"/>
      <c r="C261" s="95"/>
    </row>
    <row r="262" spans="1:3">
      <c r="A262" s="94"/>
      <c r="B262" s="94"/>
      <c r="C262" s="95"/>
    </row>
    <row r="263" spans="1:3">
      <c r="A263" s="94"/>
      <c r="B263" s="94"/>
      <c r="C263" s="95"/>
    </row>
    <row r="264" spans="1:3">
      <c r="A264" s="94"/>
      <c r="B264" s="94"/>
      <c r="C264" s="95"/>
    </row>
    <row r="265" spans="1:3">
      <c r="A265" s="94"/>
      <c r="B265" s="94"/>
      <c r="C265" s="95"/>
    </row>
    <row r="266" spans="1:3">
      <c r="A266" s="94"/>
      <c r="B266" s="94"/>
      <c r="C266" s="95"/>
    </row>
    <row r="267" spans="1:3">
      <c r="A267" s="94"/>
      <c r="B267" s="94"/>
      <c r="C267" s="95"/>
    </row>
    <row r="268" spans="1:3">
      <c r="A268" s="94"/>
      <c r="B268" s="94"/>
      <c r="C268" s="95"/>
    </row>
    <row r="269" spans="1:3">
      <c r="A269" s="94"/>
      <c r="B269" s="94"/>
      <c r="C269" s="95"/>
    </row>
    <row r="270" spans="1:3">
      <c r="A270" s="94"/>
      <c r="B270" s="94"/>
      <c r="C270" s="95"/>
    </row>
    <row r="271" spans="1:3">
      <c r="A271" s="94"/>
      <c r="B271" s="94"/>
      <c r="C271" s="95"/>
    </row>
    <row r="272" spans="1:3">
      <c r="A272" s="94"/>
      <c r="B272" s="94"/>
      <c r="C272" s="95"/>
    </row>
    <row r="273" spans="1:3">
      <c r="A273" s="94"/>
      <c r="B273" s="94"/>
      <c r="C273" s="95"/>
    </row>
    <row r="274" spans="1:3">
      <c r="A274" s="94"/>
      <c r="B274" s="94"/>
      <c r="C274" s="95"/>
    </row>
    <row r="275" spans="1:3">
      <c r="A275" s="94"/>
      <c r="B275" s="94"/>
      <c r="C275" s="95"/>
    </row>
    <row r="276" spans="1:3">
      <c r="A276" s="94"/>
      <c r="B276" s="94"/>
      <c r="C276" s="95"/>
    </row>
    <row r="277" spans="1:3">
      <c r="A277" s="94"/>
      <c r="B277" s="94"/>
      <c r="C277" s="95"/>
    </row>
    <row r="278" spans="1:3">
      <c r="A278" s="94"/>
      <c r="B278" s="94"/>
      <c r="C278" s="95"/>
    </row>
    <row r="279" spans="1:3">
      <c r="A279" s="94"/>
      <c r="B279" s="94"/>
      <c r="C279" s="95"/>
    </row>
    <row r="280" spans="1:3">
      <c r="A280" s="94"/>
      <c r="B280" s="94"/>
      <c r="C280" s="95"/>
    </row>
    <row r="281" spans="1:3">
      <c r="A281" s="94"/>
      <c r="B281" s="94"/>
      <c r="C281" s="95"/>
    </row>
    <row r="282" spans="1:3">
      <c r="A282" s="94"/>
      <c r="B282" s="94"/>
      <c r="C282" s="95"/>
    </row>
    <row r="283" spans="1:3">
      <c r="A283" s="94"/>
      <c r="B283" s="94"/>
      <c r="C283" s="95"/>
    </row>
    <row r="284" spans="1:3">
      <c r="A284" s="94"/>
      <c r="B284" s="94"/>
      <c r="C284" s="95"/>
    </row>
    <row r="285" spans="1:3">
      <c r="A285" s="94"/>
      <c r="B285" s="94"/>
      <c r="C285" s="95"/>
    </row>
    <row r="286" spans="1:3">
      <c r="A286" s="94"/>
      <c r="B286" s="94"/>
      <c r="C286" s="95"/>
    </row>
    <row r="287" spans="1:3">
      <c r="A287" s="94"/>
      <c r="B287" s="94"/>
      <c r="C287" s="95"/>
    </row>
    <row r="288" spans="1:3">
      <c r="A288" s="94"/>
      <c r="B288" s="94"/>
      <c r="C288" s="95"/>
    </row>
    <row r="289" spans="1:3">
      <c r="A289" s="94"/>
      <c r="B289" s="94"/>
      <c r="C289" s="95"/>
    </row>
    <row r="290" spans="1:3">
      <c r="A290" s="94"/>
      <c r="B290" s="94"/>
      <c r="C290" s="95"/>
    </row>
    <row r="291" spans="1:3">
      <c r="A291" s="94"/>
      <c r="B291" s="94"/>
      <c r="C291" s="95"/>
    </row>
    <row r="292" spans="1:3">
      <c r="A292" s="94"/>
      <c r="B292" s="94"/>
      <c r="C292" s="95"/>
    </row>
    <row r="293" spans="1:3">
      <c r="A293" s="94"/>
      <c r="B293" s="94"/>
      <c r="C293" s="95"/>
    </row>
    <row r="294" spans="1:3">
      <c r="A294" s="94"/>
      <c r="B294" s="94"/>
      <c r="C294" s="95"/>
    </row>
    <row r="295" spans="1:3">
      <c r="A295" s="94"/>
      <c r="B295" s="94"/>
      <c r="C295" s="95"/>
    </row>
    <row r="296" spans="1:3">
      <c r="A296" s="94"/>
      <c r="B296" s="94"/>
      <c r="C296" s="95"/>
    </row>
    <row r="297" spans="1:3">
      <c r="A297" s="94"/>
      <c r="B297" s="94"/>
      <c r="C297" s="95"/>
    </row>
    <row r="298" spans="1:3">
      <c r="A298" s="94"/>
      <c r="B298" s="94"/>
      <c r="C298" s="95"/>
    </row>
    <row r="299" spans="1:3">
      <c r="A299" s="94"/>
      <c r="B299" s="94"/>
      <c r="C299" s="95"/>
    </row>
    <row r="300" spans="1:3">
      <c r="A300" s="94"/>
      <c r="B300" s="94"/>
      <c r="C300" s="95"/>
    </row>
    <row r="301" spans="1:3">
      <c r="A301" s="94"/>
      <c r="B301" s="94"/>
      <c r="C301" s="95"/>
    </row>
    <row r="302" spans="1:3">
      <c r="A302" s="94"/>
      <c r="B302" s="94"/>
      <c r="C302" s="95"/>
    </row>
    <row r="303" spans="1:3">
      <c r="A303" s="94"/>
      <c r="B303" s="94"/>
      <c r="C303" s="95"/>
    </row>
    <row r="304" spans="1:3">
      <c r="A304" s="94"/>
      <c r="B304" s="94"/>
      <c r="C304" s="95"/>
    </row>
    <row r="305" spans="1:3">
      <c r="A305" s="94"/>
      <c r="B305" s="94"/>
      <c r="C305" s="95"/>
    </row>
    <row r="306" spans="1:3">
      <c r="A306" s="94"/>
      <c r="B306" s="94"/>
      <c r="C306" s="95"/>
    </row>
    <row r="307" spans="1:3">
      <c r="A307" s="94"/>
      <c r="B307" s="94"/>
      <c r="C307" s="95"/>
    </row>
    <row r="308" spans="1:3">
      <c r="A308" s="94"/>
      <c r="B308" s="94"/>
      <c r="C308" s="95"/>
    </row>
    <row r="309" spans="1:3">
      <c r="A309" s="94"/>
      <c r="B309" s="94"/>
      <c r="C309" s="95"/>
    </row>
    <row r="310" spans="1:3">
      <c r="A310" s="94"/>
      <c r="B310" s="94"/>
      <c r="C310" s="95"/>
    </row>
    <row r="311" spans="1:3">
      <c r="A311" s="94"/>
      <c r="B311" s="94"/>
      <c r="C311" s="95"/>
    </row>
    <row r="312" spans="1:3">
      <c r="A312" s="94"/>
      <c r="B312" s="94"/>
      <c r="C312" s="95"/>
    </row>
    <row r="313" spans="1:3">
      <c r="A313" s="94"/>
      <c r="B313" s="94"/>
      <c r="C313" s="95"/>
    </row>
    <row r="314" spans="1:3">
      <c r="A314" s="94"/>
      <c r="B314" s="94"/>
      <c r="C314" s="95"/>
    </row>
    <row r="315" spans="1:3">
      <c r="A315" s="94"/>
      <c r="B315" s="94"/>
      <c r="C315" s="95"/>
    </row>
    <row r="316" spans="1:3">
      <c r="A316" s="94"/>
      <c r="B316" s="94"/>
      <c r="C316" s="95"/>
    </row>
    <row r="317" spans="1:3">
      <c r="A317" s="94"/>
      <c r="B317" s="94"/>
      <c r="C317" s="95"/>
    </row>
    <row r="318" spans="1:3">
      <c r="A318" s="94"/>
      <c r="B318" s="94"/>
      <c r="C318" s="95"/>
    </row>
    <row r="319" spans="1:3">
      <c r="A319" s="94"/>
      <c r="B319" s="94"/>
      <c r="C319" s="95"/>
    </row>
    <row r="320" spans="1:3">
      <c r="A320" s="94"/>
      <c r="B320" s="94"/>
      <c r="C320" s="95"/>
    </row>
    <row r="321" spans="1:3">
      <c r="A321" s="94"/>
      <c r="B321" s="94"/>
      <c r="C321" s="95"/>
    </row>
    <row r="322" spans="1:3">
      <c r="A322" s="94"/>
      <c r="B322" s="94"/>
      <c r="C322" s="95"/>
    </row>
    <row r="323" spans="1:3">
      <c r="A323" s="94"/>
      <c r="B323" s="94"/>
      <c r="C323" s="95"/>
    </row>
    <row r="324" spans="1:3">
      <c r="A324" s="94"/>
      <c r="B324" s="94"/>
      <c r="C324" s="95"/>
    </row>
    <row r="325" spans="1:3">
      <c r="A325" s="94"/>
      <c r="B325" s="94"/>
      <c r="C325" s="95"/>
    </row>
    <row r="326" spans="1:3">
      <c r="A326" s="94"/>
      <c r="B326" s="94"/>
      <c r="C326" s="95"/>
    </row>
    <row r="327" spans="1:3">
      <c r="A327" s="94"/>
      <c r="B327" s="94"/>
      <c r="C327" s="95"/>
    </row>
    <row r="328" spans="1:3">
      <c r="A328" s="94"/>
      <c r="B328" s="94"/>
      <c r="C328" s="95"/>
    </row>
    <row r="329" spans="1:3">
      <c r="A329" s="94"/>
      <c r="B329" s="94"/>
      <c r="C329" s="95"/>
    </row>
    <row r="330" spans="1:3">
      <c r="A330" s="94"/>
      <c r="B330" s="94"/>
      <c r="C330" s="95"/>
    </row>
    <row r="331" spans="1:3">
      <c r="A331" s="94"/>
      <c r="B331" s="94"/>
      <c r="C331" s="95"/>
    </row>
    <row r="332" spans="1:3">
      <c r="A332" s="94"/>
      <c r="B332" s="94"/>
      <c r="C332" s="95"/>
    </row>
    <row r="333" spans="1:3">
      <c r="A333" s="94"/>
      <c r="B333" s="94"/>
      <c r="C333" s="95"/>
    </row>
    <row r="334" spans="1:3">
      <c r="A334" s="94"/>
      <c r="B334" s="94"/>
      <c r="C334" s="95"/>
    </row>
    <row r="335" spans="1:3">
      <c r="A335" s="94"/>
      <c r="B335" s="94"/>
      <c r="C335" s="95"/>
    </row>
    <row r="336" spans="1:3">
      <c r="A336" s="94"/>
      <c r="B336" s="94"/>
      <c r="C336" s="95"/>
    </row>
    <row r="337" spans="1:3">
      <c r="A337" s="94"/>
      <c r="B337" s="94"/>
      <c r="C337" s="95"/>
    </row>
    <row r="338" spans="1:3">
      <c r="A338" s="94"/>
      <c r="B338" s="94"/>
      <c r="C338" s="95"/>
    </row>
    <row r="339" spans="1:3">
      <c r="A339" s="94"/>
      <c r="B339" s="94"/>
      <c r="C339" s="95"/>
    </row>
    <row r="340" spans="1:3">
      <c r="A340" s="94"/>
      <c r="B340" s="94"/>
      <c r="C340" s="95"/>
    </row>
    <row r="341" spans="1:3">
      <c r="A341" s="94"/>
      <c r="B341" s="94"/>
      <c r="C341" s="95"/>
    </row>
    <row r="342" spans="1:3">
      <c r="A342" s="94"/>
      <c r="B342" s="94"/>
      <c r="C342" s="95"/>
    </row>
    <row r="343" spans="1:3">
      <c r="A343" s="94"/>
      <c r="B343" s="94"/>
      <c r="C343" s="95"/>
    </row>
    <row r="344" spans="1:3">
      <c r="A344" s="94"/>
      <c r="B344" s="94"/>
      <c r="C344" s="95"/>
    </row>
    <row r="345" spans="1:3">
      <c r="A345" s="94"/>
      <c r="B345" s="94"/>
      <c r="C345" s="95"/>
    </row>
    <row r="346" spans="1:3">
      <c r="A346" s="94"/>
      <c r="B346" s="94"/>
      <c r="C346" s="95"/>
    </row>
    <row r="347" spans="1:3">
      <c r="A347" s="94"/>
      <c r="B347" s="94"/>
      <c r="C347" s="95"/>
    </row>
    <row r="348" spans="1:3">
      <c r="A348" s="94"/>
      <c r="B348" s="94"/>
      <c r="C348" s="95"/>
    </row>
    <row r="349" spans="1:3">
      <c r="A349" s="94"/>
      <c r="B349" s="94"/>
      <c r="C349" s="95"/>
    </row>
    <row r="350" spans="1:3">
      <c r="A350" s="94"/>
      <c r="B350" s="94"/>
      <c r="C350" s="95"/>
    </row>
    <row r="351" spans="1:3">
      <c r="A351" s="94"/>
      <c r="B351" s="94"/>
      <c r="C351" s="95"/>
    </row>
    <row r="352" spans="1:3">
      <c r="A352" s="94"/>
      <c r="B352" s="94"/>
      <c r="C352" s="95"/>
    </row>
    <row r="353" spans="1:3">
      <c r="A353" s="94"/>
      <c r="B353" s="94"/>
      <c r="C353" s="95"/>
    </row>
    <row r="354" spans="1:3">
      <c r="A354" s="94"/>
      <c r="B354" s="94"/>
      <c r="C354" s="95"/>
    </row>
    <row r="355" spans="1:3">
      <c r="A355" s="94"/>
      <c r="B355" s="94"/>
      <c r="C355" s="95"/>
    </row>
    <row r="356" spans="1:3">
      <c r="A356" s="94"/>
      <c r="B356" s="94"/>
      <c r="C356" s="95"/>
    </row>
    <row r="357" spans="1:3">
      <c r="A357" s="94"/>
      <c r="B357" s="94"/>
      <c r="C357" s="95"/>
    </row>
    <row r="358" spans="1:3">
      <c r="A358" s="94"/>
      <c r="B358" s="94"/>
      <c r="C358" s="95"/>
    </row>
    <row r="359" spans="1:3">
      <c r="A359" s="94"/>
      <c r="B359" s="94"/>
      <c r="C359" s="95"/>
    </row>
    <row r="360" spans="1:3">
      <c r="A360" s="94"/>
      <c r="B360" s="94"/>
      <c r="C360" s="95"/>
    </row>
    <row r="361" spans="1:3">
      <c r="A361" s="94"/>
      <c r="B361" s="94"/>
      <c r="C361" s="95"/>
    </row>
    <row r="362" spans="1:3">
      <c r="A362" s="94"/>
      <c r="B362" s="94"/>
      <c r="C362" s="95"/>
    </row>
    <row r="363" spans="1:3">
      <c r="A363" s="94"/>
      <c r="B363" s="94"/>
      <c r="C363" s="95"/>
    </row>
    <row r="364" spans="1:3">
      <c r="A364" s="94"/>
      <c r="B364" s="94"/>
      <c r="C364" s="95"/>
    </row>
    <row r="365" spans="1:3">
      <c r="A365" s="94"/>
      <c r="B365" s="94"/>
      <c r="C365" s="95"/>
    </row>
    <row r="366" spans="1:3">
      <c r="A366" s="94"/>
      <c r="B366" s="94"/>
      <c r="C366" s="95"/>
    </row>
    <row r="367" spans="1:3">
      <c r="A367" s="94"/>
      <c r="B367" s="94"/>
      <c r="C367" s="95"/>
    </row>
    <row r="368" spans="1:3">
      <c r="A368" s="94"/>
      <c r="B368" s="94"/>
      <c r="C368" s="95"/>
    </row>
    <row r="369" spans="1:3">
      <c r="A369" s="94"/>
      <c r="B369" s="94"/>
      <c r="C369" s="95"/>
    </row>
    <row r="370" spans="1:3">
      <c r="A370" s="94"/>
      <c r="B370" s="94"/>
      <c r="C370" s="95"/>
    </row>
    <row r="371" spans="1:3">
      <c r="A371" s="94"/>
      <c r="B371" s="94"/>
      <c r="C371" s="95"/>
    </row>
    <row r="372" spans="1:3">
      <c r="A372" s="94"/>
      <c r="B372" s="94"/>
      <c r="C372" s="95"/>
    </row>
    <row r="373" spans="1:3">
      <c r="A373" s="94"/>
      <c r="B373" s="94"/>
      <c r="C373" s="95"/>
    </row>
    <row r="374" spans="1:3">
      <c r="A374" s="94"/>
      <c r="B374" s="94"/>
      <c r="C374" s="95"/>
    </row>
    <row r="375" spans="1:3">
      <c r="A375" s="94"/>
      <c r="B375" s="94"/>
      <c r="C375" s="95"/>
    </row>
    <row r="376" spans="1:3">
      <c r="A376" s="94"/>
      <c r="B376" s="94"/>
      <c r="C376" s="95"/>
    </row>
    <row r="377" spans="1:3">
      <c r="A377" s="94"/>
      <c r="B377" s="94"/>
      <c r="C377" s="95"/>
    </row>
    <row r="378" spans="1:3">
      <c r="A378" s="94"/>
      <c r="B378" s="94"/>
      <c r="C378" s="95"/>
    </row>
    <row r="379" spans="1:3">
      <c r="A379" s="94"/>
      <c r="B379" s="94"/>
      <c r="C379" s="95"/>
    </row>
    <row r="380" spans="1:3">
      <c r="A380" s="94"/>
      <c r="B380" s="94"/>
      <c r="C380" s="95"/>
    </row>
    <row r="381" spans="1:3">
      <c r="A381" s="94"/>
      <c r="B381" s="94"/>
      <c r="C381" s="95"/>
    </row>
    <row r="382" spans="1:3">
      <c r="A382" s="94"/>
      <c r="B382" s="94"/>
      <c r="C382" s="95"/>
    </row>
    <row r="383" spans="1:3">
      <c r="A383" s="94"/>
      <c r="B383" s="94"/>
      <c r="C383" s="95"/>
    </row>
    <row r="384" spans="1:3">
      <c r="A384" s="94"/>
      <c r="B384" s="94"/>
      <c r="C384" s="95"/>
    </row>
    <row r="385" spans="1:3">
      <c r="A385" s="94"/>
      <c r="B385" s="94"/>
      <c r="C385" s="95"/>
    </row>
    <row r="386" spans="1:3">
      <c r="A386" s="94"/>
      <c r="B386" s="94"/>
      <c r="C386" s="95"/>
    </row>
    <row r="387" spans="1:3">
      <c r="A387" s="94"/>
      <c r="B387" s="94"/>
      <c r="C387" s="95"/>
    </row>
    <row r="388" spans="1:3">
      <c r="A388" s="94"/>
      <c r="B388" s="94"/>
      <c r="C388" s="95"/>
    </row>
    <row r="389" spans="1:3">
      <c r="A389" s="94"/>
      <c r="B389" s="94"/>
      <c r="C389" s="95"/>
    </row>
    <row r="390" spans="1:3">
      <c r="A390" s="94"/>
      <c r="B390" s="94"/>
      <c r="C390" s="95"/>
    </row>
    <row r="391" spans="1:3">
      <c r="A391" s="94"/>
      <c r="B391" s="94"/>
      <c r="C391" s="95"/>
    </row>
    <row r="392" spans="1:3">
      <c r="A392" s="94"/>
      <c r="B392" s="94"/>
      <c r="C392" s="95"/>
    </row>
    <row r="393" spans="1:3">
      <c r="A393" s="94"/>
      <c r="B393" s="94"/>
      <c r="C393" s="95"/>
    </row>
    <row r="394" spans="1:3">
      <c r="A394" s="94"/>
      <c r="B394" s="94"/>
      <c r="C394" s="95"/>
    </row>
    <row r="395" spans="1:3">
      <c r="A395" s="94"/>
      <c r="B395" s="94"/>
      <c r="C395" s="95"/>
    </row>
    <row r="396" spans="1:3">
      <c r="A396" s="94"/>
      <c r="B396" s="94"/>
      <c r="C396" s="95"/>
    </row>
    <row r="397" spans="1:3">
      <c r="A397" s="94"/>
      <c r="B397" s="94"/>
      <c r="C397" s="95"/>
    </row>
    <row r="398" spans="1:3">
      <c r="A398" s="94"/>
      <c r="B398" s="94"/>
      <c r="C398" s="95"/>
    </row>
    <row r="399" spans="1:3">
      <c r="A399" s="94"/>
      <c r="B399" s="94"/>
      <c r="C399" s="95"/>
    </row>
    <row r="400" spans="1:3">
      <c r="A400" s="94"/>
      <c r="B400" s="94"/>
      <c r="C400" s="95"/>
    </row>
    <row r="401" spans="1:3">
      <c r="A401" s="94"/>
      <c r="B401" s="94"/>
      <c r="C401" s="95"/>
    </row>
    <row r="402" spans="1:3">
      <c r="A402" s="94"/>
      <c r="B402" s="94"/>
      <c r="C402" s="95"/>
    </row>
    <row r="403" spans="1:3">
      <c r="A403" s="94"/>
      <c r="B403" s="94"/>
      <c r="C403" s="95"/>
    </row>
    <row r="404" spans="1:3">
      <c r="A404" s="94"/>
      <c r="B404" s="94"/>
      <c r="C404" s="95"/>
    </row>
    <row r="405" spans="1:3">
      <c r="A405" s="94"/>
      <c r="B405" s="94"/>
      <c r="C405" s="95"/>
    </row>
    <row r="406" spans="1:3">
      <c r="A406" s="94"/>
      <c r="B406" s="94"/>
      <c r="C406" s="95"/>
    </row>
    <row r="407" spans="1:3">
      <c r="A407" s="94"/>
      <c r="B407" s="94"/>
      <c r="C407" s="95"/>
    </row>
    <row r="408" spans="1:3">
      <c r="A408" s="94"/>
      <c r="B408" s="94"/>
      <c r="C408" s="95"/>
    </row>
    <row r="409" spans="1:3">
      <c r="A409" s="94"/>
      <c r="B409" s="94"/>
      <c r="C409" s="95"/>
    </row>
    <row r="410" spans="1:3">
      <c r="A410" s="94"/>
      <c r="B410" s="94"/>
      <c r="C410" s="95"/>
    </row>
    <row r="411" spans="1:3">
      <c r="A411" s="94"/>
      <c r="B411" s="94"/>
      <c r="C411" s="95"/>
    </row>
    <row r="412" spans="1:3">
      <c r="A412" s="94"/>
      <c r="B412" s="94"/>
      <c r="C412" s="95"/>
    </row>
    <row r="413" spans="1:3">
      <c r="A413" s="94"/>
      <c r="B413" s="94"/>
      <c r="C413" s="95"/>
    </row>
    <row r="414" spans="1:3">
      <c r="A414" s="94"/>
      <c r="B414" s="94"/>
      <c r="C414" s="95"/>
    </row>
    <row r="415" spans="1:3">
      <c r="A415" s="94"/>
      <c r="B415" s="94"/>
      <c r="C415" s="95"/>
    </row>
    <row r="416" spans="1:3">
      <c r="A416" s="94"/>
      <c r="B416" s="94"/>
      <c r="C416" s="95"/>
    </row>
    <row r="417" spans="1:3">
      <c r="A417" s="94"/>
      <c r="B417" s="94"/>
      <c r="C417" s="95"/>
    </row>
    <row r="418" spans="1:3">
      <c r="A418" s="94"/>
      <c r="B418" s="94"/>
      <c r="C418" s="95"/>
    </row>
    <row r="419" spans="1:3">
      <c r="A419" s="94"/>
      <c r="B419" s="94"/>
      <c r="C419" s="95"/>
    </row>
    <row r="420" spans="1:3">
      <c r="A420" s="94"/>
      <c r="B420" s="94"/>
      <c r="C420" s="95"/>
    </row>
    <row r="421" spans="1:3">
      <c r="A421" s="94"/>
      <c r="B421" s="94"/>
      <c r="C421" s="95"/>
    </row>
    <row r="422" spans="1:3">
      <c r="A422" s="94"/>
      <c r="B422" s="94"/>
      <c r="C422" s="95"/>
    </row>
    <row r="423" spans="1:3">
      <c r="A423" s="94"/>
      <c r="B423" s="94"/>
      <c r="C423" s="95"/>
    </row>
    <row r="424" spans="1:3">
      <c r="A424" s="94"/>
      <c r="B424" s="94"/>
      <c r="C424" s="95"/>
    </row>
    <row r="425" spans="1:3">
      <c r="A425" s="94"/>
      <c r="B425" s="94"/>
      <c r="C425" s="95"/>
    </row>
    <row r="426" spans="1:3">
      <c r="A426" s="94"/>
      <c r="B426" s="94"/>
      <c r="C426" s="95"/>
    </row>
    <row r="427" spans="1:3">
      <c r="A427" s="94"/>
      <c r="B427" s="94"/>
      <c r="C427" s="95"/>
    </row>
    <row r="428" spans="1:3">
      <c r="A428" s="94"/>
      <c r="B428" s="94"/>
      <c r="C428" s="95"/>
    </row>
    <row r="429" spans="1:3">
      <c r="A429" s="94"/>
      <c r="B429" s="94"/>
      <c r="C429" s="95"/>
    </row>
    <row r="430" spans="1:3">
      <c r="A430" s="94"/>
      <c r="B430" s="94"/>
      <c r="C430" s="95"/>
    </row>
    <row r="431" spans="1:3">
      <c r="A431" s="94"/>
      <c r="B431" s="94"/>
      <c r="C431" s="95"/>
    </row>
    <row r="432" spans="1:3">
      <c r="A432" s="94"/>
      <c r="B432" s="94"/>
      <c r="C432" s="95"/>
    </row>
    <row r="433" spans="1:3">
      <c r="A433" s="94"/>
      <c r="B433" s="94"/>
      <c r="C433" s="95"/>
    </row>
    <row r="434" spans="1:3">
      <c r="A434" s="94"/>
      <c r="B434" s="94"/>
      <c r="C434" s="95"/>
    </row>
    <row r="435" spans="1:3">
      <c r="A435" s="94"/>
      <c r="B435" s="94"/>
      <c r="C435" s="95"/>
    </row>
    <row r="436" spans="1:3">
      <c r="A436" s="94"/>
      <c r="B436" s="94"/>
      <c r="C436" s="95"/>
    </row>
    <row r="437" spans="1:3">
      <c r="A437" s="94"/>
      <c r="B437" s="94"/>
      <c r="C437" s="95"/>
    </row>
    <row r="438" spans="1:3">
      <c r="A438" s="94"/>
      <c r="B438" s="94"/>
      <c r="C438" s="95"/>
    </row>
    <row r="439" spans="1:3">
      <c r="A439" s="94"/>
      <c r="B439" s="94"/>
      <c r="C439" s="95"/>
    </row>
    <row r="440" spans="1:3">
      <c r="A440" s="94"/>
      <c r="B440" s="94"/>
      <c r="C440" s="95"/>
    </row>
    <row r="441" spans="1:3">
      <c r="A441" s="94"/>
      <c r="B441" s="94"/>
      <c r="C441" s="95"/>
    </row>
    <row r="442" spans="1:3">
      <c r="A442" s="94"/>
      <c r="B442" s="94"/>
      <c r="C442" s="95"/>
    </row>
    <row r="443" spans="1:3">
      <c r="A443" s="94"/>
      <c r="B443" s="94"/>
      <c r="C443" s="95"/>
    </row>
    <row r="444" spans="1:3">
      <c r="A444" s="94"/>
      <c r="B444" s="94"/>
      <c r="C444" s="95"/>
    </row>
    <row r="445" spans="1:3">
      <c r="A445" s="94"/>
      <c r="B445" s="94"/>
      <c r="C445" s="95"/>
    </row>
    <row r="446" spans="1:3">
      <c r="A446" s="94"/>
      <c r="B446" s="94"/>
      <c r="C446" s="95"/>
    </row>
    <row r="447" spans="1:3">
      <c r="A447" s="94"/>
      <c r="B447" s="94"/>
      <c r="C447" s="95"/>
    </row>
    <row r="448" spans="1:3">
      <c r="A448" s="94"/>
      <c r="B448" s="94"/>
      <c r="C448" s="95"/>
    </row>
    <row r="449" spans="1:3">
      <c r="A449" s="94"/>
      <c r="B449" s="94"/>
      <c r="C449" s="95"/>
    </row>
    <row r="450" spans="1:3">
      <c r="A450" s="94"/>
      <c r="B450" s="94"/>
      <c r="C450" s="95"/>
    </row>
    <row r="451" spans="1:3">
      <c r="A451" s="94"/>
      <c r="B451" s="94"/>
      <c r="C451" s="95"/>
    </row>
    <row r="452" spans="1:3">
      <c r="A452" s="94"/>
      <c r="B452" s="94"/>
      <c r="C452" s="95"/>
    </row>
    <row r="453" spans="1:3">
      <c r="A453" s="94"/>
      <c r="B453" s="94"/>
      <c r="C453" s="95"/>
    </row>
    <row r="454" spans="1:3">
      <c r="A454" s="94"/>
      <c r="B454" s="94"/>
      <c r="C454" s="95"/>
    </row>
    <row r="455" spans="1:3">
      <c r="A455" s="94"/>
      <c r="B455" s="94"/>
      <c r="C455" s="95"/>
    </row>
    <row r="456" spans="1:3">
      <c r="A456" s="94"/>
      <c r="B456" s="94"/>
      <c r="C456" s="95"/>
    </row>
    <row r="457" spans="1:3">
      <c r="A457" s="94"/>
      <c r="B457" s="94"/>
      <c r="C457" s="95"/>
    </row>
    <row r="458" spans="1:3">
      <c r="A458" s="94"/>
      <c r="B458" s="94"/>
      <c r="C458" s="95"/>
    </row>
    <row r="459" spans="1:3">
      <c r="A459" s="94"/>
      <c r="B459" s="94"/>
      <c r="C459" s="95"/>
    </row>
    <row r="460" spans="1:3">
      <c r="A460" s="94"/>
      <c r="B460" s="94"/>
      <c r="C460" s="95"/>
    </row>
    <row r="461" spans="1:3">
      <c r="A461" s="94"/>
      <c r="B461" s="94"/>
      <c r="C461" s="95"/>
    </row>
    <row r="462" spans="1:3">
      <c r="A462" s="94"/>
      <c r="B462" s="94"/>
      <c r="C462" s="95"/>
    </row>
    <row r="463" spans="1:3">
      <c r="A463" s="94"/>
      <c r="B463" s="94"/>
      <c r="C463" s="95"/>
    </row>
    <row r="464" spans="1:3">
      <c r="A464" s="94"/>
      <c r="B464" s="94"/>
      <c r="C464" s="95"/>
    </row>
    <row r="465" spans="1:3">
      <c r="A465" s="94"/>
      <c r="B465" s="94"/>
      <c r="C465" s="95"/>
    </row>
    <row r="466" spans="1:3">
      <c r="A466" s="94"/>
      <c r="B466" s="94"/>
      <c r="C466" s="95"/>
    </row>
    <row r="467" spans="1:3">
      <c r="A467" s="94"/>
      <c r="B467" s="94"/>
      <c r="C467" s="95"/>
    </row>
    <row r="468" spans="1:3">
      <c r="A468" s="94"/>
      <c r="B468" s="94"/>
      <c r="C468" s="95"/>
    </row>
    <row r="469" spans="1:3">
      <c r="A469" s="94"/>
      <c r="B469" s="94"/>
      <c r="C469" s="95"/>
    </row>
    <row r="470" spans="1:3">
      <c r="A470" s="94"/>
      <c r="B470" s="94"/>
      <c r="C470" s="95"/>
    </row>
    <row r="471" spans="1:3">
      <c r="A471" s="94"/>
      <c r="B471" s="94"/>
      <c r="C471" s="95"/>
    </row>
    <row r="472" spans="1:3">
      <c r="A472" s="94"/>
      <c r="B472" s="94"/>
      <c r="C472" s="95"/>
    </row>
    <row r="473" spans="1:3">
      <c r="A473" s="94"/>
      <c r="B473" s="94"/>
      <c r="C473" s="95"/>
    </row>
    <row r="474" spans="1:3">
      <c r="A474" s="94"/>
      <c r="B474" s="94"/>
      <c r="C474" s="95"/>
    </row>
    <row r="475" spans="1:3">
      <c r="A475" s="94"/>
      <c r="B475" s="94"/>
      <c r="C475" s="95"/>
    </row>
    <row r="476" spans="1:3">
      <c r="A476" s="94"/>
      <c r="B476" s="94"/>
      <c r="C476" s="95"/>
    </row>
    <row r="477" spans="1:3">
      <c r="A477" s="94"/>
      <c r="B477" s="94"/>
      <c r="C477" s="95"/>
    </row>
    <row r="478" spans="1:3">
      <c r="A478" s="94"/>
      <c r="B478" s="94"/>
      <c r="C478" s="95"/>
    </row>
    <row r="479" spans="1:3">
      <c r="A479" s="94"/>
      <c r="B479" s="94"/>
      <c r="C479" s="95"/>
    </row>
    <row r="480" spans="1:3">
      <c r="A480" s="94"/>
      <c r="B480" s="94"/>
      <c r="C480" s="95"/>
    </row>
    <row r="481" spans="1:3">
      <c r="A481" s="94"/>
      <c r="B481" s="94"/>
      <c r="C481" s="95"/>
    </row>
    <row r="482" spans="1:3">
      <c r="A482" s="94"/>
      <c r="B482" s="94"/>
      <c r="C482" s="95"/>
    </row>
    <row r="483" spans="1:3">
      <c r="A483" s="94"/>
      <c r="B483" s="94"/>
      <c r="C483" s="95"/>
    </row>
    <row r="484" spans="1:3">
      <c r="A484" s="94"/>
      <c r="B484" s="94"/>
      <c r="C484" s="95"/>
    </row>
    <row r="485" spans="1:3">
      <c r="A485" s="94"/>
      <c r="B485" s="94"/>
      <c r="C485" s="95"/>
    </row>
    <row r="486" spans="1:3">
      <c r="A486" s="94"/>
      <c r="B486" s="94"/>
      <c r="C486" s="95"/>
    </row>
    <row r="487" spans="1:3">
      <c r="A487" s="94"/>
      <c r="B487" s="94"/>
      <c r="C487" s="95"/>
    </row>
    <row r="488" spans="1:3">
      <c r="A488" s="94"/>
      <c r="B488" s="94"/>
      <c r="C488" s="95"/>
    </row>
    <row r="489" spans="1:3">
      <c r="A489" s="94"/>
      <c r="B489" s="94"/>
      <c r="C489" s="95"/>
    </row>
    <row r="490" spans="1:3">
      <c r="A490" s="94"/>
      <c r="B490" s="94"/>
      <c r="C490" s="95"/>
    </row>
    <row r="491" spans="1:3">
      <c r="A491" s="94"/>
      <c r="B491" s="94"/>
      <c r="C491" s="95"/>
    </row>
    <row r="492" spans="1:3">
      <c r="A492" s="94"/>
      <c r="B492" s="94"/>
      <c r="C492" s="95"/>
    </row>
    <row r="493" spans="1:3">
      <c r="A493" s="94"/>
      <c r="B493" s="94"/>
      <c r="C493" s="95"/>
    </row>
    <row r="494" spans="1:3">
      <c r="A494" s="94"/>
      <c r="B494" s="94"/>
      <c r="C494" s="95"/>
    </row>
    <row r="495" spans="1:3">
      <c r="A495" s="94"/>
      <c r="B495" s="94"/>
      <c r="C495" s="95"/>
    </row>
    <row r="496" spans="1:3">
      <c r="A496" s="94"/>
      <c r="B496" s="94"/>
      <c r="C496" s="95"/>
    </row>
    <row r="497" spans="1:3">
      <c r="A497" s="94"/>
      <c r="B497" s="94"/>
      <c r="C497" s="95"/>
    </row>
    <row r="498" spans="1:3">
      <c r="A498" s="94"/>
      <c r="B498" s="94"/>
      <c r="C498" s="95"/>
    </row>
    <row r="499" spans="1:3">
      <c r="A499" s="94"/>
      <c r="B499" s="94"/>
      <c r="C499" s="95"/>
    </row>
    <row r="500" spans="1:3">
      <c r="A500" s="94"/>
      <c r="B500" s="94"/>
      <c r="C500" s="95"/>
    </row>
    <row r="501" spans="1:3">
      <c r="A501" s="94"/>
      <c r="B501" s="94"/>
      <c r="C501" s="95"/>
    </row>
    <row r="502" spans="1:3">
      <c r="A502" s="94"/>
      <c r="B502" s="94"/>
      <c r="C502" s="95"/>
    </row>
    <row r="503" spans="1:3">
      <c r="A503" s="94"/>
      <c r="B503" s="94"/>
      <c r="C503" s="95"/>
    </row>
    <row r="504" spans="1:3">
      <c r="A504" s="94"/>
      <c r="B504" s="94"/>
      <c r="C504" s="95"/>
    </row>
    <row r="505" spans="1:3">
      <c r="A505" s="94"/>
      <c r="B505" s="94"/>
      <c r="C505" s="95"/>
    </row>
    <row r="506" spans="1:3">
      <c r="A506" s="94"/>
      <c r="B506" s="94"/>
      <c r="C506" s="95"/>
    </row>
    <row r="507" spans="1:3">
      <c r="A507" s="94"/>
      <c r="B507" s="94"/>
      <c r="C507" s="95"/>
    </row>
    <row r="508" spans="1:3">
      <c r="A508" s="94"/>
      <c r="B508" s="94"/>
      <c r="C508" s="95"/>
    </row>
    <row r="509" spans="1:3">
      <c r="A509" s="94"/>
      <c r="B509" s="94"/>
      <c r="C509" s="95"/>
    </row>
    <row r="510" spans="1:3">
      <c r="A510" s="94"/>
      <c r="B510" s="94"/>
      <c r="C510" s="95"/>
    </row>
    <row r="511" spans="1:3">
      <c r="A511" s="94"/>
      <c r="B511" s="94"/>
      <c r="C511" s="95"/>
    </row>
    <row r="512" spans="1:3">
      <c r="A512" s="94"/>
      <c r="B512" s="94"/>
      <c r="C512" s="95"/>
    </row>
    <row r="513" spans="1:3">
      <c r="A513" s="94"/>
      <c r="B513" s="94"/>
      <c r="C513" s="95"/>
    </row>
    <row r="514" spans="1:3">
      <c r="A514" s="94"/>
      <c r="B514" s="94"/>
      <c r="C514" s="95"/>
    </row>
    <row r="515" spans="1:3">
      <c r="A515" s="94"/>
      <c r="B515" s="94"/>
      <c r="C515" s="95"/>
    </row>
    <row r="516" spans="1:3">
      <c r="A516" s="94"/>
      <c r="B516" s="94"/>
      <c r="C516" s="95"/>
    </row>
    <row r="517" spans="1:3">
      <c r="A517" s="94"/>
      <c r="B517" s="94"/>
      <c r="C517" s="95"/>
    </row>
    <row r="518" spans="1:3">
      <c r="A518" s="94"/>
      <c r="B518" s="94"/>
      <c r="C518" s="95"/>
    </row>
    <row r="519" spans="1:3">
      <c r="A519" s="94"/>
      <c r="B519" s="94"/>
      <c r="C519" s="95"/>
    </row>
    <row r="520" spans="1:3">
      <c r="A520" s="94"/>
      <c r="B520" s="94"/>
      <c r="C520" s="95"/>
    </row>
    <row r="521" spans="1:3">
      <c r="A521" s="94"/>
      <c r="B521" s="94"/>
      <c r="C521" s="95"/>
    </row>
    <row r="522" spans="1:3">
      <c r="A522" s="94"/>
      <c r="B522" s="94"/>
      <c r="C522" s="95"/>
    </row>
    <row r="523" spans="1:3">
      <c r="A523" s="94"/>
      <c r="B523" s="94"/>
      <c r="C523" s="95"/>
    </row>
    <row r="524" spans="1:3">
      <c r="A524" s="94"/>
      <c r="B524" s="94"/>
      <c r="C524" s="95"/>
    </row>
    <row r="525" spans="1:3">
      <c r="A525" s="94"/>
      <c r="B525" s="94"/>
      <c r="C525" s="95"/>
    </row>
    <row r="526" spans="1:3">
      <c r="A526" s="94"/>
      <c r="B526" s="94"/>
      <c r="C526" s="95"/>
    </row>
    <row r="527" spans="1:3">
      <c r="A527" s="94"/>
      <c r="B527" s="94"/>
      <c r="C527" s="95"/>
    </row>
    <row r="528" spans="1:3">
      <c r="A528" s="94"/>
      <c r="B528" s="94"/>
      <c r="C528" s="95"/>
    </row>
    <row r="529" spans="1:3">
      <c r="A529" s="94"/>
      <c r="B529" s="94"/>
      <c r="C529" s="95"/>
    </row>
    <row r="530" spans="1:3">
      <c r="A530" s="94"/>
      <c r="B530" s="94"/>
      <c r="C530" s="95"/>
    </row>
    <row r="531" spans="1:3">
      <c r="A531" s="94"/>
      <c r="B531" s="94"/>
      <c r="C531" s="95"/>
    </row>
    <row r="532" spans="1:3">
      <c r="A532" s="94"/>
      <c r="B532" s="94"/>
      <c r="C532" s="95"/>
    </row>
    <row r="533" spans="1:3">
      <c r="A533" s="94"/>
      <c r="B533" s="94"/>
      <c r="C533" s="95"/>
    </row>
    <row r="534" spans="1:3">
      <c r="A534" s="94"/>
      <c r="B534" s="94"/>
      <c r="C534" s="95"/>
    </row>
    <row r="535" spans="1:3">
      <c r="A535" s="94"/>
      <c r="B535" s="94"/>
      <c r="C535" s="95"/>
    </row>
    <row r="536" spans="1:3">
      <c r="A536" s="94"/>
      <c r="B536" s="94"/>
      <c r="C536" s="95"/>
    </row>
    <row r="537" spans="1:3">
      <c r="A537" s="94"/>
      <c r="B537" s="94"/>
      <c r="C537" s="95"/>
    </row>
    <row r="538" spans="1:3">
      <c r="A538" s="94"/>
      <c r="B538" s="94"/>
      <c r="C538" s="95"/>
    </row>
    <row r="539" spans="1:3">
      <c r="A539" s="94"/>
      <c r="B539" s="94"/>
      <c r="C539" s="95"/>
    </row>
    <row r="540" spans="1:3">
      <c r="A540" s="94"/>
      <c r="B540" s="94"/>
      <c r="C540" s="95"/>
    </row>
    <row r="541" spans="1:3">
      <c r="A541" s="94"/>
      <c r="B541" s="94"/>
      <c r="C541" s="95"/>
    </row>
    <row r="542" spans="1:3">
      <c r="A542" s="94"/>
      <c r="B542" s="94"/>
      <c r="C542" s="95"/>
    </row>
    <row r="543" spans="1:3">
      <c r="A543" s="94"/>
      <c r="B543" s="94"/>
      <c r="C543" s="95"/>
    </row>
    <row r="544" spans="1:3">
      <c r="A544" s="94"/>
      <c r="B544" s="94"/>
      <c r="C544" s="95"/>
    </row>
    <row r="545" spans="1:3">
      <c r="A545" s="94"/>
      <c r="B545" s="94"/>
      <c r="C545" s="95"/>
    </row>
    <row r="546" spans="1:3">
      <c r="A546" s="94"/>
      <c r="B546" s="94"/>
      <c r="C546" s="95"/>
    </row>
    <row r="547" spans="1:3">
      <c r="A547" s="94"/>
      <c r="B547" s="94"/>
      <c r="C547" s="95"/>
    </row>
    <row r="548" spans="1:3">
      <c r="A548" s="94"/>
      <c r="B548" s="94"/>
      <c r="C548" s="95"/>
    </row>
    <row r="549" spans="1:3">
      <c r="A549" s="94"/>
      <c r="B549" s="94"/>
      <c r="C549" s="95"/>
    </row>
    <row r="550" spans="1:3">
      <c r="A550" s="94"/>
      <c r="B550" s="94"/>
      <c r="C550" s="95"/>
    </row>
    <row r="551" spans="1:3">
      <c r="A551" s="94"/>
      <c r="B551" s="94"/>
      <c r="C551" s="95"/>
    </row>
    <row r="552" spans="1:3">
      <c r="A552" s="94"/>
      <c r="B552" s="94"/>
      <c r="C552" s="95"/>
    </row>
    <row r="553" spans="1:3">
      <c r="A553" s="94"/>
      <c r="B553" s="94"/>
      <c r="C553" s="95"/>
    </row>
    <row r="554" spans="1:3">
      <c r="A554" s="94"/>
      <c r="B554" s="94"/>
      <c r="C554" s="95"/>
    </row>
    <row r="555" spans="1:3">
      <c r="A555" s="94"/>
      <c r="B555" s="94"/>
      <c r="C555" s="95"/>
    </row>
    <row r="556" spans="1:3">
      <c r="A556" s="94"/>
      <c r="B556" s="94"/>
      <c r="C556" s="95"/>
    </row>
    <row r="557" spans="1:3">
      <c r="A557" s="94"/>
      <c r="B557" s="94"/>
      <c r="C557" s="95"/>
    </row>
    <row r="558" spans="1:3">
      <c r="A558" s="94"/>
      <c r="B558" s="94"/>
      <c r="C558" s="95"/>
    </row>
    <row r="559" spans="1:3">
      <c r="A559" s="94"/>
      <c r="B559" s="94"/>
      <c r="C559" s="95"/>
    </row>
    <row r="560" spans="1:3">
      <c r="A560" s="94"/>
      <c r="B560" s="94"/>
      <c r="C560" s="95"/>
    </row>
    <row r="561" spans="1:3">
      <c r="A561" s="94"/>
      <c r="B561" s="94"/>
      <c r="C561" s="95"/>
    </row>
    <row r="562" spans="1:3">
      <c r="A562" s="94"/>
      <c r="B562" s="94"/>
      <c r="C562" s="95"/>
    </row>
    <row r="563" spans="1:3">
      <c r="A563" s="94"/>
      <c r="B563" s="94"/>
      <c r="C563" s="95"/>
    </row>
    <row r="564" spans="1:3">
      <c r="A564" s="94"/>
      <c r="B564" s="94"/>
      <c r="C564" s="95"/>
    </row>
    <row r="565" spans="1:3">
      <c r="A565" s="94"/>
      <c r="B565" s="94"/>
      <c r="C565" s="95"/>
    </row>
    <row r="566" spans="1:3">
      <c r="A566" s="94"/>
      <c r="B566" s="94"/>
      <c r="C566" s="95"/>
    </row>
    <row r="567" spans="1:3">
      <c r="A567" s="94"/>
      <c r="B567" s="94"/>
      <c r="C567" s="95"/>
    </row>
    <row r="568" spans="1:3">
      <c r="A568" s="94"/>
      <c r="B568" s="94"/>
      <c r="C568" s="95"/>
    </row>
    <row r="569" spans="1:3">
      <c r="A569" s="94"/>
      <c r="B569" s="94"/>
      <c r="C569" s="95"/>
    </row>
    <row r="570" spans="1:3">
      <c r="A570" s="94"/>
      <c r="B570" s="94"/>
      <c r="C570" s="95"/>
    </row>
    <row r="571" spans="1:3">
      <c r="A571" s="94"/>
      <c r="B571" s="94"/>
      <c r="C571" s="95"/>
    </row>
    <row r="572" spans="1:3">
      <c r="A572" s="94"/>
      <c r="B572" s="94"/>
      <c r="C572" s="95"/>
    </row>
    <row r="573" spans="1:3">
      <c r="A573" s="94"/>
      <c r="B573" s="94"/>
      <c r="C573" s="95"/>
    </row>
    <row r="574" spans="1:3">
      <c r="A574" s="94"/>
      <c r="B574" s="94"/>
      <c r="C574" s="95"/>
    </row>
    <row r="575" spans="1:3">
      <c r="A575" s="94"/>
      <c r="B575" s="94"/>
      <c r="C575" s="95"/>
    </row>
    <row r="576" spans="1:3">
      <c r="A576" s="94"/>
      <c r="B576" s="94"/>
      <c r="C576" s="95"/>
    </row>
    <row r="577" spans="1:3">
      <c r="A577" s="94"/>
      <c r="B577" s="94"/>
      <c r="C577" s="95"/>
    </row>
    <row r="578" spans="1:3">
      <c r="A578" s="94"/>
      <c r="B578" s="94"/>
      <c r="C578" s="95"/>
    </row>
    <row r="579" spans="1:3">
      <c r="A579" s="94"/>
      <c r="B579" s="94"/>
      <c r="C579" s="95"/>
    </row>
    <row r="580" spans="1:3">
      <c r="A580" s="94"/>
      <c r="B580" s="94"/>
      <c r="C580" s="95"/>
    </row>
    <row r="581" spans="1:3">
      <c r="A581" s="94"/>
      <c r="B581" s="94"/>
      <c r="C581" s="95"/>
    </row>
    <row r="582" spans="1:3">
      <c r="A582" s="94"/>
      <c r="B582" s="94"/>
      <c r="C582" s="95"/>
    </row>
    <row r="583" spans="1:3">
      <c r="A583" s="94"/>
      <c r="B583" s="94"/>
      <c r="C583" s="95"/>
    </row>
    <row r="584" spans="1:3">
      <c r="A584" s="94"/>
      <c r="B584" s="94"/>
      <c r="C584" s="95"/>
    </row>
    <row r="585" spans="1:3">
      <c r="A585" s="94"/>
      <c r="B585" s="94"/>
      <c r="C585" s="95"/>
    </row>
    <row r="586" spans="1:3">
      <c r="A586" s="94"/>
      <c r="B586" s="94"/>
      <c r="C586" s="95"/>
    </row>
    <row r="587" spans="1:3">
      <c r="A587" s="94"/>
      <c r="B587" s="94"/>
      <c r="C587" s="95"/>
    </row>
    <row r="588" spans="1:3">
      <c r="A588" s="94"/>
      <c r="B588" s="94"/>
      <c r="C588" s="95"/>
    </row>
    <row r="589" spans="1:3">
      <c r="A589" s="94"/>
      <c r="B589" s="94"/>
      <c r="C589" s="95"/>
    </row>
    <row r="590" spans="1:3">
      <c r="A590" s="94"/>
      <c r="B590" s="94"/>
      <c r="C590" s="95"/>
    </row>
    <row r="591" spans="1:3">
      <c r="A591" s="94"/>
      <c r="B591" s="94"/>
      <c r="C591" s="95"/>
    </row>
    <row r="592" spans="1:3">
      <c r="A592" s="94"/>
      <c r="B592" s="94"/>
      <c r="C592" s="95"/>
    </row>
    <row r="593" spans="1:3">
      <c r="A593" s="94"/>
      <c r="B593" s="94"/>
      <c r="C593" s="95"/>
    </row>
    <row r="594" spans="1:3">
      <c r="A594" s="94"/>
      <c r="B594" s="94"/>
      <c r="C594" s="95"/>
    </row>
    <row r="595" spans="1:3">
      <c r="A595" s="94"/>
      <c r="B595" s="94"/>
      <c r="C595" s="95"/>
    </row>
    <row r="596" spans="1:3">
      <c r="A596" s="94"/>
      <c r="B596" s="94"/>
      <c r="C596" s="95"/>
    </row>
    <row r="597" spans="1:3">
      <c r="A597" s="94"/>
      <c r="B597" s="94"/>
      <c r="C597" s="95"/>
    </row>
    <row r="598" spans="1:3">
      <c r="A598" s="94"/>
      <c r="B598" s="94"/>
      <c r="C598" s="95"/>
    </row>
    <row r="599" spans="1:3">
      <c r="A599" s="94"/>
      <c r="B599" s="94"/>
      <c r="C599" s="95"/>
    </row>
    <row r="600" spans="1:3">
      <c r="A600" s="94"/>
      <c r="B600" s="94"/>
      <c r="C600" s="95"/>
    </row>
    <row r="601" spans="1:3">
      <c r="A601" s="94"/>
      <c r="B601" s="94"/>
      <c r="C601" s="95"/>
    </row>
    <row r="602" spans="1:3">
      <c r="A602" s="94"/>
      <c r="B602" s="94"/>
      <c r="C602" s="95"/>
    </row>
    <row r="603" spans="1:3">
      <c r="A603" s="94"/>
      <c r="B603" s="94"/>
      <c r="C603" s="95"/>
    </row>
    <row r="604" spans="1:3">
      <c r="A604" s="94"/>
      <c r="B604" s="94"/>
      <c r="C604" s="95"/>
    </row>
    <row r="605" spans="1:3">
      <c r="A605" s="94"/>
      <c r="B605" s="94"/>
      <c r="C605" s="95"/>
    </row>
    <row r="606" spans="1:3">
      <c r="A606" s="94"/>
      <c r="B606" s="94"/>
      <c r="C606" s="95"/>
    </row>
    <row r="607" spans="1:3">
      <c r="A607" s="94"/>
      <c r="B607" s="94"/>
      <c r="C607" s="95"/>
    </row>
    <row r="608" spans="1:3">
      <c r="A608" s="94"/>
      <c r="B608" s="94"/>
      <c r="C608" s="95"/>
    </row>
    <row r="609" spans="1:3">
      <c r="A609" s="94"/>
      <c r="B609" s="94"/>
      <c r="C609" s="95"/>
    </row>
    <row r="610" spans="1:3">
      <c r="A610" s="94"/>
      <c r="B610" s="94"/>
      <c r="C610" s="95"/>
    </row>
    <row r="611" spans="1:3">
      <c r="A611" s="94"/>
      <c r="B611" s="94"/>
      <c r="C611" s="95"/>
    </row>
    <row r="612" spans="1:3">
      <c r="A612" s="94"/>
      <c r="B612" s="94"/>
      <c r="C612" s="95"/>
    </row>
    <row r="613" spans="1:3">
      <c r="A613" s="94"/>
      <c r="B613" s="94"/>
      <c r="C613" s="95"/>
    </row>
    <row r="614" spans="1:3">
      <c r="A614" s="94"/>
      <c r="B614" s="94"/>
      <c r="C614" s="95"/>
    </row>
    <row r="615" spans="1:3">
      <c r="A615" s="94"/>
      <c r="B615" s="94"/>
      <c r="C615" s="95"/>
    </row>
    <row r="616" spans="1:3">
      <c r="A616" s="94"/>
      <c r="B616" s="94"/>
      <c r="C616" s="95"/>
    </row>
    <row r="617" spans="1:3">
      <c r="A617" s="94"/>
      <c r="B617" s="94"/>
      <c r="C617" s="95"/>
    </row>
    <row r="618" spans="1:3">
      <c r="A618" s="94"/>
      <c r="B618" s="94"/>
      <c r="C618" s="95"/>
    </row>
    <row r="619" spans="1:3">
      <c r="A619" s="94"/>
      <c r="B619" s="94"/>
      <c r="C619" s="95"/>
    </row>
    <row r="620" spans="1:3">
      <c r="A620" s="94"/>
      <c r="B620" s="94"/>
      <c r="C620" s="95"/>
    </row>
    <row r="621" spans="1:3">
      <c r="A621" s="94"/>
      <c r="B621" s="94"/>
      <c r="C621" s="95"/>
    </row>
    <row r="622" spans="1:3">
      <c r="A622" s="94"/>
      <c r="B622" s="94"/>
      <c r="C622" s="95"/>
    </row>
    <row r="623" spans="1:3">
      <c r="A623" s="94"/>
      <c r="B623" s="94"/>
      <c r="C623" s="95"/>
    </row>
    <row r="624" spans="1:3">
      <c r="A624" s="94"/>
      <c r="B624" s="94"/>
      <c r="C624" s="95"/>
    </row>
    <row r="625" spans="1:3">
      <c r="A625" s="94"/>
      <c r="B625" s="94"/>
      <c r="C625" s="95"/>
    </row>
    <row r="626" spans="1:3">
      <c r="A626" s="94"/>
      <c r="B626" s="94"/>
      <c r="C626" s="95"/>
    </row>
    <row r="627" spans="1:3">
      <c r="A627" s="94"/>
      <c r="B627" s="94"/>
      <c r="C627" s="95"/>
    </row>
    <row r="628" spans="1:3">
      <c r="A628" s="94"/>
      <c r="B628" s="94"/>
      <c r="C628" s="95"/>
    </row>
    <row r="629" spans="1:3">
      <c r="A629" s="94"/>
      <c r="B629" s="94"/>
      <c r="C629" s="95"/>
    </row>
    <row r="630" spans="1:3">
      <c r="A630" s="94"/>
      <c r="B630" s="94"/>
      <c r="C630" s="95"/>
    </row>
    <row r="631" spans="1:3">
      <c r="A631" s="94"/>
      <c r="B631" s="94"/>
      <c r="C631" s="95"/>
    </row>
    <row r="632" spans="1:3">
      <c r="A632" s="94"/>
      <c r="B632" s="94"/>
      <c r="C632" s="95"/>
    </row>
    <row r="633" spans="1:3">
      <c r="A633" s="94"/>
      <c r="B633" s="94"/>
      <c r="C633" s="95"/>
    </row>
    <row r="634" spans="1:3">
      <c r="A634" s="94"/>
      <c r="B634" s="94"/>
      <c r="C634" s="95"/>
    </row>
    <row r="635" spans="1:3">
      <c r="A635" s="94"/>
      <c r="B635" s="94"/>
      <c r="C635" s="95"/>
    </row>
    <row r="636" spans="1:3">
      <c r="A636" s="94"/>
      <c r="B636" s="94"/>
      <c r="C636" s="95"/>
    </row>
    <row r="637" spans="1:3">
      <c r="A637" s="94"/>
      <c r="B637" s="94"/>
      <c r="C637" s="95"/>
    </row>
    <row r="638" spans="1:3">
      <c r="A638" s="94"/>
      <c r="B638" s="94"/>
      <c r="C638" s="95"/>
    </row>
    <row r="639" spans="1:3">
      <c r="A639" s="94"/>
      <c r="B639" s="94"/>
      <c r="C639" s="95"/>
    </row>
    <row r="640" spans="1:3">
      <c r="A640" s="94"/>
      <c r="B640" s="94"/>
      <c r="C640" s="95"/>
    </row>
    <row r="641" spans="1:3">
      <c r="A641" s="94"/>
      <c r="B641" s="94"/>
      <c r="C641" s="95"/>
    </row>
    <row r="642" spans="1:3">
      <c r="A642" s="94"/>
      <c r="B642" s="94"/>
      <c r="C642" s="95"/>
    </row>
    <row r="643" spans="1:3">
      <c r="A643" s="94"/>
      <c r="B643" s="94"/>
      <c r="C643" s="95"/>
    </row>
    <row r="644" spans="1:3">
      <c r="A644" s="94"/>
      <c r="B644" s="94"/>
      <c r="C644" s="95"/>
    </row>
    <row r="645" spans="1:3">
      <c r="A645" s="94"/>
      <c r="B645" s="94"/>
      <c r="C645" s="95"/>
    </row>
    <row r="646" spans="1:3">
      <c r="A646" s="94"/>
      <c r="B646" s="94"/>
      <c r="C646" s="95"/>
    </row>
    <row r="647" spans="1:3">
      <c r="A647" s="94"/>
      <c r="B647" s="94"/>
      <c r="C647" s="95"/>
    </row>
    <row r="648" spans="1:3">
      <c r="A648" s="94"/>
      <c r="B648" s="94"/>
      <c r="C648" s="95"/>
    </row>
    <row r="649" spans="1:3">
      <c r="A649" s="94"/>
      <c r="B649" s="94"/>
      <c r="C649" s="95"/>
    </row>
    <row r="650" spans="1:3">
      <c r="A650" s="94"/>
      <c r="B650" s="94"/>
      <c r="C650" s="95"/>
    </row>
    <row r="651" spans="1:3">
      <c r="A651" s="94"/>
      <c r="B651" s="94"/>
      <c r="C651" s="95"/>
    </row>
    <row r="652" spans="1:3">
      <c r="A652" s="94"/>
      <c r="B652" s="94"/>
      <c r="C652" s="95"/>
    </row>
    <row r="653" spans="1:3">
      <c r="A653" s="94"/>
      <c r="B653" s="94"/>
      <c r="C653" s="95"/>
    </row>
    <row r="654" spans="1:3">
      <c r="A654" s="94"/>
      <c r="B654" s="94"/>
      <c r="C654" s="95"/>
    </row>
    <row r="655" spans="1:3">
      <c r="A655" s="94"/>
      <c r="B655" s="94"/>
      <c r="C655" s="95"/>
    </row>
    <row r="656" spans="1:3">
      <c r="A656" s="94"/>
      <c r="B656" s="94"/>
      <c r="C656" s="95"/>
    </row>
    <row r="657" spans="1:3">
      <c r="A657" s="94"/>
      <c r="B657" s="94"/>
      <c r="C657" s="95"/>
    </row>
    <row r="658" spans="1:3">
      <c r="A658" s="94"/>
      <c r="B658" s="94"/>
      <c r="C658" s="95"/>
    </row>
    <row r="659" spans="1:3">
      <c r="A659" s="94"/>
      <c r="B659" s="94"/>
      <c r="C659" s="95"/>
    </row>
    <row r="660" spans="1:3">
      <c r="A660" s="94"/>
      <c r="B660" s="94"/>
      <c r="C660" s="95"/>
    </row>
    <row r="661" spans="1:3">
      <c r="A661" s="94"/>
      <c r="B661" s="94"/>
      <c r="C661" s="95"/>
    </row>
    <row r="662" spans="1:3">
      <c r="A662" s="94"/>
      <c r="B662" s="94"/>
      <c r="C662" s="95"/>
    </row>
    <row r="663" spans="1:3">
      <c r="A663" s="94"/>
      <c r="B663" s="94"/>
      <c r="C663" s="95"/>
    </row>
    <row r="664" spans="1:3">
      <c r="A664" s="94"/>
      <c r="B664" s="94"/>
      <c r="C664" s="95"/>
    </row>
    <row r="665" spans="1:3">
      <c r="A665" s="94"/>
      <c r="B665" s="94"/>
      <c r="C665" s="95"/>
    </row>
    <row r="666" spans="1:3">
      <c r="A666" s="94"/>
      <c r="B666" s="94"/>
      <c r="C666" s="95"/>
    </row>
    <row r="667" spans="1:3">
      <c r="A667" s="94"/>
      <c r="B667" s="94"/>
      <c r="C667" s="95"/>
    </row>
    <row r="668" spans="1:3">
      <c r="A668" s="94"/>
      <c r="B668" s="94"/>
      <c r="C668" s="95"/>
    </row>
    <row r="669" spans="1:3">
      <c r="A669" s="94"/>
      <c r="B669" s="94"/>
      <c r="C669" s="95"/>
    </row>
    <row r="670" spans="1:3">
      <c r="A670" s="94"/>
      <c r="B670" s="94"/>
      <c r="C670" s="95"/>
    </row>
    <row r="671" spans="1:3">
      <c r="A671" s="94"/>
      <c r="B671" s="94"/>
      <c r="C671" s="95"/>
    </row>
    <row r="672" spans="1:3">
      <c r="A672" s="94"/>
      <c r="B672" s="94"/>
      <c r="C672" s="95"/>
    </row>
    <row r="673" spans="1:3">
      <c r="A673" s="94"/>
      <c r="B673" s="94"/>
      <c r="C673" s="95"/>
    </row>
    <row r="674" spans="1:3">
      <c r="A674" s="94"/>
      <c r="B674" s="94"/>
      <c r="C674" s="95"/>
    </row>
    <row r="675" spans="1:3">
      <c r="A675" s="94"/>
      <c r="B675" s="94"/>
      <c r="C675" s="95"/>
    </row>
    <row r="676" spans="1:3">
      <c r="A676" s="94"/>
      <c r="B676" s="94"/>
      <c r="C676" s="95"/>
    </row>
    <row r="677" spans="1:3">
      <c r="A677" s="94"/>
      <c r="B677" s="94"/>
      <c r="C677" s="95"/>
    </row>
    <row r="678" spans="1:3">
      <c r="A678" s="94"/>
      <c r="B678" s="94"/>
      <c r="C678" s="95"/>
    </row>
    <row r="679" spans="1:3">
      <c r="A679" s="94"/>
      <c r="B679" s="94"/>
      <c r="C679" s="95"/>
    </row>
    <row r="680" spans="1:3">
      <c r="A680" s="94"/>
      <c r="B680" s="94"/>
      <c r="C680" s="95"/>
    </row>
    <row r="681" spans="1:3">
      <c r="A681" s="94"/>
      <c r="B681" s="94"/>
      <c r="C681" s="95"/>
    </row>
    <row r="682" spans="1:3">
      <c r="A682" s="94"/>
      <c r="B682" s="94"/>
      <c r="C682" s="95"/>
    </row>
    <row r="683" spans="1:3">
      <c r="A683" s="94"/>
      <c r="B683" s="94"/>
      <c r="C683" s="95"/>
    </row>
    <row r="684" spans="1:3">
      <c r="A684" s="94"/>
      <c r="B684" s="94"/>
      <c r="C684" s="95"/>
    </row>
    <row r="685" spans="1:3">
      <c r="A685" s="94"/>
      <c r="B685" s="94"/>
      <c r="C685" s="95"/>
    </row>
    <row r="686" spans="1:3">
      <c r="A686" s="94"/>
      <c r="B686" s="94"/>
      <c r="C686" s="95"/>
    </row>
    <row r="687" spans="1:3">
      <c r="A687" s="94"/>
      <c r="B687" s="94"/>
      <c r="C687" s="95"/>
    </row>
    <row r="688" spans="1:3">
      <c r="A688" s="94"/>
      <c r="B688" s="94"/>
      <c r="C688" s="95"/>
    </row>
    <row r="689" spans="1:3">
      <c r="A689" s="94"/>
      <c r="B689" s="94"/>
      <c r="C689" s="95"/>
    </row>
    <row r="690" spans="1:3">
      <c r="A690" s="94"/>
      <c r="B690" s="94"/>
      <c r="C690" s="95"/>
    </row>
    <row r="691" spans="1:3">
      <c r="A691" s="94"/>
      <c r="B691" s="94"/>
      <c r="C691" s="95"/>
    </row>
    <row r="692" spans="1:3">
      <c r="A692" s="94"/>
      <c r="B692" s="94"/>
      <c r="C692" s="95"/>
    </row>
    <row r="693" spans="1:3">
      <c r="A693" s="94"/>
      <c r="B693" s="94"/>
      <c r="C693" s="95"/>
    </row>
    <row r="694" spans="1:3">
      <c r="A694" s="94"/>
      <c r="B694" s="94"/>
      <c r="C694" s="95"/>
    </row>
    <row r="695" spans="1:3">
      <c r="A695" s="94"/>
      <c r="B695" s="94"/>
      <c r="C695" s="95"/>
    </row>
    <row r="696" spans="1:3">
      <c r="A696" s="94"/>
      <c r="B696" s="94"/>
      <c r="C696" s="95"/>
    </row>
    <row r="697" spans="1:3">
      <c r="A697" s="94"/>
      <c r="B697" s="94"/>
      <c r="C697" s="95"/>
    </row>
    <row r="698" spans="1:3">
      <c r="A698" s="94"/>
      <c r="B698" s="94"/>
      <c r="C698" s="95"/>
    </row>
    <row r="699" spans="1:3">
      <c r="A699" s="94"/>
      <c r="B699" s="94"/>
      <c r="C699" s="95"/>
    </row>
    <row r="700" spans="1:3">
      <c r="A700" s="94"/>
      <c r="B700" s="94"/>
      <c r="C700" s="95"/>
    </row>
    <row r="701" spans="1:3">
      <c r="A701" s="94"/>
      <c r="B701" s="94"/>
      <c r="C701" s="95"/>
    </row>
    <row r="702" spans="1:3">
      <c r="A702" s="94"/>
      <c r="B702" s="94"/>
      <c r="C702" s="95"/>
    </row>
    <row r="703" spans="1:3">
      <c r="A703" s="94"/>
      <c r="B703" s="94"/>
      <c r="C703" s="95"/>
    </row>
    <row r="704" spans="1:3">
      <c r="A704" s="94"/>
      <c r="B704" s="94"/>
      <c r="C704" s="95"/>
    </row>
    <row r="705" spans="1:3">
      <c r="A705" s="94"/>
      <c r="B705" s="94"/>
      <c r="C705" s="95"/>
    </row>
    <row r="706" spans="1:3">
      <c r="A706" s="94"/>
      <c r="B706" s="94"/>
      <c r="C706" s="95"/>
    </row>
    <row r="707" spans="1:3">
      <c r="A707" s="94"/>
      <c r="B707" s="94"/>
      <c r="C707" s="95"/>
    </row>
    <row r="708" spans="1:3">
      <c r="A708" s="94"/>
      <c r="B708" s="94"/>
      <c r="C708" s="95"/>
    </row>
    <row r="709" spans="1:3">
      <c r="A709" s="94"/>
      <c r="B709" s="94"/>
      <c r="C709" s="95"/>
    </row>
    <row r="710" spans="1:3">
      <c r="A710" s="94"/>
      <c r="B710" s="94"/>
      <c r="C710" s="95"/>
    </row>
    <row r="711" spans="1:3">
      <c r="A711" s="94"/>
      <c r="B711" s="94"/>
      <c r="C711" s="95"/>
    </row>
    <row r="712" spans="1:3">
      <c r="A712" s="94"/>
      <c r="B712" s="94"/>
      <c r="C712" s="95"/>
    </row>
    <row r="713" spans="1:3">
      <c r="A713" s="94"/>
      <c r="B713" s="94"/>
      <c r="C713" s="95"/>
    </row>
    <row r="714" spans="1:3">
      <c r="A714" s="94"/>
      <c r="B714" s="94"/>
      <c r="C714" s="95"/>
    </row>
    <row r="715" spans="1:3">
      <c r="A715" s="94"/>
      <c r="B715" s="94"/>
      <c r="C715" s="95"/>
    </row>
    <row r="716" spans="1:3">
      <c r="A716" s="94"/>
      <c r="B716" s="94"/>
      <c r="C716" s="95"/>
    </row>
    <row r="717" spans="1:3">
      <c r="A717" s="94"/>
      <c r="B717" s="94"/>
      <c r="C717" s="95"/>
    </row>
    <row r="718" spans="1:3">
      <c r="A718" s="94"/>
      <c r="B718" s="94"/>
      <c r="C718" s="95"/>
    </row>
    <row r="719" spans="1:3">
      <c r="A719" s="94"/>
      <c r="B719" s="94"/>
      <c r="C719" s="95"/>
    </row>
    <row r="720" spans="1:3">
      <c r="A720" s="94"/>
      <c r="B720" s="94"/>
      <c r="C720" s="95"/>
    </row>
    <row r="721" spans="1:3">
      <c r="A721" s="94"/>
      <c r="B721" s="94"/>
      <c r="C721" s="95"/>
    </row>
    <row r="722" spans="1:3">
      <c r="A722" s="94"/>
      <c r="B722" s="94"/>
      <c r="C722" s="95"/>
    </row>
    <row r="723" spans="1:3">
      <c r="A723" s="94"/>
      <c r="B723" s="94"/>
      <c r="C723" s="95"/>
    </row>
    <row r="724" spans="1:3">
      <c r="A724" s="94"/>
      <c r="B724" s="94"/>
      <c r="C724" s="95"/>
    </row>
    <row r="725" spans="1:3">
      <c r="A725" s="94"/>
      <c r="B725" s="94"/>
      <c r="C725" s="95"/>
    </row>
    <row r="726" spans="1:3">
      <c r="A726" s="94"/>
      <c r="B726" s="94"/>
      <c r="C726" s="95"/>
    </row>
    <row r="727" spans="1:3">
      <c r="A727" s="94"/>
      <c r="B727" s="94"/>
      <c r="C727" s="95"/>
    </row>
    <row r="728" spans="1:3">
      <c r="A728" s="94"/>
      <c r="B728" s="94"/>
      <c r="C728" s="95"/>
    </row>
    <row r="729" spans="1:3">
      <c r="A729" s="94"/>
      <c r="B729" s="94"/>
      <c r="C729" s="95"/>
    </row>
    <row r="730" spans="1:3">
      <c r="A730" s="94"/>
      <c r="B730" s="94"/>
      <c r="C730" s="95"/>
    </row>
    <row r="731" spans="1:3">
      <c r="A731" s="94"/>
      <c r="B731" s="94"/>
      <c r="C731" s="95"/>
    </row>
    <row r="732" spans="1:3">
      <c r="A732" s="94"/>
      <c r="B732" s="94"/>
      <c r="C732" s="95"/>
    </row>
    <row r="733" spans="1:3">
      <c r="A733" s="94"/>
      <c r="B733" s="94"/>
      <c r="C733" s="95"/>
    </row>
    <row r="734" spans="1:3">
      <c r="A734" s="94"/>
      <c r="B734" s="94"/>
      <c r="C734" s="95"/>
    </row>
    <row r="735" spans="1:3">
      <c r="A735" s="94"/>
      <c r="B735" s="94"/>
      <c r="C735" s="95"/>
    </row>
    <row r="736" spans="1:3">
      <c r="A736" s="94"/>
      <c r="B736" s="94"/>
      <c r="C736" s="95"/>
    </row>
    <row r="737" spans="1:3">
      <c r="A737" s="94"/>
      <c r="B737" s="94"/>
      <c r="C737" s="95"/>
    </row>
    <row r="738" spans="1:3">
      <c r="A738" s="94"/>
      <c r="B738" s="94"/>
      <c r="C738" s="95"/>
    </row>
    <row r="739" spans="1:3">
      <c r="A739" s="94"/>
      <c r="B739" s="94"/>
      <c r="C739" s="95"/>
    </row>
    <row r="740" spans="1:3">
      <c r="A740" s="94"/>
      <c r="B740" s="94"/>
      <c r="C740" s="95"/>
    </row>
    <row r="741" spans="1:3">
      <c r="A741" s="94"/>
      <c r="B741" s="94"/>
      <c r="C741" s="95"/>
    </row>
    <row r="742" spans="1:3">
      <c r="A742" s="94"/>
      <c r="B742" s="94"/>
      <c r="C742" s="95"/>
    </row>
    <row r="743" spans="1:3">
      <c r="A743" s="94"/>
      <c r="B743" s="94"/>
      <c r="C743" s="95"/>
    </row>
    <row r="744" spans="1:3">
      <c r="A744" s="94"/>
      <c r="B744" s="94"/>
      <c r="C744" s="95"/>
    </row>
    <row r="745" spans="1:3">
      <c r="A745" s="94"/>
      <c r="B745" s="94"/>
      <c r="C745" s="95"/>
    </row>
    <row r="746" spans="1:3">
      <c r="A746" s="94"/>
      <c r="B746" s="94"/>
      <c r="C746" s="95"/>
    </row>
    <row r="747" spans="1:3">
      <c r="A747" s="94"/>
      <c r="B747" s="94"/>
      <c r="C747" s="95"/>
    </row>
    <row r="748" spans="1:3">
      <c r="A748" s="94"/>
      <c r="B748" s="94"/>
      <c r="C748" s="95"/>
    </row>
    <row r="749" spans="1:3">
      <c r="A749" s="94"/>
      <c r="B749" s="94"/>
      <c r="C749" s="95"/>
    </row>
    <row r="750" spans="1:3">
      <c r="A750" s="94"/>
      <c r="B750" s="94"/>
      <c r="C750" s="95"/>
    </row>
    <row r="751" spans="1:3">
      <c r="A751" s="94"/>
      <c r="B751" s="94"/>
      <c r="C751" s="95"/>
    </row>
    <row r="752" spans="1:3">
      <c r="A752" s="94"/>
      <c r="B752" s="94"/>
      <c r="C752" s="95"/>
    </row>
    <row r="753" spans="1:3">
      <c r="A753" s="94"/>
      <c r="B753" s="94"/>
      <c r="C753" s="95"/>
    </row>
    <row r="754" spans="1:3">
      <c r="A754" s="94"/>
      <c r="B754" s="94"/>
      <c r="C754" s="95"/>
    </row>
    <row r="755" spans="1:3">
      <c r="A755" s="94"/>
      <c r="B755" s="94"/>
      <c r="C755" s="95"/>
    </row>
    <row r="756" spans="1:3">
      <c r="A756" s="94"/>
      <c r="B756" s="94"/>
      <c r="C756" s="95"/>
    </row>
    <row r="757" spans="1:3">
      <c r="A757" s="94"/>
      <c r="B757" s="94"/>
      <c r="C757" s="95"/>
    </row>
    <row r="758" spans="1:3">
      <c r="A758" s="94"/>
      <c r="B758" s="94"/>
      <c r="C758" s="95"/>
    </row>
    <row r="759" spans="1:3">
      <c r="A759" s="94"/>
      <c r="B759" s="94"/>
      <c r="C759" s="95"/>
    </row>
    <row r="760" spans="1:3">
      <c r="A760" s="94"/>
      <c r="B760" s="94"/>
      <c r="C760" s="95"/>
    </row>
    <row r="761" spans="1:3">
      <c r="A761" s="94"/>
      <c r="B761" s="94"/>
      <c r="C761" s="95"/>
    </row>
    <row r="762" spans="1:3">
      <c r="A762" s="94"/>
      <c r="B762" s="94"/>
      <c r="C762" s="95"/>
    </row>
    <row r="763" spans="1:3">
      <c r="A763" s="94"/>
      <c r="B763" s="94"/>
      <c r="C763" s="95"/>
    </row>
    <row r="764" spans="1:3">
      <c r="A764" s="94"/>
      <c r="B764" s="94"/>
      <c r="C764" s="95"/>
    </row>
    <row r="765" spans="1:3">
      <c r="A765" s="94"/>
      <c r="B765" s="94"/>
      <c r="C765" s="95"/>
    </row>
    <row r="766" spans="1:3">
      <c r="A766" s="94"/>
      <c r="B766" s="94"/>
      <c r="C766" s="95"/>
    </row>
    <row r="767" spans="1:3">
      <c r="A767" s="94"/>
      <c r="B767" s="94"/>
      <c r="C767" s="95"/>
    </row>
    <row r="768" spans="1:3">
      <c r="A768" s="94"/>
      <c r="B768" s="94"/>
      <c r="C768" s="95"/>
    </row>
    <row r="769" spans="1:3">
      <c r="A769" s="94"/>
      <c r="B769" s="94"/>
      <c r="C769" s="95"/>
    </row>
    <row r="770" spans="1:3">
      <c r="A770" s="94"/>
      <c r="B770" s="94"/>
      <c r="C770" s="95"/>
    </row>
    <row r="771" spans="1:3">
      <c r="A771" s="94"/>
      <c r="B771" s="94"/>
      <c r="C771" s="95"/>
    </row>
    <row r="772" spans="1:3">
      <c r="A772" s="94"/>
      <c r="B772" s="94"/>
      <c r="C772" s="95"/>
    </row>
    <row r="773" spans="1:3">
      <c r="A773" s="94"/>
      <c r="B773" s="94"/>
      <c r="C773" s="95"/>
    </row>
    <row r="774" spans="1:3">
      <c r="A774" s="94"/>
      <c r="B774" s="94"/>
      <c r="C774" s="95"/>
    </row>
    <row r="775" spans="1:3">
      <c r="A775" s="94"/>
      <c r="B775" s="94"/>
      <c r="C775" s="95"/>
    </row>
    <row r="776" spans="1:3">
      <c r="A776" s="94"/>
      <c r="B776" s="94"/>
      <c r="C776" s="95"/>
    </row>
    <row r="777" spans="1:3">
      <c r="A777" s="94"/>
      <c r="B777" s="94"/>
      <c r="C777" s="95"/>
    </row>
    <row r="778" spans="1:3">
      <c r="A778" s="94"/>
      <c r="B778" s="94"/>
      <c r="C778" s="95"/>
    </row>
    <row r="779" spans="1:3">
      <c r="A779" s="94"/>
      <c r="B779" s="94"/>
      <c r="C779" s="95"/>
    </row>
    <row r="780" spans="1:3">
      <c r="A780" s="94"/>
      <c r="B780" s="94"/>
      <c r="C780" s="95"/>
    </row>
    <row r="781" spans="1:3">
      <c r="A781" s="94"/>
      <c r="B781" s="94"/>
      <c r="C781" s="95"/>
    </row>
    <row r="782" spans="1:3">
      <c r="A782" s="94"/>
      <c r="B782" s="94"/>
      <c r="C782" s="95"/>
    </row>
    <row r="783" spans="1:3">
      <c r="A783" s="94"/>
      <c r="B783" s="94"/>
      <c r="C783" s="95"/>
    </row>
    <row r="784" spans="1:3">
      <c r="A784" s="94"/>
      <c r="B784" s="94"/>
      <c r="C784" s="95"/>
    </row>
    <row r="785" spans="1:3">
      <c r="A785" s="94"/>
      <c r="B785" s="94"/>
      <c r="C785" s="95"/>
    </row>
    <row r="786" spans="1:3">
      <c r="A786" s="94"/>
      <c r="B786" s="94"/>
      <c r="C786" s="95"/>
    </row>
    <row r="787" spans="1:3">
      <c r="A787" s="94"/>
      <c r="B787" s="94"/>
      <c r="C787" s="95"/>
    </row>
    <row r="788" spans="1:3">
      <c r="A788" s="94"/>
      <c r="B788" s="94"/>
      <c r="C788" s="95"/>
    </row>
    <row r="789" spans="1:3">
      <c r="A789" s="94"/>
      <c r="B789" s="94"/>
      <c r="C789" s="95"/>
    </row>
    <row r="790" spans="1:3">
      <c r="A790" s="94"/>
      <c r="B790" s="94"/>
      <c r="C790" s="95"/>
    </row>
    <row r="791" spans="1:3">
      <c r="A791" s="94"/>
      <c r="B791" s="94"/>
      <c r="C791" s="95"/>
    </row>
    <row r="792" spans="1:3">
      <c r="A792" s="94"/>
      <c r="B792" s="94"/>
      <c r="C792" s="95"/>
    </row>
    <row r="793" spans="1:3">
      <c r="A793" s="94"/>
      <c r="B793" s="94"/>
      <c r="C793" s="95"/>
    </row>
    <row r="794" spans="1:3">
      <c r="A794" s="94"/>
      <c r="B794" s="94"/>
      <c r="C794" s="95"/>
    </row>
    <row r="795" spans="1:3">
      <c r="A795" s="94"/>
      <c r="B795" s="94"/>
      <c r="C795" s="95"/>
    </row>
    <row r="796" spans="1:3">
      <c r="A796" s="94"/>
      <c r="B796" s="94"/>
      <c r="C796" s="95"/>
    </row>
    <row r="797" spans="1:3">
      <c r="A797" s="94"/>
      <c r="B797" s="94"/>
      <c r="C797" s="95"/>
    </row>
    <row r="798" spans="1:3">
      <c r="A798" s="94"/>
      <c r="B798" s="94"/>
      <c r="C798" s="95"/>
    </row>
    <row r="799" spans="1:3">
      <c r="A799" s="94"/>
      <c r="B799" s="94"/>
      <c r="C799" s="95"/>
    </row>
    <row r="800" spans="1:3">
      <c r="A800" s="94"/>
      <c r="B800" s="94"/>
      <c r="C800" s="95"/>
    </row>
    <row r="801" spans="1:3">
      <c r="A801" s="94"/>
      <c r="B801" s="94"/>
      <c r="C801" s="95"/>
    </row>
    <row r="802" spans="1:3">
      <c r="A802" s="94"/>
      <c r="B802" s="94"/>
      <c r="C802" s="95"/>
    </row>
    <row r="803" spans="1:3">
      <c r="A803" s="94"/>
      <c r="B803" s="94"/>
      <c r="C803" s="95"/>
    </row>
    <row r="804" spans="1:3">
      <c r="A804" s="94"/>
      <c r="B804" s="94"/>
      <c r="C804" s="95"/>
    </row>
    <row r="805" spans="1:3">
      <c r="A805" s="94"/>
      <c r="B805" s="94"/>
      <c r="C805" s="95"/>
    </row>
    <row r="806" spans="1:3">
      <c r="A806" s="94"/>
      <c r="B806" s="94"/>
      <c r="C806" s="95"/>
    </row>
    <row r="807" spans="1:3">
      <c r="A807" s="94"/>
      <c r="B807" s="94"/>
      <c r="C807" s="95"/>
    </row>
    <row r="808" spans="1:3">
      <c r="A808" s="94"/>
      <c r="B808" s="94"/>
      <c r="C808" s="95"/>
    </row>
    <row r="809" spans="1:3">
      <c r="A809" s="94"/>
      <c r="B809" s="94"/>
      <c r="C809" s="95"/>
    </row>
    <row r="810" spans="1:3">
      <c r="A810" s="94"/>
      <c r="B810" s="94"/>
      <c r="C810" s="95"/>
    </row>
    <row r="811" spans="1:3">
      <c r="A811" s="94"/>
      <c r="B811" s="94"/>
      <c r="C811" s="95"/>
    </row>
    <row r="812" spans="1:3">
      <c r="A812" s="94"/>
      <c r="B812" s="94"/>
      <c r="C812" s="95"/>
    </row>
    <row r="813" spans="1:3">
      <c r="A813" s="94"/>
      <c r="B813" s="94"/>
      <c r="C813" s="95"/>
    </row>
    <row r="814" spans="1:3">
      <c r="A814" s="94"/>
      <c r="B814" s="94"/>
      <c r="C814" s="95"/>
    </row>
    <row r="815" spans="1:3">
      <c r="A815" s="94"/>
      <c r="B815" s="94"/>
      <c r="C815" s="95"/>
    </row>
    <row r="816" spans="1:3">
      <c r="A816" s="94"/>
      <c r="B816" s="94"/>
      <c r="C816" s="95"/>
    </row>
    <row r="817" spans="1:3">
      <c r="A817" s="94"/>
      <c r="B817" s="94"/>
      <c r="C817" s="95"/>
    </row>
    <row r="818" spans="1:3">
      <c r="A818" s="94"/>
      <c r="B818" s="94"/>
      <c r="C818" s="95"/>
    </row>
    <row r="819" spans="1:3">
      <c r="A819" s="94"/>
      <c r="B819" s="94"/>
      <c r="C819" s="95"/>
    </row>
    <row r="820" spans="1:3">
      <c r="A820" s="94"/>
      <c r="B820" s="94"/>
      <c r="C820" s="95"/>
    </row>
    <row r="821" spans="1:3">
      <c r="A821" s="94"/>
      <c r="B821" s="94"/>
      <c r="C821" s="95"/>
    </row>
    <row r="822" spans="1:3">
      <c r="A822" s="94"/>
      <c r="B822" s="94"/>
      <c r="C822" s="95"/>
    </row>
    <row r="823" spans="1:3">
      <c r="A823" s="94"/>
      <c r="B823" s="94"/>
      <c r="C823" s="95"/>
    </row>
    <row r="824" spans="1:3">
      <c r="A824" s="94"/>
      <c r="B824" s="94"/>
      <c r="C824" s="95"/>
    </row>
    <row r="825" spans="1:3">
      <c r="A825" s="94"/>
      <c r="B825" s="94"/>
      <c r="C825" s="95"/>
    </row>
    <row r="826" spans="1:3">
      <c r="A826" s="94"/>
      <c r="B826" s="94"/>
      <c r="C826" s="95"/>
    </row>
    <row r="827" spans="1:3">
      <c r="A827" s="94"/>
      <c r="B827" s="94"/>
      <c r="C827" s="95"/>
    </row>
    <row r="828" spans="1:3">
      <c r="A828" s="94"/>
      <c r="B828" s="94"/>
      <c r="C828" s="95"/>
    </row>
    <row r="829" spans="1:3">
      <c r="A829" s="94"/>
      <c r="B829" s="94"/>
      <c r="C829" s="95"/>
    </row>
    <row r="830" spans="1:3">
      <c r="A830" s="94"/>
      <c r="B830" s="94"/>
      <c r="C830" s="95"/>
    </row>
    <row r="831" spans="1:3">
      <c r="A831" s="94"/>
      <c r="B831" s="94"/>
      <c r="C831" s="95"/>
    </row>
    <row r="832" spans="1:3">
      <c r="A832" s="94"/>
      <c r="B832" s="94"/>
      <c r="C832" s="95"/>
    </row>
    <row r="833" spans="1:3">
      <c r="A833" s="94"/>
      <c r="B833" s="94"/>
      <c r="C833" s="95"/>
    </row>
    <row r="834" spans="1:3">
      <c r="A834" s="94"/>
      <c r="B834" s="94"/>
      <c r="C834" s="95"/>
    </row>
    <row r="835" spans="1:3">
      <c r="A835" s="94"/>
      <c r="B835" s="94"/>
      <c r="C835" s="95"/>
    </row>
    <row r="836" spans="1:3">
      <c r="A836" s="94"/>
      <c r="B836" s="94"/>
      <c r="C836" s="95"/>
    </row>
    <row r="837" spans="1:3">
      <c r="A837" s="94"/>
      <c r="B837" s="94"/>
      <c r="C837" s="95"/>
    </row>
    <row r="838" spans="1:3">
      <c r="A838" s="94"/>
      <c r="B838" s="94"/>
      <c r="C838" s="95"/>
    </row>
    <row r="839" spans="1:3">
      <c r="A839" s="94"/>
      <c r="B839" s="94"/>
      <c r="C839" s="95"/>
    </row>
    <row r="840" spans="1:3">
      <c r="A840" s="94"/>
      <c r="B840" s="94"/>
      <c r="C840" s="95"/>
    </row>
    <row r="841" spans="1:3">
      <c r="A841" s="94"/>
      <c r="B841" s="94"/>
      <c r="C841" s="95"/>
    </row>
    <row r="842" spans="1:3">
      <c r="A842" s="94"/>
      <c r="B842" s="94"/>
      <c r="C842" s="95"/>
    </row>
    <row r="843" spans="1:3">
      <c r="A843" s="94"/>
      <c r="B843" s="94"/>
      <c r="C843" s="95"/>
    </row>
    <row r="844" spans="1:3">
      <c r="A844" s="94"/>
      <c r="B844" s="94"/>
      <c r="C844" s="95"/>
    </row>
    <row r="845" spans="1:3">
      <c r="A845" s="94"/>
      <c r="B845" s="94"/>
      <c r="C845" s="95"/>
    </row>
    <row r="846" spans="1:3">
      <c r="A846" s="94"/>
      <c r="B846" s="94"/>
      <c r="C846" s="95"/>
    </row>
    <row r="847" spans="1:3">
      <c r="A847" s="94"/>
      <c r="B847" s="94"/>
      <c r="C847" s="95"/>
    </row>
    <row r="848" spans="1:3">
      <c r="A848" s="94"/>
      <c r="B848" s="94"/>
      <c r="C848" s="95"/>
    </row>
    <row r="849" spans="1:3">
      <c r="A849" s="94"/>
      <c r="B849" s="94"/>
      <c r="C849" s="95"/>
    </row>
    <row r="850" spans="1:3">
      <c r="A850" s="94"/>
      <c r="B850" s="94"/>
      <c r="C850" s="95"/>
    </row>
    <row r="851" spans="1:3">
      <c r="A851" s="94"/>
      <c r="B851" s="94"/>
      <c r="C851" s="95"/>
    </row>
    <row r="852" spans="1:3">
      <c r="A852" s="94"/>
      <c r="B852" s="94"/>
      <c r="C852" s="95"/>
    </row>
    <row r="853" spans="1:3">
      <c r="A853" s="94"/>
      <c r="B853" s="94"/>
      <c r="C853" s="95"/>
    </row>
    <row r="854" spans="1:3">
      <c r="A854" s="94"/>
      <c r="B854" s="94"/>
      <c r="C854" s="95"/>
    </row>
    <row r="855" spans="1:3">
      <c r="A855" s="94"/>
      <c r="B855" s="94"/>
      <c r="C855" s="95"/>
    </row>
    <row r="856" spans="1:3">
      <c r="A856" s="94"/>
      <c r="B856" s="94"/>
      <c r="C856" s="95"/>
    </row>
    <row r="857" spans="1:3">
      <c r="A857" s="94"/>
      <c r="B857" s="94"/>
      <c r="C857" s="95"/>
    </row>
    <row r="858" spans="1:3">
      <c r="A858" s="94"/>
      <c r="B858" s="94"/>
      <c r="C858" s="95"/>
    </row>
    <row r="859" spans="1:3">
      <c r="A859" s="94"/>
      <c r="B859" s="94"/>
      <c r="C859" s="95"/>
    </row>
    <row r="860" spans="1:3">
      <c r="A860" s="94"/>
      <c r="B860" s="94"/>
      <c r="C860" s="95"/>
    </row>
    <row r="861" spans="1:3">
      <c r="A861" s="94"/>
      <c r="B861" s="94"/>
      <c r="C861" s="95"/>
    </row>
    <row r="862" spans="1:3">
      <c r="A862" s="94"/>
      <c r="B862" s="94"/>
      <c r="C862" s="95"/>
    </row>
    <row r="863" spans="1:3">
      <c r="A863" s="94"/>
      <c r="B863" s="94"/>
      <c r="C863" s="95"/>
    </row>
    <row r="864" spans="1:3">
      <c r="A864" s="94"/>
      <c r="B864" s="94"/>
      <c r="C864" s="95"/>
    </row>
    <row r="865" spans="1:3">
      <c r="A865" s="94"/>
      <c r="B865" s="94"/>
      <c r="C865" s="95"/>
    </row>
    <row r="866" spans="1:3">
      <c r="A866" s="94"/>
      <c r="B866" s="94"/>
      <c r="C866" s="95"/>
    </row>
    <row r="867" spans="1:3">
      <c r="A867" s="94"/>
      <c r="B867" s="94"/>
      <c r="C867" s="95"/>
    </row>
    <row r="868" spans="1:3">
      <c r="A868" s="94"/>
      <c r="B868" s="94"/>
      <c r="C868" s="95"/>
    </row>
    <row r="869" spans="1:3">
      <c r="A869" s="94"/>
      <c r="B869" s="94"/>
      <c r="C869" s="95"/>
    </row>
    <row r="870" spans="1:3">
      <c r="A870" s="94"/>
      <c r="B870" s="94"/>
      <c r="C870" s="95"/>
    </row>
    <row r="871" spans="1:3">
      <c r="A871" s="94"/>
      <c r="B871" s="94"/>
      <c r="C871" s="95"/>
    </row>
    <row r="872" spans="1:3">
      <c r="A872" s="94"/>
      <c r="B872" s="94"/>
      <c r="C872" s="95"/>
    </row>
    <row r="873" spans="1:3">
      <c r="A873" s="94"/>
      <c r="B873" s="94"/>
      <c r="C873" s="95"/>
    </row>
    <row r="874" spans="1:3">
      <c r="A874" s="94"/>
      <c r="B874" s="94"/>
      <c r="C874" s="95"/>
    </row>
    <row r="875" spans="1:3">
      <c r="A875" s="94"/>
      <c r="B875" s="94"/>
      <c r="C875" s="95"/>
    </row>
    <row r="876" spans="1:3">
      <c r="A876" s="94"/>
      <c r="B876" s="94"/>
      <c r="C876" s="95"/>
    </row>
    <row r="877" spans="1:3">
      <c r="A877" s="94"/>
      <c r="B877" s="94"/>
      <c r="C877" s="95"/>
    </row>
    <row r="878" spans="1:3">
      <c r="A878" s="94"/>
      <c r="B878" s="94"/>
      <c r="C878" s="95"/>
    </row>
    <row r="879" spans="1:3">
      <c r="A879" s="94"/>
      <c r="B879" s="94"/>
      <c r="C879" s="95"/>
    </row>
    <row r="880" spans="1:3">
      <c r="A880" s="94"/>
      <c r="B880" s="94"/>
      <c r="C880" s="95"/>
    </row>
    <row r="881" spans="1:3">
      <c r="A881" s="94"/>
      <c r="B881" s="94"/>
      <c r="C881" s="95"/>
    </row>
    <row r="882" spans="1:3">
      <c r="A882" s="94"/>
      <c r="B882" s="94"/>
      <c r="C882" s="95"/>
    </row>
    <row r="883" spans="1:3">
      <c r="A883" s="94"/>
      <c r="B883" s="94"/>
      <c r="C883" s="95"/>
    </row>
    <row r="884" spans="1:3">
      <c r="A884" s="94"/>
      <c r="B884" s="94"/>
      <c r="C884" s="95"/>
    </row>
    <row r="885" spans="1:3">
      <c r="A885" s="94"/>
      <c r="B885" s="94"/>
      <c r="C885" s="95"/>
    </row>
    <row r="886" spans="1:3">
      <c r="A886" s="94"/>
      <c r="B886" s="94"/>
      <c r="C886" s="95"/>
    </row>
    <row r="887" spans="1:3">
      <c r="A887" s="94"/>
      <c r="B887" s="94"/>
      <c r="C887" s="95"/>
    </row>
    <row r="888" spans="1:3">
      <c r="A888" s="94"/>
      <c r="B888" s="94"/>
      <c r="C888" s="95"/>
    </row>
    <row r="889" spans="1:3">
      <c r="A889" s="94"/>
      <c r="B889" s="94"/>
      <c r="C889" s="95"/>
    </row>
    <row r="890" spans="1:3">
      <c r="A890" s="94"/>
      <c r="B890" s="94"/>
      <c r="C890" s="95"/>
    </row>
    <row r="891" spans="1:3">
      <c r="A891" s="94"/>
      <c r="B891" s="94"/>
      <c r="C891" s="95"/>
    </row>
    <row r="892" spans="1:3">
      <c r="A892" s="94"/>
      <c r="B892" s="94"/>
      <c r="C892" s="95"/>
    </row>
    <row r="893" spans="1:3">
      <c r="A893" s="94"/>
      <c r="B893" s="94"/>
      <c r="C893" s="95"/>
    </row>
    <row r="894" spans="1:3">
      <c r="A894" s="94"/>
      <c r="B894" s="94"/>
      <c r="C894" s="95"/>
    </row>
    <row r="895" spans="1:3">
      <c r="A895" s="94"/>
      <c r="B895" s="94"/>
      <c r="C895" s="95"/>
    </row>
    <row r="896" spans="1:3">
      <c r="A896" s="94"/>
      <c r="B896" s="94"/>
      <c r="C896" s="95"/>
    </row>
    <row r="897" spans="1:3">
      <c r="A897" s="94"/>
      <c r="B897" s="94"/>
      <c r="C897" s="95"/>
    </row>
    <row r="898" spans="1:3">
      <c r="A898" s="94"/>
      <c r="B898" s="94"/>
      <c r="C898" s="95"/>
    </row>
    <row r="899" spans="1:3">
      <c r="A899" s="94"/>
      <c r="B899" s="94"/>
      <c r="C899" s="95"/>
    </row>
    <row r="900" spans="1:3">
      <c r="A900" s="94"/>
      <c r="B900" s="94"/>
      <c r="C900" s="95"/>
    </row>
    <row r="901" spans="1:3">
      <c r="A901" s="94"/>
      <c r="B901" s="94"/>
      <c r="C901" s="95"/>
    </row>
    <row r="902" spans="1:3">
      <c r="A902" s="94"/>
      <c r="B902" s="94"/>
      <c r="C902" s="95"/>
    </row>
    <row r="903" spans="1:3">
      <c r="A903" s="94"/>
      <c r="B903" s="94"/>
      <c r="C903" s="95"/>
    </row>
    <row r="904" spans="1:3">
      <c r="A904" s="94"/>
      <c r="B904" s="94"/>
      <c r="C904" s="95"/>
    </row>
    <row r="905" spans="1:3">
      <c r="A905" s="94"/>
      <c r="B905" s="94"/>
      <c r="C905" s="95"/>
    </row>
    <row r="906" spans="1:3">
      <c r="A906" s="94"/>
      <c r="B906" s="94"/>
      <c r="C906" s="95"/>
    </row>
    <row r="907" spans="1:3">
      <c r="A907" s="94"/>
      <c r="B907" s="94"/>
      <c r="C907" s="95"/>
    </row>
    <row r="908" spans="1:3">
      <c r="A908" s="94"/>
      <c r="B908" s="94"/>
      <c r="C908" s="95"/>
    </row>
    <row r="909" spans="1:3">
      <c r="A909" s="94"/>
      <c r="B909" s="94"/>
      <c r="C909" s="95"/>
    </row>
    <row r="910" spans="1:3">
      <c r="A910" s="94"/>
      <c r="B910" s="94"/>
      <c r="C910" s="95"/>
    </row>
    <row r="911" spans="1:3">
      <c r="A911" s="94"/>
      <c r="B911" s="94"/>
      <c r="C911" s="95"/>
    </row>
    <row r="912" spans="1:3">
      <c r="A912" s="94"/>
      <c r="B912" s="94"/>
      <c r="C912" s="95"/>
    </row>
    <row r="913" spans="1:3">
      <c r="A913" s="94"/>
      <c r="B913" s="94"/>
      <c r="C913" s="95"/>
    </row>
    <row r="914" spans="1:3">
      <c r="A914" s="94"/>
      <c r="B914" s="94"/>
      <c r="C914" s="95"/>
    </row>
    <row r="915" spans="1:3">
      <c r="A915" s="94"/>
      <c r="B915" s="94"/>
      <c r="C915" s="95"/>
    </row>
    <row r="916" spans="1:3">
      <c r="A916" s="94"/>
      <c r="B916" s="94"/>
      <c r="C916" s="95"/>
    </row>
    <row r="917" spans="1:3">
      <c r="A917" s="94"/>
      <c r="B917" s="94"/>
      <c r="C917" s="95"/>
    </row>
    <row r="918" spans="1:3">
      <c r="A918" s="94"/>
      <c r="B918" s="94"/>
      <c r="C918" s="95"/>
    </row>
    <row r="919" spans="1:3">
      <c r="A919" s="94"/>
      <c r="B919" s="94"/>
      <c r="C919" s="95"/>
    </row>
    <row r="920" spans="1:3">
      <c r="A920" s="94"/>
      <c r="B920" s="94"/>
      <c r="C920" s="95"/>
    </row>
    <row r="921" spans="1:3">
      <c r="A921" s="94"/>
      <c r="B921" s="94"/>
      <c r="C921" s="95"/>
    </row>
    <row r="922" spans="1:3">
      <c r="A922" s="94"/>
      <c r="B922" s="94"/>
      <c r="C922" s="95"/>
    </row>
    <row r="923" spans="1:3">
      <c r="A923" s="94"/>
      <c r="B923" s="94"/>
      <c r="C923" s="95"/>
    </row>
    <row r="924" spans="1:3">
      <c r="A924" s="94"/>
      <c r="B924" s="94"/>
      <c r="C924" s="95"/>
    </row>
    <row r="925" spans="1:3">
      <c r="A925" s="94"/>
      <c r="B925" s="94"/>
      <c r="C925" s="95"/>
    </row>
    <row r="926" spans="1:3">
      <c r="A926" s="94"/>
      <c r="B926" s="94"/>
      <c r="C926" s="95"/>
    </row>
    <row r="927" spans="1:3">
      <c r="A927" s="94"/>
      <c r="B927" s="94"/>
      <c r="C927" s="95"/>
    </row>
    <row r="928" spans="1:3">
      <c r="A928" s="94"/>
      <c r="B928" s="94"/>
      <c r="C928" s="95"/>
    </row>
    <row r="929" spans="1:3">
      <c r="A929" s="94"/>
      <c r="B929" s="94"/>
      <c r="C929" s="95"/>
    </row>
    <row r="930" spans="1:3">
      <c r="A930" s="94"/>
      <c r="B930" s="94"/>
      <c r="C930" s="95"/>
    </row>
    <row r="931" spans="1:3">
      <c r="A931" s="94"/>
      <c r="B931" s="94"/>
      <c r="C931" s="95"/>
    </row>
    <row r="932" spans="1:3">
      <c r="A932" s="94"/>
      <c r="B932" s="94"/>
      <c r="C932" s="95"/>
    </row>
    <row r="933" spans="1:3">
      <c r="A933" s="94"/>
      <c r="B933" s="94"/>
      <c r="C933" s="95"/>
    </row>
    <row r="934" spans="1:3">
      <c r="A934" s="94"/>
      <c r="B934" s="94"/>
      <c r="C934" s="95"/>
    </row>
    <row r="935" spans="1:3">
      <c r="A935" s="94"/>
      <c r="B935" s="94"/>
      <c r="C935" s="95"/>
    </row>
    <row r="936" spans="1:3">
      <c r="A936" s="94"/>
      <c r="B936" s="94"/>
      <c r="C936" s="95"/>
    </row>
    <row r="937" spans="1:3">
      <c r="A937" s="94"/>
      <c r="B937" s="94"/>
      <c r="C937" s="95"/>
    </row>
    <row r="938" spans="1:3">
      <c r="A938" s="94"/>
      <c r="B938" s="94"/>
      <c r="C938" s="95"/>
    </row>
    <row r="939" spans="1:3">
      <c r="A939" s="94"/>
      <c r="B939" s="94"/>
      <c r="C939" s="95"/>
    </row>
    <row r="940" spans="1:3">
      <c r="A940" s="94"/>
      <c r="B940" s="94"/>
      <c r="C940" s="95"/>
    </row>
    <row r="941" spans="1:3">
      <c r="A941" s="94"/>
      <c r="B941" s="94"/>
      <c r="C941" s="95"/>
    </row>
    <row r="942" spans="1:3">
      <c r="A942" s="94"/>
      <c r="B942" s="94"/>
      <c r="C942" s="95"/>
    </row>
    <row r="943" spans="1:3">
      <c r="A943" s="94"/>
      <c r="B943" s="94"/>
      <c r="C943" s="95"/>
    </row>
    <row r="944" spans="1:3">
      <c r="A944" s="94"/>
      <c r="B944" s="94"/>
      <c r="C944" s="95"/>
    </row>
    <row r="945" spans="1:3">
      <c r="A945" s="94"/>
      <c r="B945" s="94"/>
      <c r="C945" s="95"/>
    </row>
    <row r="946" spans="1:3">
      <c r="A946" s="94"/>
      <c r="B946" s="94"/>
      <c r="C946" s="95"/>
    </row>
    <row r="947" spans="1:3">
      <c r="A947" s="94"/>
      <c r="B947" s="94"/>
      <c r="C947" s="95"/>
    </row>
    <row r="948" spans="1:3">
      <c r="A948" s="94"/>
      <c r="B948" s="94"/>
      <c r="C948" s="95"/>
    </row>
    <row r="949" spans="1:3">
      <c r="A949" s="94"/>
      <c r="B949" s="94"/>
      <c r="C949" s="95"/>
    </row>
    <row r="950" spans="1:3">
      <c r="A950" s="94"/>
      <c r="B950" s="94"/>
      <c r="C950" s="95"/>
    </row>
    <row r="951" spans="1:3">
      <c r="A951" s="94"/>
      <c r="B951" s="94"/>
      <c r="C951" s="95"/>
    </row>
    <row r="952" spans="1:3">
      <c r="A952" s="94"/>
      <c r="B952" s="94"/>
      <c r="C952" s="95"/>
    </row>
    <row r="953" spans="1:3">
      <c r="A953" s="94"/>
      <c r="B953" s="94"/>
      <c r="C953" s="95"/>
    </row>
    <row r="954" spans="1:3">
      <c r="A954" s="94"/>
      <c r="B954" s="94"/>
      <c r="C954" s="95"/>
    </row>
    <row r="955" spans="1:3">
      <c r="A955" s="94"/>
      <c r="B955" s="94"/>
      <c r="C955" s="95"/>
    </row>
    <row r="956" spans="1:3">
      <c r="A956" s="94"/>
      <c r="B956" s="94"/>
      <c r="C956" s="95"/>
    </row>
    <row r="957" spans="1:3">
      <c r="A957" s="94"/>
      <c r="B957" s="94"/>
      <c r="C957" s="95"/>
    </row>
    <row r="958" spans="1:3">
      <c r="A958" s="94"/>
      <c r="B958" s="94"/>
      <c r="C958" s="95"/>
    </row>
    <row r="959" spans="1:3">
      <c r="A959" s="94"/>
      <c r="B959" s="94"/>
      <c r="C959" s="95"/>
    </row>
    <row r="960" spans="1:3">
      <c r="A960" s="94"/>
      <c r="B960" s="94"/>
      <c r="C960" s="95"/>
    </row>
    <row r="961" spans="1:3">
      <c r="A961" s="94"/>
      <c r="B961" s="94"/>
      <c r="C961" s="95"/>
    </row>
    <row r="962" spans="1:3">
      <c r="A962" s="94"/>
      <c r="B962" s="94"/>
      <c r="C962" s="95"/>
    </row>
    <row r="963" spans="1:3">
      <c r="A963" s="94"/>
      <c r="B963" s="94"/>
      <c r="C963" s="95"/>
    </row>
    <row r="964" spans="1:3">
      <c r="A964" s="94"/>
      <c r="B964" s="94"/>
      <c r="C964" s="95"/>
    </row>
    <row r="965" spans="1:3">
      <c r="A965" s="94"/>
      <c r="B965" s="94"/>
      <c r="C965" s="95"/>
    </row>
    <row r="966" spans="1:3">
      <c r="A966" s="94"/>
      <c r="B966" s="94"/>
      <c r="C966" s="95"/>
    </row>
    <row r="967" spans="1:3">
      <c r="A967" s="94"/>
      <c r="B967" s="94"/>
      <c r="C967" s="95"/>
    </row>
    <row r="968" spans="1:3">
      <c r="A968" s="94"/>
      <c r="B968" s="94"/>
      <c r="C968" s="95"/>
    </row>
    <row r="969" spans="1:3">
      <c r="A969" s="94"/>
      <c r="B969" s="94"/>
      <c r="C969" s="95"/>
    </row>
    <row r="970" spans="1:3">
      <c r="A970" s="94"/>
      <c r="B970" s="94"/>
      <c r="C970" s="95"/>
    </row>
    <row r="971" spans="1:3">
      <c r="A971" s="94"/>
      <c r="B971" s="94"/>
      <c r="C971" s="95"/>
    </row>
    <row r="972" spans="1:3">
      <c r="A972" s="94"/>
      <c r="B972" s="94"/>
      <c r="C972" s="95"/>
    </row>
    <row r="973" spans="1:3">
      <c r="A973" s="94"/>
      <c r="B973" s="94"/>
      <c r="C973" s="95"/>
    </row>
    <row r="974" spans="1:3">
      <c r="A974" s="94"/>
      <c r="B974" s="94"/>
      <c r="C974" s="95"/>
    </row>
    <row r="975" spans="1:3">
      <c r="A975" s="94"/>
      <c r="B975" s="94"/>
      <c r="C975" s="95"/>
    </row>
    <row r="976" spans="1:3">
      <c r="A976" s="94"/>
      <c r="B976" s="94"/>
      <c r="C976" s="95"/>
    </row>
    <row r="977" spans="1:3">
      <c r="A977" s="94"/>
      <c r="B977" s="94"/>
      <c r="C977" s="95"/>
    </row>
    <row r="978" spans="1:3">
      <c r="A978" s="94"/>
      <c r="B978" s="94"/>
      <c r="C978" s="95"/>
    </row>
    <row r="979" spans="1:3">
      <c r="A979" s="94"/>
      <c r="B979" s="94"/>
      <c r="C979" s="95"/>
    </row>
    <row r="980" spans="1:3">
      <c r="A980" s="94"/>
      <c r="B980" s="94"/>
      <c r="C980" s="95"/>
    </row>
    <row r="981" spans="1:3">
      <c r="A981" s="94"/>
      <c r="B981" s="94"/>
      <c r="C981" s="95"/>
    </row>
    <row r="982" spans="1:3">
      <c r="A982" s="94"/>
      <c r="B982" s="94"/>
      <c r="C982" s="95"/>
    </row>
    <row r="983" spans="1:3">
      <c r="A983" s="94"/>
      <c r="B983" s="94"/>
      <c r="C983" s="95"/>
    </row>
    <row r="984" spans="1:3">
      <c r="A984" s="94"/>
      <c r="B984" s="94"/>
      <c r="C984" s="95"/>
    </row>
    <row r="985" spans="1:3">
      <c r="A985" s="94"/>
      <c r="B985" s="94"/>
      <c r="C985" s="95"/>
    </row>
    <row r="986" spans="1:3">
      <c r="A986" s="94"/>
      <c r="B986" s="94"/>
      <c r="C986" s="95"/>
    </row>
    <row r="987" spans="1:3">
      <c r="A987" s="94"/>
      <c r="B987" s="94"/>
      <c r="C987" s="95"/>
    </row>
    <row r="988" spans="1:3">
      <c r="A988" s="94"/>
      <c r="B988" s="94"/>
      <c r="C988" s="95"/>
    </row>
    <row r="989" spans="1:3">
      <c r="A989" s="94"/>
      <c r="B989" s="94"/>
      <c r="C989" s="95"/>
    </row>
    <row r="990" spans="1:3">
      <c r="A990" s="94"/>
      <c r="B990" s="94"/>
      <c r="C990" s="95"/>
    </row>
    <row r="991" spans="1:3">
      <c r="A991" s="94"/>
      <c r="B991" s="94"/>
      <c r="C991" s="95"/>
    </row>
    <row r="992" spans="1:3">
      <c r="A992" s="94"/>
      <c r="B992" s="94"/>
      <c r="C992" s="95"/>
    </row>
    <row r="993" spans="1:3">
      <c r="A993" s="94"/>
      <c r="B993" s="94"/>
      <c r="C993" s="95"/>
    </row>
    <row r="994" spans="1:3">
      <c r="A994" s="94"/>
      <c r="B994" s="94"/>
      <c r="C994" s="95"/>
    </row>
    <row r="995" spans="1:3">
      <c r="A995" s="94"/>
      <c r="B995" s="94"/>
      <c r="C995" s="95"/>
    </row>
    <row r="996" spans="1:3">
      <c r="A996" s="94"/>
      <c r="B996" s="94"/>
      <c r="C996" s="95"/>
    </row>
    <row r="997" spans="1:3">
      <c r="A997" s="94"/>
      <c r="B997" s="94"/>
      <c r="C997" s="95"/>
    </row>
    <row r="998" spans="1:3">
      <c r="A998" s="94"/>
      <c r="B998" s="94"/>
      <c r="C998" s="95"/>
    </row>
    <row r="999" spans="1:3">
      <c r="A999" s="94"/>
      <c r="B999" s="94"/>
      <c r="C999" s="95"/>
    </row>
    <row r="1000" spans="1:3">
      <c r="A1000" s="94"/>
      <c r="B1000" s="94"/>
      <c r="C1000" s="9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MIR_TRANSPARENCIA</vt:lpstr>
      <vt:lpstr>FIN PROPÓSITO</vt:lpstr>
      <vt:lpstr>SID</vt:lpstr>
      <vt:lpstr>Estático</vt:lpstr>
      <vt:lpstr>Copia de MIR 1</vt:lpstr>
      <vt:lpstr>Copia de MIR</vt:lpstr>
      <vt:lpstr>Subida</vt:lpstr>
      <vt:lpstr>finproposito</vt:lpstr>
      <vt:lpstr>Hoja3</vt:lpstr>
      <vt:lpstr>Glosario KEY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Flores Uribe</dc:creator>
  <cp:lastModifiedBy>Jorge Flores Uribe</cp:lastModifiedBy>
  <dcterms:created xsi:type="dcterms:W3CDTF">2024-01-11T19:02:13Z</dcterms:created>
  <dcterms:modified xsi:type="dcterms:W3CDTF">2024-01-11T19:05:32Z</dcterms:modified>
</cp:coreProperties>
</file>