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lonen.garcia\Desktop\"/>
    </mc:Choice>
  </mc:AlternateContent>
  <bookViews>
    <workbookView xWindow="0" yWindow="0" windowWidth="19200" windowHeight="11595" tabRatio="724" firstSheet="2" activeTab="2"/>
  </bookViews>
  <sheets>
    <sheet name="Ausencias" sheetId="68" r:id="rId1"/>
    <sheet name="Servicios Jurídicos" sheetId="65" r:id="rId2"/>
    <sheet name="Casa medio camino" sheetId="67" r:id="rId3"/>
    <sheet name="Casa Hogar Villas Miravalle" sheetId="69" r:id="rId4"/>
    <sheet name="Prev, atención,superv,desarroll" sheetId="70" r:id="rId5"/>
    <sheet name="AUVIFAM" sheetId="64" r:id="rId6"/>
    <sheet name="Custodia, Tutela, Adopcione" sheetId="66" r:id="rId7"/>
    <sheet name="Hoja2" sheetId="9" state="hidden" r:id="rId8"/>
  </sheets>
  <definedNames>
    <definedName name="_xlnm.Print_Area" localSheetId="0">Ausencias!$A$1:$DP$62</definedName>
    <definedName name="_xlnm.Print_Area" localSheetId="3">'Casa Hogar Villas Miravalle'!$A$1:$DP$62</definedName>
    <definedName name="_xlnm.Print_Area" localSheetId="2">'Casa medio camino'!$A$1:$DP$60</definedName>
    <definedName name="_xlnm.Print_Area" localSheetId="4">'Prev, atención,superv,desarroll'!$A$1:$DP$75</definedName>
    <definedName name="_xlnm.Print_Area" localSheetId="1">'Servicios Jurídicos'!$A$1:$DP$59</definedName>
    <definedName name="CARACTERÍSTICAS" localSheetId="0">#REF!</definedName>
    <definedName name="CARACTERÍSTICAS" localSheetId="5">#REF!</definedName>
    <definedName name="CARACTERÍSTICAS" localSheetId="3">#REF!</definedName>
    <definedName name="CARACTERÍSTICAS" localSheetId="2">#REF!</definedName>
    <definedName name="CARACTERÍSTICAS" localSheetId="6">#REF!</definedName>
    <definedName name="CARACTERÍSTICAS" localSheetId="4">#REF!</definedName>
    <definedName name="CARACTERÍSTICAS" localSheetId="1">#REF!</definedName>
    <definedName name="CARACTERÍSTICAS">#REF!</definedName>
    <definedName name="PROGRAMA" localSheetId="0">#REF!</definedName>
    <definedName name="PROGRAMA" localSheetId="5">#REF!</definedName>
    <definedName name="PROGRAMA" localSheetId="3">#REF!</definedName>
    <definedName name="PROGRAMA" localSheetId="2">#REF!</definedName>
    <definedName name="PROGRAMA" localSheetId="6">#REF!</definedName>
    <definedName name="PROGRAMA" localSheetId="4">#REF!</definedName>
    <definedName name="PROGRAMA" localSheetId="1">#REF!</definedName>
    <definedName name="PROGRAMA">#REF!</definedName>
  </definedNames>
  <calcPr calcId="162913"/>
</workbook>
</file>

<file path=xl/calcChain.xml><?xml version="1.0" encoding="utf-8"?>
<calcChain xmlns="http://schemas.openxmlformats.org/spreadsheetml/2006/main">
  <c r="CM61" i="70" l="1"/>
  <c r="DN60" i="70"/>
  <c r="DE60" i="70"/>
  <c r="CV60" i="70"/>
  <c r="CM60" i="70"/>
  <c r="CD60" i="70"/>
  <c r="BU60" i="70"/>
  <c r="BL60" i="70"/>
  <c r="BC60" i="70"/>
  <c r="AT60" i="70"/>
  <c r="AK60" i="70"/>
  <c r="AB60" i="70"/>
  <c r="S60" i="70"/>
  <c r="DO60" i="70" s="1"/>
  <c r="DN59" i="70"/>
  <c r="DE59" i="70"/>
  <c r="CV59" i="70"/>
  <c r="CM59" i="70"/>
  <c r="CD59" i="70"/>
  <c r="BU59" i="70"/>
  <c r="BL59" i="70"/>
  <c r="BC59" i="70"/>
  <c r="AT59" i="70"/>
  <c r="AK59" i="70"/>
  <c r="AB59" i="70"/>
  <c r="S59" i="70"/>
  <c r="DN58" i="70"/>
  <c r="DE58" i="70"/>
  <c r="CV58" i="70"/>
  <c r="CM58" i="70"/>
  <c r="CD58" i="70"/>
  <c r="BU58" i="70"/>
  <c r="BL58" i="70"/>
  <c r="BC58" i="70"/>
  <c r="AT58" i="70"/>
  <c r="AK58" i="70"/>
  <c r="AB58" i="70"/>
  <c r="S58" i="70"/>
  <c r="DO58" i="70" s="1"/>
  <c r="DN57" i="70"/>
  <c r="DE57" i="70"/>
  <c r="CV57" i="70"/>
  <c r="CM57" i="70"/>
  <c r="CD57" i="70"/>
  <c r="BU57" i="70"/>
  <c r="BL57" i="70"/>
  <c r="BC57" i="70"/>
  <c r="AT57" i="70"/>
  <c r="AK57" i="70"/>
  <c r="AB57" i="70"/>
  <c r="S57" i="70"/>
  <c r="DN56" i="70"/>
  <c r="DE56" i="70"/>
  <c r="CV56" i="70"/>
  <c r="CM56" i="70"/>
  <c r="CD56" i="70"/>
  <c r="BU56" i="70"/>
  <c r="BL56" i="70"/>
  <c r="BC56" i="70"/>
  <c r="AT56" i="70"/>
  <c r="AK56" i="70"/>
  <c r="AB56" i="70"/>
  <c r="S56" i="70"/>
  <c r="DO56" i="70" s="1"/>
  <c r="DN55" i="70"/>
  <c r="DE55" i="70"/>
  <c r="CV55" i="70"/>
  <c r="CM55" i="70"/>
  <c r="CD55" i="70"/>
  <c r="BU55" i="70"/>
  <c r="BL55" i="70"/>
  <c r="BC55" i="70"/>
  <c r="AT55" i="70"/>
  <c r="AK55" i="70"/>
  <c r="AB55" i="70"/>
  <c r="DO55" i="70" s="1"/>
  <c r="DN54" i="70"/>
  <c r="DE54" i="70"/>
  <c r="CV54" i="70"/>
  <c r="CM54" i="70"/>
  <c r="CD54" i="70"/>
  <c r="BU54" i="70"/>
  <c r="BL54" i="70"/>
  <c r="BC54" i="70"/>
  <c r="AT54" i="70"/>
  <c r="AK54" i="70"/>
  <c r="AB54" i="70"/>
  <c r="S54" i="70"/>
  <c r="DO54" i="70" s="1"/>
  <c r="DN53" i="70"/>
  <c r="DE53" i="70"/>
  <c r="CV53" i="70"/>
  <c r="CM53" i="70"/>
  <c r="CD53" i="70"/>
  <c r="BU53" i="70"/>
  <c r="BL53" i="70"/>
  <c r="BC53" i="70"/>
  <c r="AT53" i="70"/>
  <c r="AK53" i="70"/>
  <c r="AB53" i="70"/>
  <c r="S53" i="70"/>
  <c r="DO53" i="70" s="1"/>
  <c r="DN52" i="70"/>
  <c r="DE52" i="70"/>
  <c r="CV52" i="70"/>
  <c r="CM52" i="70"/>
  <c r="CD52" i="70"/>
  <c r="BU52" i="70"/>
  <c r="BL52" i="70"/>
  <c r="BC52" i="70"/>
  <c r="AT52" i="70"/>
  <c r="AK52" i="70"/>
  <c r="AB52" i="70"/>
  <c r="S52" i="70"/>
  <c r="DO52" i="70" s="1"/>
  <c r="DN51" i="70"/>
  <c r="DE51" i="70"/>
  <c r="CV51" i="70"/>
  <c r="CM51" i="70"/>
  <c r="CD51" i="70"/>
  <c r="BU51" i="70"/>
  <c r="BL51" i="70"/>
  <c r="BC51" i="70"/>
  <c r="AT51" i="70"/>
  <c r="AK51" i="70"/>
  <c r="AB51" i="70"/>
  <c r="S51" i="70"/>
  <c r="DO51" i="70" s="1"/>
  <c r="DN50" i="70"/>
  <c r="DE50" i="70"/>
  <c r="CV50" i="70"/>
  <c r="CM50" i="70"/>
  <c r="CD50" i="70"/>
  <c r="BU50" i="70"/>
  <c r="BL50" i="70"/>
  <c r="BC50" i="70"/>
  <c r="AT50" i="70"/>
  <c r="AK50" i="70"/>
  <c r="AB50" i="70"/>
  <c r="S50" i="70"/>
  <c r="DO50" i="70" s="1"/>
  <c r="DN49" i="70"/>
  <c r="DE49" i="70"/>
  <c r="CV49" i="70"/>
  <c r="CM49" i="70"/>
  <c r="CD49" i="70"/>
  <c r="BU49" i="70"/>
  <c r="BL49" i="70"/>
  <c r="BC49" i="70"/>
  <c r="AT49" i="70"/>
  <c r="AK49" i="70"/>
  <c r="AB49" i="70"/>
  <c r="S49" i="70"/>
  <c r="DO49" i="70" s="1"/>
  <c r="DN48" i="70"/>
  <c r="DE48" i="70"/>
  <c r="CV48" i="70"/>
  <c r="CM48" i="70"/>
  <c r="CD48" i="70"/>
  <c r="BU48" i="70"/>
  <c r="BL48" i="70"/>
  <c r="BC48" i="70"/>
  <c r="AT48" i="70"/>
  <c r="AK48" i="70"/>
  <c r="AB48" i="70"/>
  <c r="S48" i="70"/>
  <c r="DO48" i="70" s="1"/>
  <c r="DN47" i="70"/>
  <c r="DE47" i="70"/>
  <c r="CV47" i="70"/>
  <c r="CM47" i="70"/>
  <c r="CD47" i="70"/>
  <c r="BU47" i="70"/>
  <c r="BL47" i="70"/>
  <c r="BC47" i="70"/>
  <c r="AT47" i="70"/>
  <c r="AK47" i="70"/>
  <c r="AB47" i="70"/>
  <c r="S47" i="70"/>
  <c r="DO47" i="70" s="1"/>
  <c r="DN46" i="70"/>
  <c r="DE46" i="70"/>
  <c r="CV46" i="70"/>
  <c r="CM46" i="70"/>
  <c r="CD46" i="70"/>
  <c r="BU46" i="70"/>
  <c r="BL46" i="70"/>
  <c r="BC46" i="70"/>
  <c r="AT46" i="70"/>
  <c r="AK46" i="70"/>
  <c r="AB46" i="70"/>
  <c r="S46" i="70"/>
  <c r="DO46" i="70" s="1"/>
  <c r="DN45" i="70"/>
  <c r="DE45" i="70"/>
  <c r="CV45" i="70"/>
  <c r="CM45" i="70"/>
  <c r="CD45" i="70"/>
  <c r="BU45" i="70"/>
  <c r="BL45" i="70"/>
  <c r="BC45" i="70"/>
  <c r="DO45" i="70" s="1"/>
  <c r="AT45" i="70"/>
  <c r="AK45" i="70"/>
  <c r="AB45" i="70"/>
  <c r="DN44" i="70"/>
  <c r="DE44" i="70"/>
  <c r="CV44" i="70"/>
  <c r="CM44" i="70"/>
  <c r="CD44" i="70"/>
  <c r="BU44" i="70"/>
  <c r="BL44" i="70"/>
  <c r="BC44" i="70"/>
  <c r="AT44" i="70"/>
  <c r="AK44" i="70"/>
  <c r="AB44" i="70"/>
  <c r="S44" i="70"/>
  <c r="DO44" i="70" s="1"/>
  <c r="DN43" i="70"/>
  <c r="DE43" i="70"/>
  <c r="CV43" i="70"/>
  <c r="CM43" i="70"/>
  <c r="CD43" i="70"/>
  <c r="BU43" i="70"/>
  <c r="BL43" i="70"/>
  <c r="BC43" i="70"/>
  <c r="AT43" i="70"/>
  <c r="AK43" i="70"/>
  <c r="AB43" i="70"/>
  <c r="S43" i="70"/>
  <c r="DN42" i="70"/>
  <c r="DE42" i="70"/>
  <c r="CV42" i="70"/>
  <c r="CM42" i="70"/>
  <c r="CD42" i="70"/>
  <c r="BU42" i="70"/>
  <c r="BL42" i="70"/>
  <c r="BC42" i="70"/>
  <c r="AT42" i="70"/>
  <c r="AK42" i="70"/>
  <c r="AB42" i="70"/>
  <c r="S42" i="70"/>
  <c r="DO42" i="70" s="1"/>
  <c r="DN41" i="70"/>
  <c r="DE41" i="70"/>
  <c r="CV41" i="70"/>
  <c r="CM41" i="70"/>
  <c r="CD41" i="70"/>
  <c r="BU41" i="70"/>
  <c r="BL41" i="70"/>
  <c r="BC41" i="70"/>
  <c r="AT41" i="70"/>
  <c r="AK41" i="70"/>
  <c r="AB41" i="70"/>
  <c r="S41" i="70"/>
  <c r="DN40" i="70"/>
  <c r="DE40" i="70"/>
  <c r="CV40" i="70"/>
  <c r="CM40" i="70"/>
  <c r="CD40" i="70"/>
  <c r="BU40" i="70"/>
  <c r="BL40" i="70"/>
  <c r="BC40" i="70"/>
  <c r="AT40" i="70"/>
  <c r="AK40" i="70"/>
  <c r="AB40" i="70"/>
  <c r="S40" i="70"/>
  <c r="DO40" i="70" s="1"/>
  <c r="DN39" i="70"/>
  <c r="DE39" i="70"/>
  <c r="CV39" i="70"/>
  <c r="CM39" i="70"/>
  <c r="CD39" i="70"/>
  <c r="BU39" i="70"/>
  <c r="BL39" i="70"/>
  <c r="BC39" i="70"/>
  <c r="AT39" i="70"/>
  <c r="AK39" i="70"/>
  <c r="AB39" i="70"/>
  <c r="S39" i="70"/>
  <c r="DN38" i="70"/>
  <c r="DE38" i="70"/>
  <c r="CV38" i="70"/>
  <c r="CM38" i="70"/>
  <c r="CD38" i="70"/>
  <c r="BU38" i="70"/>
  <c r="BL38" i="70"/>
  <c r="BC38" i="70"/>
  <c r="AT38" i="70"/>
  <c r="AK38" i="70"/>
  <c r="AB38" i="70"/>
  <c r="S38" i="70"/>
  <c r="DO38" i="70" s="1"/>
  <c r="DN37" i="70"/>
  <c r="DE37" i="70"/>
  <c r="CV37" i="70"/>
  <c r="CM37" i="70"/>
  <c r="CD37" i="70"/>
  <c r="BU37" i="70"/>
  <c r="BL37" i="70"/>
  <c r="BC37" i="70"/>
  <c r="AT37" i="70"/>
  <c r="AK37" i="70"/>
  <c r="AB37" i="70"/>
  <c r="S37" i="70"/>
  <c r="DN36" i="70"/>
  <c r="DE36" i="70"/>
  <c r="CV36" i="70"/>
  <c r="CM36" i="70"/>
  <c r="CD36" i="70"/>
  <c r="BU36" i="70"/>
  <c r="BL36" i="70"/>
  <c r="BC36" i="70"/>
  <c r="AT36" i="70"/>
  <c r="AK36" i="70"/>
  <c r="AB36" i="70"/>
  <c r="S36" i="70"/>
  <c r="DO36" i="70" s="1"/>
  <c r="DN35" i="70"/>
  <c r="DE35" i="70"/>
  <c r="CV35" i="70"/>
  <c r="CM35" i="70"/>
  <c r="CD35" i="70"/>
  <c r="BU35" i="70"/>
  <c r="BL35" i="70"/>
  <c r="BC35" i="70"/>
  <c r="AT35" i="70"/>
  <c r="AK35" i="70"/>
  <c r="AB35" i="70"/>
  <c r="S35" i="70"/>
  <c r="DN34" i="70"/>
  <c r="DE34" i="70"/>
  <c r="CV34" i="70"/>
  <c r="CM34" i="70"/>
  <c r="CD34" i="70"/>
  <c r="BU34" i="70"/>
  <c r="BL34" i="70"/>
  <c r="BC34" i="70"/>
  <c r="AT34" i="70"/>
  <c r="AK34" i="70"/>
  <c r="AB34" i="70"/>
  <c r="S34" i="70"/>
  <c r="DO34" i="70" s="1"/>
  <c r="DN33" i="70"/>
  <c r="DE33" i="70"/>
  <c r="CV33" i="70"/>
  <c r="CM33" i="70"/>
  <c r="CD33" i="70"/>
  <c r="BU33" i="70"/>
  <c r="BL33" i="70"/>
  <c r="BC33" i="70"/>
  <c r="AT33" i="70"/>
  <c r="AK33" i="70"/>
  <c r="AB33" i="70"/>
  <c r="S33" i="70"/>
  <c r="DN32" i="70"/>
  <c r="DE32" i="70"/>
  <c r="CV32" i="70"/>
  <c r="CM32" i="70"/>
  <c r="CD32" i="70"/>
  <c r="BU32" i="70"/>
  <c r="BL32" i="70"/>
  <c r="BC32" i="70"/>
  <c r="AT32" i="70"/>
  <c r="AK32" i="70"/>
  <c r="AB32" i="70"/>
  <c r="S32" i="70"/>
  <c r="DO32" i="70" s="1"/>
  <c r="DN31" i="70"/>
  <c r="DE31" i="70"/>
  <c r="CV31" i="70"/>
  <c r="CM31" i="70"/>
  <c r="CD31" i="70"/>
  <c r="BU31" i="70"/>
  <c r="BL31" i="70"/>
  <c r="BC31" i="70"/>
  <c r="AT31" i="70"/>
  <c r="AK31" i="70"/>
  <c r="AB31" i="70"/>
  <c r="S31" i="70"/>
  <c r="DN30" i="70"/>
  <c r="DE30" i="70"/>
  <c r="CV30" i="70"/>
  <c r="CM30" i="70"/>
  <c r="CD30" i="70"/>
  <c r="BU30" i="70"/>
  <c r="BL30" i="70"/>
  <c r="BC30" i="70"/>
  <c r="AT30" i="70"/>
  <c r="AK30" i="70"/>
  <c r="AB30" i="70"/>
  <c r="S30" i="70"/>
  <c r="DO30" i="70" s="1"/>
  <c r="DN29" i="70"/>
  <c r="DE29" i="70"/>
  <c r="CV29" i="70"/>
  <c r="CM29" i="70"/>
  <c r="CD29" i="70"/>
  <c r="BU29" i="70"/>
  <c r="BL29" i="70"/>
  <c r="BC29" i="70"/>
  <c r="AT29" i="70"/>
  <c r="AB29" i="70"/>
  <c r="S29" i="70"/>
  <c r="DN28" i="70"/>
  <c r="DE28" i="70"/>
  <c r="CV28" i="70"/>
  <c r="CM28" i="70"/>
  <c r="CD28" i="70"/>
  <c r="BU28" i="70"/>
  <c r="BL28" i="70"/>
  <c r="BC28" i="70"/>
  <c r="AT28" i="70"/>
  <c r="AK28" i="70"/>
  <c r="AB28" i="70"/>
  <c r="S28" i="70"/>
  <c r="DO28" i="70" s="1"/>
  <c r="DN27" i="70"/>
  <c r="DE27" i="70"/>
  <c r="CV27" i="70"/>
  <c r="CM27" i="70"/>
  <c r="CD27" i="70"/>
  <c r="BU27" i="70"/>
  <c r="BL27" i="70"/>
  <c r="BC27" i="70"/>
  <c r="AT27" i="70"/>
  <c r="AK27" i="70"/>
  <c r="AB27" i="70"/>
  <c r="S27" i="70"/>
  <c r="DN26" i="70"/>
  <c r="DE26" i="70"/>
  <c r="CV26" i="70"/>
  <c r="CM26" i="70"/>
  <c r="CD26" i="70"/>
  <c r="BU26" i="70"/>
  <c r="BL26" i="70"/>
  <c r="BC26" i="70"/>
  <c r="AT26" i="70"/>
  <c r="AK26" i="70"/>
  <c r="AB26" i="70"/>
  <c r="S26" i="70"/>
  <c r="DO26" i="70" s="1"/>
  <c r="DN25" i="70"/>
  <c r="DE25" i="70"/>
  <c r="CV25" i="70"/>
  <c r="CM25" i="70"/>
  <c r="CD25" i="70"/>
  <c r="BU25" i="70"/>
  <c r="BL25" i="70"/>
  <c r="BC25" i="70"/>
  <c r="AT25" i="70"/>
  <c r="AK25" i="70"/>
  <c r="AB25" i="70"/>
  <c r="S25" i="70"/>
  <c r="DN24" i="70"/>
  <c r="DE24" i="70"/>
  <c r="CV24" i="70"/>
  <c r="CM24" i="70"/>
  <c r="CD24" i="70"/>
  <c r="BU24" i="70"/>
  <c r="BL24" i="70"/>
  <c r="BC24" i="70"/>
  <c r="AT24" i="70"/>
  <c r="AK24" i="70"/>
  <c r="AB24" i="70"/>
  <c r="S24" i="70"/>
  <c r="DO24" i="70" s="1"/>
  <c r="DN23" i="70"/>
  <c r="DE23" i="70"/>
  <c r="CV23" i="70"/>
  <c r="CM23" i="70"/>
  <c r="CD23" i="70"/>
  <c r="BU23" i="70"/>
  <c r="BL23" i="70"/>
  <c r="BC23" i="70"/>
  <c r="AT23" i="70"/>
  <c r="AK23" i="70"/>
  <c r="AB23" i="70"/>
  <c r="S23" i="70"/>
  <c r="DN22" i="70"/>
  <c r="DE22" i="70"/>
  <c r="CV22" i="70"/>
  <c r="CM22" i="70"/>
  <c r="CD22" i="70"/>
  <c r="BU22" i="70"/>
  <c r="BL22" i="70"/>
  <c r="BC22" i="70"/>
  <c r="AT22" i="70"/>
  <c r="AK22" i="70"/>
  <c r="AB22" i="70"/>
  <c r="S22" i="70"/>
  <c r="DO22" i="70" s="1"/>
  <c r="DN21" i="70"/>
  <c r="DE21" i="70"/>
  <c r="CV21" i="70"/>
  <c r="CM21" i="70"/>
  <c r="CD21" i="70"/>
  <c r="BU21" i="70"/>
  <c r="BL21" i="70"/>
  <c r="BC21" i="70"/>
  <c r="AT21" i="70"/>
  <c r="AK21" i="70"/>
  <c r="AB21" i="70"/>
  <c r="S21" i="70"/>
  <c r="DN20" i="70"/>
  <c r="CV20" i="70"/>
  <c r="CM20" i="70"/>
  <c r="CD20" i="70"/>
  <c r="BU20" i="70"/>
  <c r="BL20" i="70"/>
  <c r="BC20" i="70"/>
  <c r="AT20" i="70"/>
  <c r="AK20" i="70"/>
  <c r="AB20" i="70"/>
  <c r="S20" i="70"/>
  <c r="DO20" i="70" s="1"/>
  <c r="DN19" i="70"/>
  <c r="DE19" i="70"/>
  <c r="CV19" i="70"/>
  <c r="CM19" i="70"/>
  <c r="CD19" i="70"/>
  <c r="BU19" i="70"/>
  <c r="BL19" i="70"/>
  <c r="BC19" i="70"/>
  <c r="AT19" i="70"/>
  <c r="AK19" i="70"/>
  <c r="AB19" i="70"/>
  <c r="S19" i="70"/>
  <c r="DN18" i="70"/>
  <c r="DE18" i="70"/>
  <c r="CV18" i="70"/>
  <c r="CM18" i="70"/>
  <c r="CD18" i="70"/>
  <c r="BU18" i="70"/>
  <c r="BL18" i="70"/>
  <c r="BC18" i="70"/>
  <c r="AT18" i="70"/>
  <c r="AK18" i="70"/>
  <c r="AB18" i="70"/>
  <c r="S18" i="70"/>
  <c r="DO18" i="70" s="1"/>
  <c r="DN17" i="70"/>
  <c r="DE17" i="70"/>
  <c r="CV17" i="70"/>
  <c r="CM17" i="70"/>
  <c r="CD17" i="70"/>
  <c r="AB17" i="70"/>
  <c r="S17" i="70"/>
  <c r="DO17" i="70" s="1"/>
  <c r="DN16" i="70"/>
  <c r="DE16" i="70"/>
  <c r="CV16" i="70"/>
  <c r="CM16" i="70"/>
  <c r="CD16" i="70"/>
  <c r="BU16" i="70"/>
  <c r="BL16" i="70"/>
  <c r="BC16" i="70"/>
  <c r="AT16" i="70"/>
  <c r="AK16" i="70"/>
  <c r="AB16" i="70"/>
  <c r="S16" i="70"/>
  <c r="DO16" i="70" s="1"/>
  <c r="DN15" i="70"/>
  <c r="DE15" i="70"/>
  <c r="CV15" i="70"/>
  <c r="CM15" i="70"/>
  <c r="CD15" i="70"/>
  <c r="BU15" i="70"/>
  <c r="BL15" i="70"/>
  <c r="BC15" i="70"/>
  <c r="AT15" i="70"/>
  <c r="AK15" i="70"/>
  <c r="AB15" i="70"/>
  <c r="S15" i="70"/>
  <c r="DO15" i="70" s="1"/>
  <c r="DO59" i="70" l="1"/>
  <c r="DO57" i="70"/>
  <c r="DO43" i="70"/>
  <c r="DO41" i="70"/>
  <c r="DO39" i="70"/>
  <c r="DO37" i="70"/>
  <c r="DO35" i="70"/>
  <c r="DO33" i="70"/>
  <c r="DO31" i="70"/>
  <c r="DO29" i="70"/>
  <c r="DO27" i="70"/>
  <c r="DO25" i="70"/>
  <c r="DO23" i="70"/>
  <c r="DO21" i="70"/>
  <c r="DO19" i="70"/>
  <c r="DN32" i="69" l="1"/>
  <c r="DE32" i="69"/>
  <c r="CV32" i="69"/>
  <c r="CM32" i="69"/>
  <c r="CD32" i="69"/>
  <c r="BU32" i="69"/>
  <c r="BL32" i="69"/>
  <c r="BC32" i="69"/>
  <c r="AT32" i="69"/>
  <c r="AK32" i="69"/>
  <c r="AB32" i="69"/>
  <c r="S32" i="69"/>
  <c r="DO32" i="69" s="1"/>
  <c r="DN31" i="69"/>
  <c r="DE31" i="69"/>
  <c r="CV31" i="69"/>
  <c r="CM31" i="69"/>
  <c r="CD31" i="69"/>
  <c r="BU31" i="69"/>
  <c r="BL31" i="69"/>
  <c r="BC31" i="69"/>
  <c r="AT31" i="69"/>
  <c r="AK31" i="69"/>
  <c r="AB31" i="69"/>
  <c r="S31" i="69"/>
  <c r="DO31" i="69" s="1"/>
  <c r="DN30" i="69"/>
  <c r="DE30" i="69"/>
  <c r="CV30" i="69"/>
  <c r="CM30" i="69"/>
  <c r="CD30" i="69"/>
  <c r="BU30" i="69"/>
  <c r="BL30" i="69"/>
  <c r="BC30" i="69"/>
  <c r="AT30" i="69"/>
  <c r="AK30" i="69"/>
  <c r="AB30" i="69"/>
  <c r="S30" i="69"/>
  <c r="DO30" i="69" s="1"/>
  <c r="DN29" i="69"/>
  <c r="DE29" i="69"/>
  <c r="CV29" i="69"/>
  <c r="CM29" i="69"/>
  <c r="CD29" i="69"/>
  <c r="BU29" i="69"/>
  <c r="BL29" i="69"/>
  <c r="BC29" i="69"/>
  <c r="AT29" i="69"/>
  <c r="AK29" i="69"/>
  <c r="AB29" i="69"/>
  <c r="S29" i="69"/>
  <c r="DO29" i="69" s="1"/>
  <c r="DN28" i="69"/>
  <c r="DE28" i="69"/>
  <c r="CV28" i="69"/>
  <c r="CM28" i="69"/>
  <c r="CD28" i="69"/>
  <c r="BU28" i="69"/>
  <c r="BL28" i="69"/>
  <c r="BC28" i="69"/>
  <c r="AT28" i="69"/>
  <c r="AK28" i="69"/>
  <c r="AB28" i="69"/>
  <c r="S28" i="69"/>
  <c r="DO28" i="69" s="1"/>
  <c r="DN27" i="69"/>
  <c r="DE27" i="69"/>
  <c r="CV27" i="69"/>
  <c r="CM27" i="69"/>
  <c r="CD27" i="69"/>
  <c r="BU27" i="69"/>
  <c r="BL27" i="69"/>
  <c r="BC27" i="69"/>
  <c r="AT27" i="69"/>
  <c r="AK27" i="69"/>
  <c r="AB27" i="69"/>
  <c r="S27" i="69"/>
  <c r="DO27" i="69" s="1"/>
  <c r="DN26" i="69"/>
  <c r="DE26" i="69"/>
  <c r="CV26" i="69"/>
  <c r="CM26" i="69"/>
  <c r="CD26" i="69"/>
  <c r="BU26" i="69"/>
  <c r="BL26" i="69"/>
  <c r="BC26" i="69"/>
  <c r="AT26" i="69"/>
  <c r="AK26" i="69"/>
  <c r="AB26" i="69"/>
  <c r="S26" i="69"/>
  <c r="DO26" i="69" s="1"/>
  <c r="DN25" i="69"/>
  <c r="DE25" i="69"/>
  <c r="CV25" i="69"/>
  <c r="CM25" i="69"/>
  <c r="CD25" i="69"/>
  <c r="BU25" i="69"/>
  <c r="BL25" i="69"/>
  <c r="BC25" i="69"/>
  <c r="AT25" i="69"/>
  <c r="AK25" i="69"/>
  <c r="AB25" i="69"/>
  <c r="S25" i="69"/>
  <c r="DO25" i="69" s="1"/>
  <c r="DN24" i="69"/>
  <c r="DE24" i="69"/>
  <c r="CV24" i="69"/>
  <c r="CM24" i="69"/>
  <c r="CD24" i="69"/>
  <c r="BU24" i="69"/>
  <c r="BL24" i="69"/>
  <c r="BC24" i="69"/>
  <c r="AT24" i="69"/>
  <c r="AK24" i="69"/>
  <c r="AB24" i="69"/>
  <c r="S24" i="69"/>
  <c r="DO24" i="69" s="1"/>
  <c r="DN23" i="69"/>
  <c r="DE23" i="69"/>
  <c r="CV23" i="69"/>
  <c r="CM23" i="69"/>
  <c r="CD23" i="69"/>
  <c r="BU23" i="69"/>
  <c r="BL23" i="69"/>
  <c r="BC23" i="69"/>
  <c r="AT23" i="69"/>
  <c r="AK23" i="69"/>
  <c r="AB23" i="69"/>
  <c r="S23" i="69"/>
  <c r="DO23" i="69" s="1"/>
  <c r="DN22" i="69"/>
  <c r="DE22" i="69"/>
  <c r="CV22" i="69"/>
  <c r="CM22" i="69"/>
  <c r="CD22" i="69"/>
  <c r="BU22" i="69"/>
  <c r="BL22" i="69"/>
  <c r="BC22" i="69"/>
  <c r="AT22" i="69"/>
  <c r="AK22" i="69"/>
  <c r="AB22" i="69"/>
  <c r="S22" i="69"/>
  <c r="DO22" i="69" s="1"/>
  <c r="DN21" i="69"/>
  <c r="DE21" i="69"/>
  <c r="CV21" i="69"/>
  <c r="CM21" i="69"/>
  <c r="CD21" i="69"/>
  <c r="BU21" i="69"/>
  <c r="BL21" i="69"/>
  <c r="BC21" i="69"/>
  <c r="AT21" i="69"/>
  <c r="AK21" i="69"/>
  <c r="AB21" i="69"/>
  <c r="S21" i="69"/>
  <c r="DO21" i="69" s="1"/>
  <c r="DN20" i="69"/>
  <c r="DE20" i="69"/>
  <c r="CV20" i="69"/>
  <c r="CM20" i="69"/>
  <c r="CD20" i="69"/>
  <c r="BU20" i="69"/>
  <c r="BL20" i="69"/>
  <c r="BC20" i="69"/>
  <c r="AT20" i="69"/>
  <c r="AK20" i="69"/>
  <c r="AB20" i="69"/>
  <c r="S20" i="69"/>
  <c r="DO20" i="69" s="1"/>
  <c r="DN19" i="69"/>
  <c r="DE19" i="69"/>
  <c r="CV19" i="69"/>
  <c r="CM19" i="69"/>
  <c r="CD19" i="69"/>
  <c r="BU19" i="69"/>
  <c r="BL19" i="69"/>
  <c r="BC19" i="69"/>
  <c r="AT19" i="69"/>
  <c r="AK19" i="69"/>
  <c r="AB19" i="69"/>
  <c r="S19" i="69"/>
  <c r="DO19" i="69" s="1"/>
  <c r="DN18" i="69"/>
  <c r="DE18" i="69"/>
  <c r="CV18" i="69"/>
  <c r="CM18" i="69"/>
  <c r="CD18" i="69"/>
  <c r="BU18" i="69"/>
  <c r="BL18" i="69"/>
  <c r="BC18" i="69"/>
  <c r="AT18" i="69"/>
  <c r="AK18" i="69"/>
  <c r="AB18" i="69"/>
  <c r="S18" i="69"/>
  <c r="DO18" i="69" s="1"/>
  <c r="DN17" i="69"/>
  <c r="DE17" i="69"/>
  <c r="CV17" i="69"/>
  <c r="CM17" i="69"/>
  <c r="CD17" i="69"/>
  <c r="BU17" i="69"/>
  <c r="BL17" i="69"/>
  <c r="BC17" i="69"/>
  <c r="AT17" i="69"/>
  <c r="AK17" i="69"/>
  <c r="AB17" i="69"/>
  <c r="S17" i="69"/>
  <c r="DO17" i="69" s="1"/>
  <c r="DN16" i="69"/>
  <c r="DE16" i="69"/>
  <c r="CV16" i="69"/>
  <c r="CM16" i="69"/>
  <c r="CD16" i="69"/>
  <c r="BU16" i="69"/>
  <c r="BL16" i="69"/>
  <c r="BC16" i="69"/>
  <c r="AT16" i="69"/>
  <c r="AK16" i="69"/>
  <c r="AB16" i="69"/>
  <c r="S16" i="69"/>
  <c r="DO16" i="69" s="1"/>
  <c r="DN15" i="69"/>
  <c r="DE15" i="69"/>
  <c r="CV15" i="69"/>
  <c r="CM15" i="69"/>
  <c r="CD15" i="69"/>
  <c r="BU15" i="69"/>
  <c r="BL15" i="69"/>
  <c r="BC15" i="69"/>
  <c r="AT15" i="69"/>
  <c r="AK15" i="69"/>
  <c r="AB15" i="69"/>
  <c r="S15" i="69"/>
  <c r="DO15" i="69" l="1"/>
  <c r="DO17" i="66" l="1"/>
  <c r="DO18" i="66"/>
  <c r="DO19" i="66"/>
  <c r="DO20" i="66"/>
  <c r="DO21" i="66"/>
  <c r="DO22" i="66"/>
  <c r="DO23" i="66"/>
  <c r="DO24" i="66"/>
  <c r="DO25" i="66"/>
  <c r="DO26" i="66"/>
  <c r="DO27" i="66"/>
  <c r="DO28" i="66"/>
  <c r="DO29" i="66"/>
  <c r="DO30" i="66"/>
  <c r="DO31" i="66"/>
  <c r="DO32" i="66"/>
  <c r="DO33" i="66"/>
  <c r="DO34" i="66"/>
  <c r="DO35" i="66"/>
  <c r="DO36" i="66"/>
  <c r="DO37" i="66"/>
  <c r="DO38" i="66"/>
  <c r="DO39" i="66"/>
  <c r="DO40" i="66"/>
  <c r="DO41" i="66"/>
  <c r="DO42" i="66"/>
  <c r="DO43" i="66"/>
  <c r="DO44" i="66"/>
  <c r="DO45" i="66"/>
  <c r="DO46" i="66"/>
  <c r="DO47" i="66"/>
  <c r="DO48" i="66"/>
  <c r="DO49" i="66"/>
  <c r="DO50" i="66"/>
  <c r="DO51" i="66"/>
  <c r="DO52" i="66"/>
  <c r="DO53" i="66"/>
  <c r="DO54" i="66"/>
  <c r="DO55" i="66"/>
  <c r="DO56" i="66"/>
  <c r="DO57" i="66"/>
  <c r="DO58" i="66"/>
  <c r="DO59" i="66"/>
  <c r="DO60" i="66"/>
  <c r="DO61" i="66"/>
  <c r="DO62" i="66"/>
  <c r="DO63" i="66"/>
  <c r="DO64" i="66"/>
  <c r="DO65" i="66"/>
  <c r="DO66" i="66"/>
  <c r="DO67" i="66"/>
  <c r="DO68" i="66"/>
  <c r="DO69" i="66"/>
  <c r="DO16" i="66"/>
  <c r="DE68" i="66"/>
  <c r="DE67" i="66"/>
  <c r="DE66" i="66"/>
  <c r="DE65" i="66"/>
  <c r="DE64" i="66"/>
  <c r="DE63" i="66"/>
  <c r="DE62" i="66"/>
  <c r="DE61" i="66"/>
  <c r="DE60" i="66"/>
  <c r="DE59" i="66"/>
  <c r="DE58" i="66"/>
  <c r="DE57" i="66"/>
  <c r="DE55" i="66"/>
  <c r="DE54" i="66"/>
  <c r="DE53" i="66"/>
  <c r="DE52" i="66"/>
  <c r="DE51" i="66"/>
  <c r="DE50" i="66"/>
  <c r="DE49" i="66"/>
  <c r="DE48" i="66"/>
  <c r="DE47" i="66"/>
  <c r="DE46" i="66"/>
  <c r="DE45" i="66"/>
  <c r="DE44" i="66"/>
  <c r="DE43" i="66"/>
  <c r="DE42" i="66"/>
  <c r="DE41" i="66"/>
  <c r="DE40" i="66"/>
  <c r="DE39" i="66"/>
  <c r="DE38" i="66"/>
  <c r="DE37" i="66"/>
  <c r="DE36" i="66"/>
  <c r="DE35" i="66"/>
  <c r="DE34" i="66"/>
  <c r="DE33" i="66"/>
  <c r="DE32" i="66"/>
  <c r="DE31" i="66"/>
  <c r="DE30" i="66"/>
  <c r="DE29" i="66"/>
  <c r="DE28" i="66"/>
  <c r="DE27" i="66"/>
  <c r="DE26" i="66"/>
  <c r="DE25" i="66"/>
  <c r="DE24" i="66"/>
  <c r="DE23" i="66"/>
  <c r="DE22" i="66"/>
  <c r="DE21" i="66"/>
  <c r="DE20" i="66"/>
  <c r="DE19" i="66"/>
  <c r="DE18" i="66"/>
  <c r="DE17" i="66"/>
  <c r="DE16" i="66"/>
  <c r="DE15" i="66"/>
  <c r="DN30" i="68" l="1"/>
  <c r="DE30" i="68"/>
  <c r="CV30" i="68"/>
  <c r="CM30" i="68"/>
  <c r="CD30" i="68"/>
  <c r="BU30" i="68"/>
  <c r="BL30" i="68"/>
  <c r="BC30" i="68"/>
  <c r="AT30" i="68"/>
  <c r="AB30" i="68"/>
  <c r="S30" i="68"/>
  <c r="DO30" i="68" s="1"/>
  <c r="DN29" i="68"/>
  <c r="DE29" i="68"/>
  <c r="CV29" i="68"/>
  <c r="CM29" i="68"/>
  <c r="CD29" i="68"/>
  <c r="BU29" i="68"/>
  <c r="BL29" i="68"/>
  <c r="BC29" i="68"/>
  <c r="AT29" i="68"/>
  <c r="AK29" i="68"/>
  <c r="AB29" i="68"/>
  <c r="S29" i="68"/>
  <c r="DN28" i="68"/>
  <c r="DE28" i="68"/>
  <c r="CV28" i="68"/>
  <c r="CM28" i="68"/>
  <c r="CD28" i="68"/>
  <c r="BU28" i="68"/>
  <c r="BL28" i="68"/>
  <c r="BC28" i="68"/>
  <c r="AT28" i="68"/>
  <c r="AK28" i="68"/>
  <c r="AB28" i="68"/>
  <c r="S28" i="68"/>
  <c r="DO28" i="68" s="1"/>
  <c r="DN27" i="68"/>
  <c r="DE27" i="68"/>
  <c r="CV27" i="68"/>
  <c r="CM27" i="68"/>
  <c r="CD27" i="68"/>
  <c r="BU27" i="68"/>
  <c r="BL27" i="68"/>
  <c r="BC27" i="68"/>
  <c r="AT27" i="68"/>
  <c r="AK27" i="68"/>
  <c r="AB27" i="68"/>
  <c r="S27" i="68"/>
  <c r="DN26" i="68"/>
  <c r="DE26" i="68"/>
  <c r="CV26" i="68"/>
  <c r="CM26" i="68"/>
  <c r="CD26" i="68"/>
  <c r="BU26" i="68"/>
  <c r="BL26" i="68"/>
  <c r="BC26" i="68"/>
  <c r="AT26" i="68"/>
  <c r="AK26" i="68"/>
  <c r="AB26" i="68"/>
  <c r="S26" i="68"/>
  <c r="DO26" i="68" s="1"/>
  <c r="DN25" i="68"/>
  <c r="DE25" i="68"/>
  <c r="CV25" i="68"/>
  <c r="CM25" i="68"/>
  <c r="CD25" i="68"/>
  <c r="BU25" i="68"/>
  <c r="BL25" i="68"/>
  <c r="BC25" i="68"/>
  <c r="AT25" i="68"/>
  <c r="AK25" i="68"/>
  <c r="AB25" i="68"/>
  <c r="S25" i="68"/>
  <c r="DN24" i="68"/>
  <c r="DE24" i="68"/>
  <c r="CV24" i="68"/>
  <c r="CM24" i="68"/>
  <c r="CD24" i="68"/>
  <c r="BU24" i="68"/>
  <c r="BL24" i="68"/>
  <c r="BC24" i="68"/>
  <c r="AT24" i="68"/>
  <c r="AK24" i="68"/>
  <c r="AB24" i="68"/>
  <c r="S24" i="68"/>
  <c r="DO24" i="68" s="1"/>
  <c r="DN23" i="68"/>
  <c r="DE23" i="68"/>
  <c r="CV23" i="68"/>
  <c r="CM23" i="68"/>
  <c r="CD23" i="68"/>
  <c r="BU23" i="68"/>
  <c r="BL23" i="68"/>
  <c r="BC23" i="68"/>
  <c r="AT23" i="68"/>
  <c r="AK23" i="68"/>
  <c r="AB23" i="68"/>
  <c r="S23" i="68"/>
  <c r="DN22" i="68"/>
  <c r="DE22" i="68"/>
  <c r="CV22" i="68"/>
  <c r="CM22" i="68"/>
  <c r="CD22" i="68"/>
  <c r="BU22" i="68"/>
  <c r="BL22" i="68"/>
  <c r="BC22" i="68"/>
  <c r="AT22" i="68"/>
  <c r="AK22" i="68"/>
  <c r="AB22" i="68"/>
  <c r="S22" i="68"/>
  <c r="DO22" i="68" s="1"/>
  <c r="DN21" i="68"/>
  <c r="DE21" i="68"/>
  <c r="CV21" i="68"/>
  <c r="CM21" i="68"/>
  <c r="CD21" i="68"/>
  <c r="BU21" i="68"/>
  <c r="BL21" i="68"/>
  <c r="BC21" i="68"/>
  <c r="AT21" i="68"/>
  <c r="AK21" i="68"/>
  <c r="AB21" i="68"/>
  <c r="S21" i="68"/>
  <c r="DN20" i="68"/>
  <c r="DE20" i="68"/>
  <c r="CV20" i="68"/>
  <c r="CM20" i="68"/>
  <c r="CD20" i="68"/>
  <c r="BU20" i="68"/>
  <c r="BL20" i="68"/>
  <c r="BC20" i="68"/>
  <c r="AT20" i="68"/>
  <c r="AK20" i="68"/>
  <c r="AB20" i="68"/>
  <c r="S20" i="68"/>
  <c r="DO20" i="68" s="1"/>
  <c r="DN19" i="68"/>
  <c r="DE19" i="68"/>
  <c r="CV19" i="68"/>
  <c r="CM19" i="68"/>
  <c r="CD19" i="68"/>
  <c r="BU19" i="68"/>
  <c r="BL19" i="68"/>
  <c r="BC19" i="68"/>
  <c r="AT19" i="68"/>
  <c r="AK19" i="68"/>
  <c r="AB19" i="68"/>
  <c r="S19" i="68"/>
  <c r="DN18" i="68"/>
  <c r="DE18" i="68"/>
  <c r="CV18" i="68"/>
  <c r="CM18" i="68"/>
  <c r="CD18" i="68"/>
  <c r="BU18" i="68"/>
  <c r="BL18" i="68"/>
  <c r="BC18" i="68"/>
  <c r="AT18" i="68"/>
  <c r="AK18" i="68"/>
  <c r="AB18" i="68"/>
  <c r="S18" i="68"/>
  <c r="DO18" i="68" s="1"/>
  <c r="DN17" i="68"/>
  <c r="DE17" i="68"/>
  <c r="CV17" i="68"/>
  <c r="CM17" i="68"/>
  <c r="CD17" i="68"/>
  <c r="BU17" i="68"/>
  <c r="BL17" i="68"/>
  <c r="BC17" i="68"/>
  <c r="AT17" i="68"/>
  <c r="AK17" i="68"/>
  <c r="AB17" i="68"/>
  <c r="S17" i="68"/>
  <c r="DN16" i="68"/>
  <c r="DE16" i="68"/>
  <c r="CV16" i="68"/>
  <c r="CM16" i="68"/>
  <c r="CD16" i="68"/>
  <c r="BU16" i="68"/>
  <c r="BL16" i="68"/>
  <c r="BC16" i="68"/>
  <c r="AT16" i="68"/>
  <c r="AK16" i="68"/>
  <c r="AB16" i="68"/>
  <c r="S16" i="68"/>
  <c r="DO16" i="68" s="1"/>
  <c r="DN15" i="68"/>
  <c r="DE15" i="68"/>
  <c r="CV15" i="68"/>
  <c r="CM15" i="68"/>
  <c r="CD15" i="68"/>
  <c r="BU15" i="68"/>
  <c r="BL15" i="68"/>
  <c r="BC15" i="68"/>
  <c r="AT15" i="68"/>
  <c r="AK15" i="68"/>
  <c r="AB15" i="68"/>
  <c r="S15" i="68"/>
  <c r="K6" i="68"/>
  <c r="J6" i="68"/>
  <c r="I6" i="68"/>
  <c r="DO29" i="68" l="1"/>
  <c r="DO27" i="68"/>
  <c r="DO25" i="68"/>
  <c r="DO23" i="68"/>
  <c r="DO21" i="68"/>
  <c r="DO19" i="68"/>
  <c r="DO17" i="68"/>
  <c r="DO15" i="68"/>
  <c r="DN30" i="67" l="1"/>
  <c r="DE30" i="67"/>
  <c r="CV30" i="67"/>
  <c r="CM30" i="67"/>
  <c r="CD30" i="67"/>
  <c r="BU30" i="67"/>
  <c r="BL30" i="67"/>
  <c r="BC30" i="67"/>
  <c r="AT30" i="67"/>
  <c r="AK30" i="67"/>
  <c r="AB30" i="67"/>
  <c r="S30" i="67"/>
  <c r="DO30" i="67" s="1"/>
  <c r="DN29" i="67"/>
  <c r="DE29" i="67"/>
  <c r="CV29" i="67"/>
  <c r="CM29" i="67"/>
  <c r="CD29" i="67"/>
  <c r="BU29" i="67"/>
  <c r="BL29" i="67"/>
  <c r="BC29" i="67"/>
  <c r="AT29" i="67"/>
  <c r="AK29" i="67"/>
  <c r="AB29" i="67"/>
  <c r="S29" i="67"/>
  <c r="DO29" i="67" s="1"/>
  <c r="DN28" i="67"/>
  <c r="DE28" i="67"/>
  <c r="CV28" i="67"/>
  <c r="CM28" i="67"/>
  <c r="CD28" i="67"/>
  <c r="BU28" i="67"/>
  <c r="BL28" i="67"/>
  <c r="BC28" i="67"/>
  <c r="AT28" i="67"/>
  <c r="AK28" i="67"/>
  <c r="AB28" i="67"/>
  <c r="S28" i="67"/>
  <c r="DO28" i="67" s="1"/>
  <c r="DN27" i="67"/>
  <c r="DE27" i="67"/>
  <c r="CV27" i="67"/>
  <c r="CM27" i="67"/>
  <c r="CD27" i="67"/>
  <c r="BU27" i="67"/>
  <c r="BL27" i="67"/>
  <c r="BC27" i="67"/>
  <c r="AT27" i="67"/>
  <c r="AK27" i="67"/>
  <c r="AB27" i="67"/>
  <c r="S27" i="67"/>
  <c r="DN26" i="67"/>
  <c r="DE26" i="67"/>
  <c r="CV26" i="67"/>
  <c r="CM26" i="67"/>
  <c r="CD26" i="67"/>
  <c r="BU26" i="67"/>
  <c r="BL26" i="67"/>
  <c r="BC26" i="67"/>
  <c r="AT26" i="67"/>
  <c r="AK26" i="67"/>
  <c r="AB26" i="67"/>
  <c r="S26" i="67"/>
  <c r="DO26" i="67" s="1"/>
  <c r="DN25" i="67"/>
  <c r="DE25" i="67"/>
  <c r="CV25" i="67"/>
  <c r="CM25" i="67"/>
  <c r="CD25" i="67"/>
  <c r="BU25" i="67"/>
  <c r="BL25" i="67"/>
  <c r="BC25" i="67"/>
  <c r="AT25" i="67"/>
  <c r="AK25" i="67"/>
  <c r="AB25" i="67"/>
  <c r="S25" i="67"/>
  <c r="DO25" i="67" s="1"/>
  <c r="DN24" i="67"/>
  <c r="DE24" i="67"/>
  <c r="CV24" i="67"/>
  <c r="CM24" i="67"/>
  <c r="CD24" i="67"/>
  <c r="BU24" i="67"/>
  <c r="BL24" i="67"/>
  <c r="BC24" i="67"/>
  <c r="AT24" i="67"/>
  <c r="AK24" i="67"/>
  <c r="AB24" i="67"/>
  <c r="S24" i="67"/>
  <c r="DO24" i="67" s="1"/>
  <c r="DN23" i="67"/>
  <c r="DE23" i="67"/>
  <c r="CV23" i="67"/>
  <c r="CM23" i="67"/>
  <c r="CD23" i="67"/>
  <c r="BU23" i="67"/>
  <c r="BL23" i="67"/>
  <c r="BC23" i="67"/>
  <c r="AT23" i="67"/>
  <c r="AK23" i="67"/>
  <c r="AB23" i="67"/>
  <c r="S23" i="67"/>
  <c r="DO23" i="67" s="1"/>
  <c r="DN22" i="67"/>
  <c r="DE22" i="67"/>
  <c r="CV22" i="67"/>
  <c r="CM22" i="67"/>
  <c r="CD22" i="67"/>
  <c r="BU22" i="67"/>
  <c r="BL22" i="67"/>
  <c r="BC22" i="67"/>
  <c r="AT22" i="67"/>
  <c r="AK22" i="67"/>
  <c r="AB22" i="67"/>
  <c r="S22" i="67"/>
  <c r="DO22" i="67" s="1"/>
  <c r="DN21" i="67"/>
  <c r="DE21" i="67"/>
  <c r="CV21" i="67"/>
  <c r="CM21" i="67"/>
  <c r="CD21" i="67"/>
  <c r="BU21" i="67"/>
  <c r="BL21" i="67"/>
  <c r="BC21" i="67"/>
  <c r="AT21" i="67"/>
  <c r="AK21" i="67"/>
  <c r="AB21" i="67"/>
  <c r="S21" i="67"/>
  <c r="DN20" i="67"/>
  <c r="DE20" i="67"/>
  <c r="CV20" i="67"/>
  <c r="CM20" i="67"/>
  <c r="CD20" i="67"/>
  <c r="BU20" i="67"/>
  <c r="BL20" i="67"/>
  <c r="BC20" i="67"/>
  <c r="AT20" i="67"/>
  <c r="AK20" i="67"/>
  <c r="AB20" i="67"/>
  <c r="S20" i="67"/>
  <c r="DO20" i="67" s="1"/>
  <c r="DN19" i="67"/>
  <c r="DE19" i="67"/>
  <c r="CV19" i="67"/>
  <c r="CM19" i="67"/>
  <c r="CD19" i="67"/>
  <c r="BU19" i="67"/>
  <c r="BL19" i="67"/>
  <c r="BC19" i="67"/>
  <c r="AT19" i="67"/>
  <c r="AK19" i="67"/>
  <c r="AB19" i="67"/>
  <c r="S19" i="67"/>
  <c r="DO19" i="67" s="1"/>
  <c r="DN18" i="67"/>
  <c r="DE18" i="67"/>
  <c r="CV18" i="67"/>
  <c r="CM18" i="67"/>
  <c r="CD18" i="67"/>
  <c r="BU18" i="67"/>
  <c r="BL18" i="67"/>
  <c r="BC18" i="67"/>
  <c r="AT18" i="67"/>
  <c r="AK18" i="67"/>
  <c r="AB18" i="67"/>
  <c r="S18" i="67"/>
  <c r="DO18" i="67" s="1"/>
  <c r="DN17" i="67"/>
  <c r="DE17" i="67"/>
  <c r="CV17" i="67"/>
  <c r="CM17" i="67"/>
  <c r="CD17" i="67"/>
  <c r="BU17" i="67"/>
  <c r="BL17" i="67"/>
  <c r="BC17" i="67"/>
  <c r="AT17" i="67"/>
  <c r="AK17" i="67"/>
  <c r="AB17" i="67"/>
  <c r="S17" i="67"/>
  <c r="DO17" i="67" s="1"/>
  <c r="DN16" i="67"/>
  <c r="DE16" i="67"/>
  <c r="CV16" i="67"/>
  <c r="CM16" i="67"/>
  <c r="CD16" i="67"/>
  <c r="BU16" i="67"/>
  <c r="BL16" i="67"/>
  <c r="BC16" i="67"/>
  <c r="AT16" i="67"/>
  <c r="AK16" i="67"/>
  <c r="AB16" i="67"/>
  <c r="S16" i="67"/>
  <c r="DO16" i="67" s="1"/>
  <c r="DN15" i="67"/>
  <c r="DE15" i="67"/>
  <c r="CV15" i="67"/>
  <c r="CM15" i="67"/>
  <c r="CD15" i="67"/>
  <c r="BU15" i="67"/>
  <c r="BL15" i="67"/>
  <c r="BC15" i="67"/>
  <c r="AT15" i="67"/>
  <c r="AK15" i="67"/>
  <c r="AB15" i="67"/>
  <c r="S15" i="67"/>
  <c r="DO15" i="67" s="1"/>
  <c r="DO27" i="67" l="1"/>
  <c r="DO21" i="67"/>
  <c r="DN69" i="66"/>
  <c r="CV69" i="66"/>
  <c r="CM69" i="66"/>
  <c r="CD69" i="66"/>
  <c r="BU69" i="66"/>
  <c r="BL69" i="66"/>
  <c r="BC69" i="66"/>
  <c r="AT69" i="66"/>
  <c r="AK69" i="66"/>
  <c r="AB69" i="66"/>
  <c r="S69" i="66"/>
  <c r="DN68" i="66"/>
  <c r="CV68" i="66"/>
  <c r="CM68" i="66"/>
  <c r="CD68" i="66"/>
  <c r="BU68" i="66"/>
  <c r="BL68" i="66"/>
  <c r="BC68" i="66"/>
  <c r="AT68" i="66"/>
  <c r="AK68" i="66"/>
  <c r="AB68" i="66"/>
  <c r="S68" i="66"/>
  <c r="DN67" i="66"/>
  <c r="CV67" i="66"/>
  <c r="CM67" i="66"/>
  <c r="CD67" i="66"/>
  <c r="BU67" i="66"/>
  <c r="BL67" i="66"/>
  <c r="BC67" i="66"/>
  <c r="AT67" i="66"/>
  <c r="AK67" i="66"/>
  <c r="AB67" i="66"/>
  <c r="S67" i="66"/>
  <c r="DN66" i="66"/>
  <c r="CV66" i="66"/>
  <c r="CM66" i="66"/>
  <c r="CD66" i="66"/>
  <c r="BU66" i="66"/>
  <c r="BL66" i="66"/>
  <c r="BC66" i="66"/>
  <c r="AT66" i="66"/>
  <c r="AK66" i="66"/>
  <c r="AB66" i="66"/>
  <c r="S66" i="66"/>
  <c r="DN65" i="66"/>
  <c r="CV65" i="66"/>
  <c r="CM65" i="66"/>
  <c r="CD65" i="66"/>
  <c r="BU65" i="66"/>
  <c r="BL65" i="66"/>
  <c r="BC65" i="66"/>
  <c r="AT65" i="66"/>
  <c r="AK65" i="66"/>
  <c r="AB65" i="66"/>
  <c r="S65" i="66"/>
  <c r="DN64" i="66"/>
  <c r="CV64" i="66"/>
  <c r="CM64" i="66"/>
  <c r="CD64" i="66"/>
  <c r="BU64" i="66"/>
  <c r="BL64" i="66"/>
  <c r="BC64" i="66"/>
  <c r="AT64" i="66"/>
  <c r="AK64" i="66"/>
  <c r="AB64" i="66"/>
  <c r="S64" i="66"/>
  <c r="DN63" i="66"/>
  <c r="CV63" i="66"/>
  <c r="CM63" i="66"/>
  <c r="CD63" i="66"/>
  <c r="BU63" i="66"/>
  <c r="BL63" i="66"/>
  <c r="BC63" i="66"/>
  <c r="AT63" i="66"/>
  <c r="AK63" i="66"/>
  <c r="AB63" i="66"/>
  <c r="S63" i="66"/>
  <c r="DN62" i="66"/>
  <c r="CV62" i="66"/>
  <c r="CM62" i="66"/>
  <c r="CD62" i="66"/>
  <c r="BU62" i="66"/>
  <c r="BL62" i="66"/>
  <c r="BC62" i="66"/>
  <c r="AT62" i="66"/>
  <c r="AK62" i="66"/>
  <c r="AB62" i="66"/>
  <c r="S62" i="66"/>
  <c r="DN61" i="66"/>
  <c r="CV61" i="66"/>
  <c r="CM61" i="66"/>
  <c r="CD61" i="66"/>
  <c r="BU61" i="66"/>
  <c r="BL61" i="66"/>
  <c r="BC61" i="66"/>
  <c r="AT61" i="66"/>
  <c r="AK61" i="66"/>
  <c r="AB61" i="66"/>
  <c r="S61" i="66"/>
  <c r="DN60" i="66"/>
  <c r="CV60" i="66"/>
  <c r="CM60" i="66"/>
  <c r="CD60" i="66"/>
  <c r="BU60" i="66"/>
  <c r="BL60" i="66"/>
  <c r="BC60" i="66"/>
  <c r="AT60" i="66"/>
  <c r="AK60" i="66"/>
  <c r="AB60" i="66"/>
  <c r="S60" i="66"/>
  <c r="DN59" i="66"/>
  <c r="CV59" i="66"/>
  <c r="CM59" i="66"/>
  <c r="CD59" i="66"/>
  <c r="BU59" i="66"/>
  <c r="BL59" i="66"/>
  <c r="BC59" i="66"/>
  <c r="AT59" i="66"/>
  <c r="AK59" i="66"/>
  <c r="AB59" i="66"/>
  <c r="S59" i="66"/>
  <c r="DN58" i="66"/>
  <c r="CV58" i="66"/>
  <c r="CM58" i="66"/>
  <c r="CD58" i="66"/>
  <c r="BU58" i="66"/>
  <c r="BL58" i="66"/>
  <c r="BC58" i="66"/>
  <c r="AT58" i="66"/>
  <c r="AK58" i="66"/>
  <c r="AB58" i="66"/>
  <c r="S58" i="66"/>
  <c r="CM57" i="66"/>
  <c r="BC57" i="66"/>
  <c r="AB57" i="66"/>
  <c r="S57" i="66"/>
  <c r="DN56" i="66"/>
  <c r="CV56" i="66"/>
  <c r="CM56" i="66"/>
  <c r="CD56" i="66"/>
  <c r="BU56" i="66"/>
  <c r="BL56" i="66"/>
  <c r="BC56" i="66"/>
  <c r="AT56" i="66"/>
  <c r="AK56" i="66"/>
  <c r="AB56" i="66"/>
  <c r="S56" i="66"/>
  <c r="CM55" i="66"/>
  <c r="CD55" i="66"/>
  <c r="BU55" i="66"/>
  <c r="BC55" i="66"/>
  <c r="AT55" i="66"/>
  <c r="AK55" i="66"/>
  <c r="AB55" i="66"/>
  <c r="S55" i="66"/>
  <c r="DN54" i="66"/>
  <c r="CV54" i="66"/>
  <c r="CM54" i="66"/>
  <c r="CD54" i="66"/>
  <c r="BU54" i="66"/>
  <c r="BL54" i="66"/>
  <c r="BC54" i="66"/>
  <c r="AT54" i="66"/>
  <c r="AK54" i="66"/>
  <c r="AB54" i="66"/>
  <c r="S54" i="66"/>
  <c r="DN53" i="66"/>
  <c r="CV53" i="66"/>
  <c r="CM53" i="66"/>
  <c r="CD53" i="66"/>
  <c r="BU53" i="66"/>
  <c r="BL53" i="66"/>
  <c r="BC53" i="66"/>
  <c r="AT53" i="66"/>
  <c r="AK53" i="66"/>
  <c r="AB53" i="66"/>
  <c r="S53" i="66"/>
  <c r="DN52" i="66"/>
  <c r="CV52" i="66"/>
  <c r="CM52" i="66"/>
  <c r="CD52" i="66"/>
  <c r="BU52" i="66"/>
  <c r="BL52" i="66"/>
  <c r="BC52" i="66"/>
  <c r="AT52" i="66"/>
  <c r="AK52" i="66"/>
  <c r="AB52" i="66"/>
  <c r="S52" i="66"/>
  <c r="DN51" i="66"/>
  <c r="CV51" i="66"/>
  <c r="CM51" i="66"/>
  <c r="CD51" i="66"/>
  <c r="BU51" i="66"/>
  <c r="BL51" i="66"/>
  <c r="BC51" i="66"/>
  <c r="AT51" i="66"/>
  <c r="AK51" i="66"/>
  <c r="AB51" i="66"/>
  <c r="S51" i="66"/>
  <c r="DN50" i="66"/>
  <c r="CV50" i="66"/>
  <c r="CM50" i="66"/>
  <c r="CD50" i="66"/>
  <c r="BU50" i="66"/>
  <c r="BL50" i="66"/>
  <c r="BC50" i="66"/>
  <c r="AT50" i="66"/>
  <c r="AK50" i="66"/>
  <c r="AB50" i="66"/>
  <c r="S50" i="66"/>
  <c r="DN49" i="66"/>
  <c r="CV49" i="66"/>
  <c r="CM49" i="66"/>
  <c r="CD49" i="66"/>
  <c r="BU49" i="66"/>
  <c r="BL49" i="66"/>
  <c r="BC49" i="66"/>
  <c r="AT49" i="66"/>
  <c r="AK49" i="66"/>
  <c r="AB49" i="66"/>
  <c r="S49" i="66"/>
  <c r="DN48" i="66"/>
  <c r="CV48" i="66"/>
  <c r="CM48" i="66"/>
  <c r="CD48" i="66"/>
  <c r="BU48" i="66"/>
  <c r="BL48" i="66"/>
  <c r="BC48" i="66"/>
  <c r="AT48" i="66"/>
  <c r="AK48" i="66"/>
  <c r="AB48" i="66"/>
  <c r="S48" i="66"/>
  <c r="DN47" i="66"/>
  <c r="CV47" i="66"/>
  <c r="CM47" i="66"/>
  <c r="CD47" i="66"/>
  <c r="BU47" i="66"/>
  <c r="BL47" i="66"/>
  <c r="BC47" i="66"/>
  <c r="AT47" i="66"/>
  <c r="AK47" i="66"/>
  <c r="AB47" i="66"/>
  <c r="S47" i="66"/>
  <c r="DN46" i="66"/>
  <c r="CV46" i="66"/>
  <c r="CM46" i="66"/>
  <c r="CD46" i="66"/>
  <c r="BU46" i="66"/>
  <c r="BL46" i="66"/>
  <c r="BC46" i="66"/>
  <c r="AT46" i="66"/>
  <c r="AK46" i="66"/>
  <c r="AB46" i="66"/>
  <c r="S46" i="66"/>
  <c r="DN45" i="66"/>
  <c r="CV45" i="66"/>
  <c r="CM45" i="66"/>
  <c r="CD45" i="66"/>
  <c r="BU45" i="66"/>
  <c r="BL45" i="66"/>
  <c r="BC45" i="66"/>
  <c r="AT45" i="66"/>
  <c r="AK45" i="66"/>
  <c r="AB45" i="66"/>
  <c r="S45" i="66"/>
  <c r="DN44" i="66"/>
  <c r="CV44" i="66"/>
  <c r="CM44" i="66"/>
  <c r="CD44" i="66"/>
  <c r="BU44" i="66"/>
  <c r="BL44" i="66"/>
  <c r="BC44" i="66"/>
  <c r="AT44" i="66"/>
  <c r="AK44" i="66"/>
  <c r="AB44" i="66"/>
  <c r="S44" i="66"/>
  <c r="DN43" i="66"/>
  <c r="CV43" i="66"/>
  <c r="CM43" i="66"/>
  <c r="CD43" i="66"/>
  <c r="BU43" i="66"/>
  <c r="BL43" i="66"/>
  <c r="BC43" i="66"/>
  <c r="AT43" i="66"/>
  <c r="AK43" i="66"/>
  <c r="AB43" i="66"/>
  <c r="S43" i="66"/>
  <c r="DN42" i="66"/>
  <c r="CV42" i="66"/>
  <c r="CM42" i="66"/>
  <c r="CD42" i="66"/>
  <c r="BU42" i="66"/>
  <c r="BL42" i="66"/>
  <c r="BC42" i="66"/>
  <c r="AT42" i="66"/>
  <c r="AK42" i="66"/>
  <c r="AB42" i="66"/>
  <c r="S42" i="66"/>
  <c r="DN41" i="66"/>
  <c r="CV41" i="66"/>
  <c r="CM41" i="66"/>
  <c r="CD41" i="66"/>
  <c r="BU41" i="66"/>
  <c r="BL41" i="66"/>
  <c r="BC41" i="66"/>
  <c r="AT41" i="66"/>
  <c r="AK41" i="66"/>
  <c r="AB41" i="66"/>
  <c r="S41" i="66"/>
  <c r="DN40" i="66"/>
  <c r="CV40" i="66"/>
  <c r="CM40" i="66"/>
  <c r="CD40" i="66"/>
  <c r="BU40" i="66"/>
  <c r="BL40" i="66"/>
  <c r="BC40" i="66"/>
  <c r="AT40" i="66"/>
  <c r="AK40" i="66"/>
  <c r="AB40" i="66"/>
  <c r="S40" i="66"/>
  <c r="DN39" i="66"/>
  <c r="CV39" i="66"/>
  <c r="CM39" i="66"/>
  <c r="CD39" i="66"/>
  <c r="BU39" i="66"/>
  <c r="BL39" i="66"/>
  <c r="BC39" i="66"/>
  <c r="AT39" i="66"/>
  <c r="AK39" i="66"/>
  <c r="AB39" i="66"/>
  <c r="S39" i="66"/>
  <c r="DN38" i="66"/>
  <c r="CV38" i="66"/>
  <c r="CM38" i="66"/>
  <c r="CD38" i="66"/>
  <c r="BU38" i="66"/>
  <c r="BL38" i="66"/>
  <c r="BC38" i="66"/>
  <c r="AT38" i="66"/>
  <c r="AK38" i="66"/>
  <c r="AB38" i="66"/>
  <c r="S38" i="66"/>
  <c r="DN37" i="66"/>
  <c r="CV37" i="66"/>
  <c r="CM37" i="66"/>
  <c r="CD37" i="66"/>
  <c r="BU37" i="66"/>
  <c r="BL37" i="66"/>
  <c r="BC37" i="66"/>
  <c r="AT37" i="66"/>
  <c r="AK37" i="66"/>
  <c r="AB37" i="66"/>
  <c r="S37" i="66"/>
  <c r="DN36" i="66"/>
  <c r="CV36" i="66"/>
  <c r="CM36" i="66"/>
  <c r="CD36" i="66"/>
  <c r="BU36" i="66"/>
  <c r="BL36" i="66"/>
  <c r="BC36" i="66"/>
  <c r="AT36" i="66"/>
  <c r="AK36" i="66"/>
  <c r="AB36" i="66"/>
  <c r="S36" i="66"/>
  <c r="DN35" i="66"/>
  <c r="CV35" i="66"/>
  <c r="CM35" i="66"/>
  <c r="CD35" i="66"/>
  <c r="BU35" i="66"/>
  <c r="BL35" i="66"/>
  <c r="BC35" i="66"/>
  <c r="AT35" i="66"/>
  <c r="AK35" i="66"/>
  <c r="AB35" i="66"/>
  <c r="S35" i="66"/>
  <c r="DN34" i="66"/>
  <c r="CV34" i="66"/>
  <c r="CM34" i="66"/>
  <c r="CD34" i="66"/>
  <c r="BU34" i="66"/>
  <c r="BL34" i="66"/>
  <c r="BC34" i="66"/>
  <c r="AT34" i="66"/>
  <c r="AK34" i="66"/>
  <c r="AB34" i="66"/>
  <c r="S34" i="66"/>
  <c r="DN33" i="66"/>
  <c r="CV33" i="66"/>
  <c r="CM33" i="66"/>
  <c r="CD33" i="66"/>
  <c r="BU33" i="66"/>
  <c r="BL33" i="66"/>
  <c r="BC33" i="66"/>
  <c r="AT33" i="66"/>
  <c r="AK33" i="66"/>
  <c r="AB33" i="66"/>
  <c r="S33" i="66"/>
  <c r="DN32" i="66"/>
  <c r="CV32" i="66"/>
  <c r="CM32" i="66"/>
  <c r="CD32" i="66"/>
  <c r="BU32" i="66"/>
  <c r="BL32" i="66"/>
  <c r="BC32" i="66"/>
  <c r="AT32" i="66"/>
  <c r="AK32" i="66"/>
  <c r="AB32" i="66"/>
  <c r="S32" i="66"/>
  <c r="DN31" i="66"/>
  <c r="CV31" i="66"/>
  <c r="CM31" i="66"/>
  <c r="CD31" i="66"/>
  <c r="BU31" i="66"/>
  <c r="BL31" i="66"/>
  <c r="BC31" i="66"/>
  <c r="AT31" i="66"/>
  <c r="AK31" i="66"/>
  <c r="AB31" i="66"/>
  <c r="S31" i="66"/>
  <c r="DN30" i="66"/>
  <c r="CV30" i="66"/>
  <c r="CM30" i="66"/>
  <c r="CD30" i="66"/>
  <c r="BU30" i="66"/>
  <c r="BL30" i="66"/>
  <c r="BC30" i="66"/>
  <c r="AT30" i="66"/>
  <c r="AK30" i="66"/>
  <c r="AB30" i="66"/>
  <c r="S30" i="66"/>
  <c r="DN29" i="66"/>
  <c r="CV29" i="66"/>
  <c r="CM29" i="66"/>
  <c r="CD29" i="66"/>
  <c r="BU29" i="66"/>
  <c r="BL29" i="66"/>
  <c r="BC29" i="66"/>
  <c r="AT29" i="66"/>
  <c r="AK29" i="66"/>
  <c r="AB29" i="66"/>
  <c r="S29" i="66"/>
  <c r="DN28" i="66"/>
  <c r="CV28" i="66"/>
  <c r="CM28" i="66"/>
  <c r="CD28" i="66"/>
  <c r="BU28" i="66"/>
  <c r="BL28" i="66"/>
  <c r="BC28" i="66"/>
  <c r="AT28" i="66"/>
  <c r="AK28" i="66"/>
  <c r="AB28" i="66"/>
  <c r="S28" i="66"/>
  <c r="DN27" i="66"/>
  <c r="CV27" i="66"/>
  <c r="CM27" i="66"/>
  <c r="CD27" i="66"/>
  <c r="BU27" i="66"/>
  <c r="BL27" i="66"/>
  <c r="BC27" i="66"/>
  <c r="AT27" i="66"/>
  <c r="AK27" i="66"/>
  <c r="AB27" i="66"/>
  <c r="S27" i="66"/>
  <c r="DN26" i="66"/>
  <c r="CV26" i="66"/>
  <c r="CM26" i="66"/>
  <c r="CD26" i="66"/>
  <c r="BU26" i="66"/>
  <c r="BL26" i="66"/>
  <c r="BC26" i="66"/>
  <c r="AT26" i="66"/>
  <c r="AK26" i="66"/>
  <c r="AB26" i="66"/>
  <c r="S26" i="66"/>
  <c r="DN25" i="66"/>
  <c r="CV25" i="66"/>
  <c r="CM25" i="66"/>
  <c r="CD25" i="66"/>
  <c r="BU25" i="66"/>
  <c r="BL25" i="66"/>
  <c r="BC25" i="66"/>
  <c r="AT25" i="66"/>
  <c r="AK25" i="66"/>
  <c r="AB25" i="66"/>
  <c r="S25" i="66"/>
  <c r="DN24" i="66"/>
  <c r="CV24" i="66"/>
  <c r="CM24" i="66"/>
  <c r="CD24" i="66"/>
  <c r="BU24" i="66"/>
  <c r="BL24" i="66"/>
  <c r="BC24" i="66"/>
  <c r="AT24" i="66"/>
  <c r="AK24" i="66"/>
  <c r="AB24" i="66"/>
  <c r="S24" i="66"/>
  <c r="DN23" i="66"/>
  <c r="CV23" i="66"/>
  <c r="CM23" i="66"/>
  <c r="CD23" i="66"/>
  <c r="BU23" i="66"/>
  <c r="BL23" i="66"/>
  <c r="BC23" i="66"/>
  <c r="AT23" i="66"/>
  <c r="AK23" i="66"/>
  <c r="AB23" i="66"/>
  <c r="S23" i="66"/>
  <c r="DN22" i="66"/>
  <c r="CV22" i="66"/>
  <c r="CM22" i="66"/>
  <c r="CD22" i="66"/>
  <c r="BU22" i="66"/>
  <c r="BL22" i="66"/>
  <c r="BC22" i="66"/>
  <c r="AT22" i="66"/>
  <c r="AK22" i="66"/>
  <c r="AB22" i="66"/>
  <c r="S22" i="66"/>
  <c r="DN21" i="66"/>
  <c r="CV21" i="66"/>
  <c r="CM21" i="66"/>
  <c r="CD21" i="66"/>
  <c r="BU21" i="66"/>
  <c r="BL21" i="66"/>
  <c r="BC21" i="66"/>
  <c r="AT21" i="66"/>
  <c r="AK21" i="66"/>
  <c r="AB21" i="66"/>
  <c r="S21" i="66"/>
  <c r="DN20" i="66"/>
  <c r="CV20" i="66"/>
  <c r="CM20" i="66"/>
  <c r="CD20" i="66"/>
  <c r="BU20" i="66"/>
  <c r="BL20" i="66"/>
  <c r="BC20" i="66"/>
  <c r="AT20" i="66"/>
  <c r="AK20" i="66"/>
  <c r="AB20" i="66"/>
  <c r="S20" i="66"/>
  <c r="DN19" i="66"/>
  <c r="CV19" i="66"/>
  <c r="CM19" i="66"/>
  <c r="CD19" i="66"/>
  <c r="BU19" i="66"/>
  <c r="BL19" i="66"/>
  <c r="BC19" i="66"/>
  <c r="AT19" i="66"/>
  <c r="AK19" i="66"/>
  <c r="AB19" i="66"/>
  <c r="S19" i="66"/>
  <c r="DN18" i="66"/>
  <c r="CV18" i="66"/>
  <c r="CM18" i="66"/>
  <c r="CD18" i="66"/>
  <c r="BU18" i="66"/>
  <c r="BL18" i="66"/>
  <c r="BC18" i="66"/>
  <c r="AT18" i="66"/>
  <c r="AK18" i="66"/>
  <c r="AB18" i="66"/>
  <c r="S18" i="66"/>
  <c r="DN17" i="66"/>
  <c r="CV17" i="66"/>
  <c r="CM17" i="66"/>
  <c r="CD17" i="66"/>
  <c r="BU17" i="66"/>
  <c r="BL17" i="66"/>
  <c r="BC17" i="66"/>
  <c r="AT17" i="66"/>
  <c r="AK17" i="66"/>
  <c r="AB17" i="66"/>
  <c r="S17" i="66"/>
  <c r="DN16" i="66"/>
  <c r="CV16" i="66"/>
  <c r="CM16" i="66"/>
  <c r="CD16" i="66"/>
  <c r="BU16" i="66"/>
  <c r="BL16" i="66"/>
  <c r="BC16" i="66"/>
  <c r="AT16" i="66"/>
  <c r="AK16" i="66"/>
  <c r="AB16" i="66"/>
  <c r="S16" i="66"/>
  <c r="DN15" i="66"/>
  <c r="CV15" i="66"/>
  <c r="CM15" i="66"/>
  <c r="CD15" i="66"/>
  <c r="BU15" i="66"/>
  <c r="BL15" i="66"/>
  <c r="BC15" i="66"/>
  <c r="AT15" i="66"/>
  <c r="AK15" i="66"/>
  <c r="AB15" i="66"/>
  <c r="S15" i="66"/>
  <c r="DO15" i="66" l="1"/>
  <c r="DN34" i="65"/>
  <c r="DE34" i="65"/>
  <c r="CV34" i="65"/>
  <c r="CM34" i="65"/>
  <c r="CD34" i="65"/>
  <c r="BU34" i="65"/>
  <c r="BL34" i="65"/>
  <c r="BC34" i="65"/>
  <c r="AT34" i="65"/>
  <c r="AK34" i="65"/>
  <c r="AB34" i="65"/>
  <c r="S34" i="65"/>
  <c r="DO34" i="65" s="1"/>
  <c r="DN33" i="65"/>
  <c r="DE33" i="65"/>
  <c r="CV33" i="65"/>
  <c r="CM33" i="65"/>
  <c r="CD33" i="65"/>
  <c r="BU33" i="65"/>
  <c r="BL33" i="65"/>
  <c r="BC33" i="65"/>
  <c r="AT33" i="65"/>
  <c r="AK33" i="65"/>
  <c r="AB33" i="65"/>
  <c r="S33" i="65"/>
  <c r="DO33" i="65" s="1"/>
  <c r="DN32" i="65"/>
  <c r="DE32" i="65"/>
  <c r="CV32" i="65"/>
  <c r="CM32" i="65"/>
  <c r="CD32" i="65"/>
  <c r="BU32" i="65"/>
  <c r="BL32" i="65"/>
  <c r="BC32" i="65"/>
  <c r="AT32" i="65"/>
  <c r="AK32" i="65"/>
  <c r="AB32" i="65"/>
  <c r="S32" i="65"/>
  <c r="DO32" i="65" s="1"/>
  <c r="DN31" i="65"/>
  <c r="DE31" i="65"/>
  <c r="CV31" i="65"/>
  <c r="CM31" i="65"/>
  <c r="CD31" i="65"/>
  <c r="BU31" i="65"/>
  <c r="BL31" i="65"/>
  <c r="BC31" i="65"/>
  <c r="AT31" i="65"/>
  <c r="AK31" i="65"/>
  <c r="AB31" i="65"/>
  <c r="S31" i="65"/>
  <c r="DO31" i="65" s="1"/>
  <c r="DN30" i="65"/>
  <c r="DE30" i="65"/>
  <c r="CV30" i="65"/>
  <c r="CM30" i="65"/>
  <c r="CD30" i="65"/>
  <c r="BU30" i="65"/>
  <c r="BL30" i="65"/>
  <c r="BC30" i="65"/>
  <c r="AT30" i="65"/>
  <c r="AK30" i="65"/>
  <c r="AB30" i="65"/>
  <c r="S30" i="65"/>
  <c r="DO30" i="65" s="1"/>
  <c r="DN29" i="65"/>
  <c r="DE29" i="65"/>
  <c r="CV29" i="65"/>
  <c r="CM29" i="65"/>
  <c r="CD29" i="65"/>
  <c r="BU29" i="65"/>
  <c r="BL29" i="65"/>
  <c r="BC29" i="65"/>
  <c r="AT29" i="65"/>
  <c r="AK29" i="65"/>
  <c r="AB29" i="65"/>
  <c r="S29" i="65"/>
  <c r="DO29" i="65" s="1"/>
  <c r="DN28" i="65"/>
  <c r="DE28" i="65"/>
  <c r="CV28" i="65"/>
  <c r="CM28" i="65"/>
  <c r="CD28" i="65"/>
  <c r="BU28" i="65"/>
  <c r="BL28" i="65"/>
  <c r="BC28" i="65"/>
  <c r="AT28" i="65"/>
  <c r="AK28" i="65"/>
  <c r="AB28" i="65"/>
  <c r="S28" i="65"/>
  <c r="DO28" i="65" s="1"/>
  <c r="DN27" i="65"/>
  <c r="DE27" i="65"/>
  <c r="CV27" i="65"/>
  <c r="CM27" i="65"/>
  <c r="CD27" i="65"/>
  <c r="BU27" i="65"/>
  <c r="BL27" i="65"/>
  <c r="BC27" i="65"/>
  <c r="AT27" i="65"/>
  <c r="AK27" i="65"/>
  <c r="AB27" i="65"/>
  <c r="S27" i="65"/>
  <c r="DO27" i="65" s="1"/>
  <c r="DN26" i="65"/>
  <c r="DE26" i="65"/>
  <c r="CV26" i="65"/>
  <c r="CM26" i="65"/>
  <c r="CD26" i="65"/>
  <c r="BU26" i="65"/>
  <c r="BL26" i="65"/>
  <c r="BC26" i="65"/>
  <c r="AT26" i="65"/>
  <c r="AK26" i="65"/>
  <c r="AB26" i="65"/>
  <c r="S26" i="65"/>
  <c r="DO26" i="65" s="1"/>
  <c r="DN25" i="65"/>
  <c r="DE25" i="65"/>
  <c r="CV25" i="65"/>
  <c r="CM25" i="65"/>
  <c r="CD25" i="65"/>
  <c r="BU25" i="65"/>
  <c r="BL25" i="65"/>
  <c r="BC25" i="65"/>
  <c r="AT25" i="65"/>
  <c r="AK25" i="65"/>
  <c r="AB25" i="65"/>
  <c r="S25" i="65"/>
  <c r="DO25" i="65" s="1"/>
  <c r="DN24" i="65"/>
  <c r="DE24" i="65"/>
  <c r="CV24" i="65"/>
  <c r="CM24" i="65"/>
  <c r="CD24" i="65"/>
  <c r="BU24" i="65"/>
  <c r="BL24" i="65"/>
  <c r="BC24" i="65"/>
  <c r="AT24" i="65"/>
  <c r="AK24" i="65"/>
  <c r="AB24" i="65"/>
  <c r="S24" i="65"/>
  <c r="DO24" i="65" s="1"/>
  <c r="DN23" i="65"/>
  <c r="DE23" i="65"/>
  <c r="CV23" i="65"/>
  <c r="CM23" i="65"/>
  <c r="CD23" i="65"/>
  <c r="BU23" i="65"/>
  <c r="BL23" i="65"/>
  <c r="BC23" i="65"/>
  <c r="AT23" i="65"/>
  <c r="AK23" i="65"/>
  <c r="AB23" i="65"/>
  <c r="S23" i="65"/>
  <c r="DO23" i="65" s="1"/>
  <c r="DN22" i="65"/>
  <c r="DE22" i="65"/>
  <c r="CV22" i="65"/>
  <c r="CM22" i="65"/>
  <c r="CD22" i="65"/>
  <c r="BU22" i="65"/>
  <c r="BL22" i="65"/>
  <c r="BC22" i="65"/>
  <c r="AT22" i="65"/>
  <c r="AK22" i="65"/>
  <c r="AB22" i="65"/>
  <c r="S22" i="65"/>
  <c r="DO22" i="65" s="1"/>
  <c r="DN21" i="65"/>
  <c r="DE21" i="65"/>
  <c r="CV21" i="65"/>
  <c r="CM21" i="65"/>
  <c r="CD21" i="65"/>
  <c r="BU21" i="65"/>
  <c r="BL21" i="65"/>
  <c r="BC21" i="65"/>
  <c r="AT21" i="65"/>
  <c r="AK21" i="65"/>
  <c r="AB21" i="65"/>
  <c r="S21" i="65"/>
  <c r="DO21" i="65" s="1"/>
  <c r="DN20" i="65"/>
  <c r="DE20" i="65"/>
  <c r="CV20" i="65"/>
  <c r="CM20" i="65"/>
  <c r="CD20" i="65"/>
  <c r="BU20" i="65"/>
  <c r="BL20" i="65"/>
  <c r="BC20" i="65"/>
  <c r="AT20" i="65"/>
  <c r="AK20" i="65"/>
  <c r="AB20" i="65"/>
  <c r="S20" i="65"/>
  <c r="DO20" i="65" s="1"/>
  <c r="DN19" i="65"/>
  <c r="DE19" i="65"/>
  <c r="CV19" i="65"/>
  <c r="CM19" i="65"/>
  <c r="CD19" i="65"/>
  <c r="BU19" i="65"/>
  <c r="BL19" i="65"/>
  <c r="BC19" i="65"/>
  <c r="AT19" i="65"/>
  <c r="AK19" i="65"/>
  <c r="AB19" i="65"/>
  <c r="S19" i="65"/>
  <c r="DO19" i="65" s="1"/>
  <c r="DN18" i="65"/>
  <c r="DE18" i="65"/>
  <c r="CV18" i="65"/>
  <c r="CM18" i="65"/>
  <c r="CD18" i="65"/>
  <c r="BU18" i="65"/>
  <c r="BL18" i="65"/>
  <c r="BC18" i="65"/>
  <c r="AT18" i="65"/>
  <c r="AK18" i="65"/>
  <c r="AB18" i="65"/>
  <c r="S18" i="65"/>
  <c r="DO18" i="65" s="1"/>
  <c r="DN17" i="65"/>
  <c r="DE17" i="65"/>
  <c r="CV17" i="65"/>
  <c r="CM17" i="65"/>
  <c r="CD17" i="65"/>
  <c r="BU17" i="65"/>
  <c r="BL17" i="65"/>
  <c r="BC17" i="65"/>
  <c r="AT17" i="65"/>
  <c r="AK17" i="65"/>
  <c r="AB17" i="65"/>
  <c r="S17" i="65"/>
  <c r="DO17" i="65" s="1"/>
  <c r="DN16" i="65"/>
  <c r="DE16" i="65"/>
  <c r="CV16" i="65"/>
  <c r="CM16" i="65"/>
  <c r="CD16" i="65"/>
  <c r="BU16" i="65"/>
  <c r="BL16" i="65"/>
  <c r="BC16" i="65"/>
  <c r="AT16" i="65"/>
  <c r="AK16" i="65"/>
  <c r="AB16" i="65"/>
  <c r="S16" i="65"/>
  <c r="DO16" i="65" s="1"/>
  <c r="DN15" i="65"/>
  <c r="DE15" i="65"/>
  <c r="CV15" i="65"/>
  <c r="CM15" i="65"/>
  <c r="CD15" i="65"/>
  <c r="BU15" i="65"/>
  <c r="BL15" i="65"/>
  <c r="BC15" i="65"/>
  <c r="AT15" i="65"/>
  <c r="AK15" i="65"/>
  <c r="AB15" i="65"/>
  <c r="S15" i="65"/>
  <c r="DO15" i="65" s="1"/>
  <c r="DN37" i="64" l="1"/>
  <c r="DE37" i="64"/>
  <c r="CV37" i="64"/>
  <c r="CM37" i="64"/>
  <c r="CD37" i="64"/>
  <c r="BU37" i="64"/>
  <c r="BL37" i="64"/>
  <c r="BC37" i="64"/>
  <c r="AT37" i="64"/>
  <c r="AK37" i="64"/>
  <c r="AB37" i="64"/>
  <c r="S37" i="64"/>
  <c r="DO37" i="64" s="1"/>
  <c r="DN36" i="64"/>
  <c r="DE36" i="64"/>
  <c r="CV36" i="64"/>
  <c r="CM36" i="64"/>
  <c r="CD36" i="64"/>
  <c r="BU36" i="64"/>
  <c r="BL36" i="64"/>
  <c r="BC36" i="64"/>
  <c r="AT36" i="64"/>
  <c r="AK36" i="64"/>
  <c r="AB36" i="64"/>
  <c r="S36" i="64"/>
  <c r="DO36" i="64" s="1"/>
  <c r="DN35" i="64"/>
  <c r="DC35" i="64"/>
  <c r="DB35" i="64"/>
  <c r="DA35" i="64"/>
  <c r="DE35" i="64" s="1"/>
  <c r="CV35" i="64"/>
  <c r="CR35" i="64"/>
  <c r="CM35" i="64"/>
  <c r="CD35" i="64"/>
  <c r="CA35" i="64"/>
  <c r="BZ35" i="64"/>
  <c r="BU35" i="64"/>
  <c r="BL35" i="64"/>
  <c r="BC35" i="64"/>
  <c r="AT35" i="64"/>
  <c r="AK35" i="64"/>
  <c r="AB35" i="64"/>
  <c r="DO35" i="64" s="1"/>
  <c r="S35" i="64"/>
  <c r="O35" i="64"/>
  <c r="DN34" i="64"/>
  <c r="DE34" i="64"/>
  <c r="CV34" i="64"/>
  <c r="CM34" i="64"/>
  <c r="CD34" i="64"/>
  <c r="BU34" i="64"/>
  <c r="BL34" i="64"/>
  <c r="BC34" i="64"/>
  <c r="AT34" i="64"/>
  <c r="AK34" i="64"/>
  <c r="AB34" i="64"/>
  <c r="S34" i="64"/>
  <c r="DN33" i="64"/>
  <c r="DE33" i="64"/>
  <c r="CV33" i="64"/>
  <c r="CM33" i="64"/>
  <c r="CD33" i="64"/>
  <c r="BU33" i="64"/>
  <c r="BL33" i="64"/>
  <c r="BC33" i="64"/>
  <c r="AT33" i="64"/>
  <c r="AK33" i="64"/>
  <c r="AB33" i="64"/>
  <c r="S33" i="64"/>
  <c r="DO33" i="64" s="1"/>
  <c r="DN32" i="64"/>
  <c r="DE32" i="64"/>
  <c r="CV32" i="64"/>
  <c r="CM32" i="64"/>
  <c r="CD32" i="64"/>
  <c r="BU32" i="64"/>
  <c r="BL32" i="64"/>
  <c r="BC32" i="64"/>
  <c r="AT32" i="64"/>
  <c r="AK32" i="64"/>
  <c r="AB32" i="64"/>
  <c r="S32" i="64"/>
  <c r="DN31" i="64"/>
  <c r="DE31" i="64"/>
  <c r="CY31" i="64"/>
  <c r="CX31" i="64"/>
  <c r="CW31" i="64"/>
  <c r="CV31" i="64"/>
  <c r="CM31" i="64"/>
  <c r="CD31" i="64"/>
  <c r="BU31" i="64"/>
  <c r="BL31" i="64"/>
  <c r="BC31" i="64"/>
  <c r="AT31" i="64"/>
  <c r="AK31" i="64"/>
  <c r="AB31" i="64"/>
  <c r="S31" i="64"/>
  <c r="DO31" i="64" s="1"/>
  <c r="O31" i="64"/>
  <c r="DN30" i="64"/>
  <c r="DE30" i="64"/>
  <c r="CV30" i="64"/>
  <c r="CM30" i="64"/>
  <c r="BU30" i="64"/>
  <c r="BL30" i="64"/>
  <c r="BC30" i="64"/>
  <c r="AT30" i="64"/>
  <c r="AK30" i="64"/>
  <c r="AB30" i="64"/>
  <c r="S30" i="64"/>
  <c r="DN29" i="64"/>
  <c r="DC29" i="64"/>
  <c r="DA29" i="64"/>
  <c r="CZ29" i="64"/>
  <c r="CX29" i="64"/>
  <c r="DE29" i="64" s="1"/>
  <c r="CW29" i="64"/>
  <c r="CN29" i="64"/>
  <c r="CV29" i="64" s="1"/>
  <c r="CM29" i="64"/>
  <c r="CD29" i="64"/>
  <c r="BU29" i="64"/>
  <c r="BL29" i="64"/>
  <c r="BC29" i="64"/>
  <c r="AT29" i="64"/>
  <c r="AK29" i="64"/>
  <c r="AB29" i="64"/>
  <c r="DO29" i="64" s="1"/>
  <c r="S29" i="64"/>
  <c r="DN28" i="64"/>
  <c r="DE28" i="64"/>
  <c r="CV28" i="64"/>
  <c r="CM28" i="64"/>
  <c r="CD28" i="64"/>
  <c r="BU28" i="64"/>
  <c r="BL28" i="64"/>
  <c r="BC28" i="64"/>
  <c r="AT28" i="64"/>
  <c r="AK28" i="64"/>
  <c r="AB28" i="64"/>
  <c r="S28" i="64"/>
  <c r="DN27" i="64"/>
  <c r="DE27" i="64"/>
  <c r="CV27" i="64"/>
  <c r="CM27" i="64"/>
  <c r="CD27" i="64"/>
  <c r="BU27" i="64"/>
  <c r="BL27" i="64"/>
  <c r="BC27" i="64"/>
  <c r="AT27" i="64"/>
  <c r="AK27" i="64"/>
  <c r="AB27" i="64"/>
  <c r="S27" i="64"/>
  <c r="DO27" i="64" s="1"/>
  <c r="DN26" i="64"/>
  <c r="DE26" i="64"/>
  <c r="CV26" i="64"/>
  <c r="CM26" i="64"/>
  <c r="CD26" i="64"/>
  <c r="BU26" i="64"/>
  <c r="BL26" i="64"/>
  <c r="BC26" i="64"/>
  <c r="AT26" i="64"/>
  <c r="AK26" i="64"/>
  <c r="AB26" i="64"/>
  <c r="S26" i="64"/>
  <c r="DK25" i="64"/>
  <c r="DJ25" i="64"/>
  <c r="DN25" i="64" s="1"/>
  <c r="DD25" i="64"/>
  <c r="DC25" i="64"/>
  <c r="DB25" i="64"/>
  <c r="DA25" i="64"/>
  <c r="CZ25" i="64"/>
  <c r="CX25" i="64"/>
  <c r="CW25" i="64"/>
  <c r="DE25" i="64" s="1"/>
  <c r="CU25" i="64"/>
  <c r="CT25" i="64"/>
  <c r="CS25" i="64"/>
  <c r="CR25" i="64"/>
  <c r="CQ25" i="64"/>
  <c r="CP25" i="64"/>
  <c r="CO25" i="64"/>
  <c r="CN25" i="64"/>
  <c r="CV25" i="64" s="1"/>
  <c r="CM25" i="64"/>
  <c r="CD25" i="64"/>
  <c r="BT25" i="64"/>
  <c r="BS25" i="64"/>
  <c r="BR25" i="64"/>
  <c r="BQ25" i="64"/>
  <c r="BU25" i="64" s="1"/>
  <c r="BM25" i="64"/>
  <c r="BI25" i="64"/>
  <c r="BH25" i="64"/>
  <c r="BD25" i="64"/>
  <c r="BL25" i="64" s="1"/>
  <c r="AY25" i="64"/>
  <c r="BC25" i="64" s="1"/>
  <c r="AT25" i="64"/>
  <c r="AJ25" i="64"/>
  <c r="AI25" i="64"/>
  <c r="AG25" i="64"/>
  <c r="AF25" i="64"/>
  <c r="AE25" i="64"/>
  <c r="AD25" i="64"/>
  <c r="AC25" i="64"/>
  <c r="AK25" i="64" s="1"/>
  <c r="AB25" i="64"/>
  <c r="X25" i="64"/>
  <c r="S25" i="64"/>
  <c r="DO25" i="64" s="1"/>
  <c r="DN24" i="64"/>
  <c r="DE24" i="64"/>
  <c r="CV24" i="64"/>
  <c r="CM24" i="64"/>
  <c r="CD24" i="64"/>
  <c r="BU24" i="64"/>
  <c r="BL24" i="64"/>
  <c r="BC24" i="64"/>
  <c r="AT24" i="64"/>
  <c r="AK24" i="64"/>
  <c r="AB24" i="64"/>
  <c r="S24" i="64"/>
  <c r="DO24" i="64" s="1"/>
  <c r="DN23" i="64"/>
  <c r="DE23" i="64"/>
  <c r="CV23" i="64"/>
  <c r="CM23" i="64"/>
  <c r="CD23" i="64"/>
  <c r="BU23" i="64"/>
  <c r="BL23" i="64"/>
  <c r="BC23" i="64"/>
  <c r="AT23" i="64"/>
  <c r="AK23" i="64"/>
  <c r="AB23" i="64"/>
  <c r="S23" i="64"/>
  <c r="DO23" i="64" s="1"/>
  <c r="DN22" i="64"/>
  <c r="DE22" i="64"/>
  <c r="CV22" i="64"/>
  <c r="CM22" i="64"/>
  <c r="CD22" i="64"/>
  <c r="BU22" i="64"/>
  <c r="BL22" i="64"/>
  <c r="BC22" i="64"/>
  <c r="AT22" i="64"/>
  <c r="AK22" i="64"/>
  <c r="AB22" i="64"/>
  <c r="S22" i="64"/>
  <c r="DO22" i="64" s="1"/>
  <c r="DM21" i="64"/>
  <c r="DL21" i="64"/>
  <c r="DK21" i="64"/>
  <c r="DJ21" i="64"/>
  <c r="DI21" i="64"/>
  <c r="DH21" i="64"/>
  <c r="DG21" i="64"/>
  <c r="DF21" i="64"/>
  <c r="DN21" i="64" s="1"/>
  <c r="DD21" i="64"/>
  <c r="DC21" i="64"/>
  <c r="DB21" i="64"/>
  <c r="DA21" i="64"/>
  <c r="CZ21" i="64"/>
  <c r="CY21" i="64"/>
  <c r="CX21" i="64"/>
  <c r="CW21" i="64"/>
  <c r="DE21" i="64" s="1"/>
  <c r="CU21" i="64"/>
  <c r="CT21" i="64"/>
  <c r="CS21" i="64"/>
  <c r="CR21" i="64"/>
  <c r="CQ21" i="64"/>
  <c r="CP21" i="64"/>
  <c r="CO21" i="64"/>
  <c r="CN21" i="64"/>
  <c r="CV21" i="64" s="1"/>
  <c r="CM21" i="64"/>
  <c r="CD21" i="64"/>
  <c r="BZ21" i="64"/>
  <c r="BX21" i="64"/>
  <c r="BW21" i="64"/>
  <c r="BV21" i="64"/>
  <c r="BU21" i="64"/>
  <c r="BL21" i="64"/>
  <c r="BB21" i="64"/>
  <c r="BA21" i="64"/>
  <c r="AZ21" i="64"/>
  <c r="AY21" i="64"/>
  <c r="AX21" i="64"/>
  <c r="AW21" i="64"/>
  <c r="AV21" i="64"/>
  <c r="AU21" i="64"/>
  <c r="BC21" i="64" s="1"/>
  <c r="AT21" i="64"/>
  <c r="AJ21" i="64"/>
  <c r="AI21" i="64"/>
  <c r="AH21" i="64"/>
  <c r="AG21" i="64"/>
  <c r="AK21" i="64" s="1"/>
  <c r="AA21" i="64"/>
  <c r="Z21" i="64"/>
  <c r="Y21" i="64"/>
  <c r="X21" i="64"/>
  <c r="AB21" i="64" s="1"/>
  <c r="O21" i="64"/>
  <c r="S21" i="64" s="1"/>
  <c r="DN20" i="64"/>
  <c r="DE20" i="64"/>
  <c r="CV20" i="64"/>
  <c r="CM20" i="64"/>
  <c r="CD20" i="64"/>
  <c r="BU20" i="64"/>
  <c r="BL20" i="64"/>
  <c r="BC20" i="64"/>
  <c r="AT20" i="64"/>
  <c r="AK20" i="64"/>
  <c r="AB20" i="64"/>
  <c r="S20" i="64"/>
  <c r="DN19" i="64"/>
  <c r="DD19" i="64"/>
  <c r="DC19" i="64"/>
  <c r="DB19" i="64"/>
  <c r="DA19" i="64"/>
  <c r="CZ19" i="64"/>
  <c r="CY19" i="64"/>
  <c r="CX19" i="64"/>
  <c r="CW19" i="64"/>
  <c r="DE19" i="64" s="1"/>
  <c r="CU19" i="64"/>
  <c r="CT19" i="64"/>
  <c r="CS19" i="64"/>
  <c r="CR19" i="64"/>
  <c r="CQ19" i="64"/>
  <c r="CP19" i="64"/>
  <c r="CO19" i="64"/>
  <c r="CN19" i="64"/>
  <c r="CV19" i="64" s="1"/>
  <c r="CM19" i="64"/>
  <c r="CC19" i="64"/>
  <c r="CB19" i="64"/>
  <c r="CA19" i="64"/>
  <c r="BZ19" i="64"/>
  <c r="BY19" i="64"/>
  <c r="BX19" i="64"/>
  <c r="BW19" i="64"/>
  <c r="BV19" i="64"/>
  <c r="CD19" i="64" s="1"/>
  <c r="BT19" i="64"/>
  <c r="BS19" i="64"/>
  <c r="BR19" i="64"/>
  <c r="BQ19" i="64"/>
  <c r="BP19" i="64"/>
  <c r="BO19" i="64"/>
  <c r="BN19" i="64"/>
  <c r="BM19" i="64"/>
  <c r="BU19" i="64" s="1"/>
  <c r="BK19" i="64"/>
  <c r="BJ19" i="64"/>
  <c r="BI19" i="64"/>
  <c r="BH19" i="64"/>
  <c r="BG19" i="64"/>
  <c r="BF19" i="64"/>
  <c r="BE19" i="64"/>
  <c r="BD19" i="64"/>
  <c r="BL19" i="64" s="1"/>
  <c r="BB19" i="64"/>
  <c r="BA19" i="64"/>
  <c r="AZ19" i="64"/>
  <c r="AY19" i="64"/>
  <c r="AX19" i="64"/>
  <c r="AW19" i="64"/>
  <c r="AV19" i="64"/>
  <c r="AU19" i="64"/>
  <c r="BC19" i="64" s="1"/>
  <c r="AT19" i="64"/>
  <c r="AJ19" i="64"/>
  <c r="AI19" i="64"/>
  <c r="AH19" i="64"/>
  <c r="AG19" i="64"/>
  <c r="AF19" i="64"/>
  <c r="AE19" i="64"/>
  <c r="AD19" i="64"/>
  <c r="AC19" i="64"/>
  <c r="AK19" i="64" s="1"/>
  <c r="Y19" i="64"/>
  <c r="U19" i="64"/>
  <c r="T19" i="64"/>
  <c r="AB19" i="64" s="1"/>
  <c r="R19" i="64"/>
  <c r="Q19" i="64"/>
  <c r="P19" i="64"/>
  <c r="S19" i="64" s="1"/>
  <c r="DL18" i="64"/>
  <c r="DN18" i="64" s="1"/>
  <c r="DE18" i="64"/>
  <c r="CV18" i="64"/>
  <c r="CL18" i="64"/>
  <c r="CK18" i="64"/>
  <c r="CM18" i="64" s="1"/>
  <c r="CD18" i="64"/>
  <c r="BU18" i="64"/>
  <c r="BL18" i="64"/>
  <c r="BC18" i="64"/>
  <c r="BB18" i="64"/>
  <c r="BA18" i="64"/>
  <c r="AT18" i="64"/>
  <c r="AK18" i="64"/>
  <c r="AH18" i="64"/>
  <c r="AB18" i="64"/>
  <c r="S18" i="64"/>
  <c r="DN17" i="64"/>
  <c r="DD17" i="64"/>
  <c r="DC17" i="64"/>
  <c r="DE17" i="64" s="1"/>
  <c r="CU17" i="64"/>
  <c r="CT17" i="64"/>
  <c r="CV17" i="64" s="1"/>
  <c r="CM17" i="64"/>
  <c r="CD17" i="64"/>
  <c r="BU17" i="64"/>
  <c r="BL17" i="64"/>
  <c r="BC17" i="64"/>
  <c r="AT17" i="64"/>
  <c r="AK17" i="64"/>
  <c r="AB17" i="64"/>
  <c r="S17" i="64"/>
  <c r="DN16" i="64"/>
  <c r="DE16" i="64"/>
  <c r="CV16" i="64"/>
  <c r="CM16" i="64"/>
  <c r="CD16" i="64"/>
  <c r="BU16" i="64"/>
  <c r="BL16" i="64"/>
  <c r="BC16" i="64"/>
  <c r="AT16" i="64"/>
  <c r="AK16" i="64"/>
  <c r="AB16" i="64"/>
  <c r="S16" i="64"/>
  <c r="DM15" i="64"/>
  <c r="DL15" i="64"/>
  <c r="DK15" i="64"/>
  <c r="DJ15" i="64"/>
  <c r="DH15" i="64"/>
  <c r="DN15" i="64" s="1"/>
  <c r="DG15" i="64"/>
  <c r="DF15" i="64"/>
  <c r="DD15" i="64"/>
  <c r="DC15" i="64"/>
  <c r="DA15" i="64"/>
  <c r="CZ15" i="64"/>
  <c r="CY15" i="64"/>
  <c r="DE15" i="64" s="1"/>
  <c r="CX15" i="64"/>
  <c r="CW15" i="64"/>
  <c r="CU15" i="64"/>
  <c r="CT15" i="64"/>
  <c r="CS15" i="64"/>
  <c r="CR15" i="64"/>
  <c r="CQ15" i="64"/>
  <c r="CP15" i="64"/>
  <c r="CO15" i="64"/>
  <c r="CN15" i="64"/>
  <c r="CV15" i="64" s="1"/>
  <c r="CM15" i="64"/>
  <c r="CD15" i="64"/>
  <c r="BN15" i="64"/>
  <c r="BM15" i="64"/>
  <c r="BU15" i="64" s="1"/>
  <c r="BL15" i="64"/>
  <c r="BD15" i="64"/>
  <c r="BB15" i="64"/>
  <c r="BA15" i="64"/>
  <c r="AY15" i="64"/>
  <c r="AX15" i="64"/>
  <c r="AW15" i="64"/>
  <c r="BC15" i="64" s="1"/>
  <c r="AV15" i="64"/>
  <c r="AU15" i="64"/>
  <c r="AT15" i="64"/>
  <c r="AI15" i="64"/>
  <c r="AH15" i="64"/>
  <c r="AG15" i="64"/>
  <c r="AF15" i="64"/>
  <c r="AK15" i="64" s="1"/>
  <c r="AE15" i="64"/>
  <c r="AD15" i="64"/>
  <c r="AC15" i="64"/>
  <c r="AB15" i="64"/>
  <c r="AA15" i="64"/>
  <c r="Z15" i="64"/>
  <c r="X15" i="64"/>
  <c r="W15" i="64"/>
  <c r="V15" i="64"/>
  <c r="U15" i="64"/>
  <c r="Q15" i="64"/>
  <c r="S15" i="64" s="1"/>
  <c r="DO15" i="64" s="1"/>
  <c r="L15" i="64"/>
  <c r="K15" i="64"/>
  <c r="DM14" i="64"/>
  <c r="DN14" i="64" s="1"/>
  <c r="DE14" i="64"/>
  <c r="CV14" i="64"/>
  <c r="CM14" i="64"/>
  <c r="CD14" i="64"/>
  <c r="BU14" i="64"/>
  <c r="BL14" i="64"/>
  <c r="BC14" i="64"/>
  <c r="AT14" i="64"/>
  <c r="AK14" i="64"/>
  <c r="AB14" i="64"/>
  <c r="S14" i="64"/>
  <c r="DO34" i="64" l="1"/>
  <c r="DO32" i="64"/>
  <c r="DO30" i="64"/>
  <c r="DO28" i="64"/>
  <c r="DO26" i="64"/>
  <c r="DO20" i="64"/>
  <c r="DO16" i="64"/>
  <c r="DO14" i="64"/>
  <c r="DO18" i="64"/>
  <c r="DO19" i="64"/>
  <c r="DO21" i="64"/>
  <c r="DO17" i="64"/>
</calcChain>
</file>

<file path=xl/sharedStrings.xml><?xml version="1.0" encoding="utf-8"?>
<sst xmlns="http://schemas.openxmlformats.org/spreadsheetml/2006/main" count="1713" uniqueCount="242">
  <si>
    <t>N/A</t>
  </si>
  <si>
    <t>Padrón de beneficiarios</t>
  </si>
  <si>
    <t>OBSERVACIONES</t>
  </si>
  <si>
    <t>Acompañamientos</t>
  </si>
  <si>
    <t>Personas</t>
  </si>
  <si>
    <t>Servicios</t>
  </si>
  <si>
    <t>Padrones de beneficiarios</t>
  </si>
  <si>
    <t>Total de padrones de beneficiarios elaborados</t>
  </si>
  <si>
    <t>Total de cronogramas de entrega de apoyos realizados</t>
  </si>
  <si>
    <t>Total de planes de contenidos y actividades elaborados</t>
  </si>
  <si>
    <t>Total de informes de casos cerrados</t>
  </si>
  <si>
    <t>Lista de expedientes</t>
  </si>
  <si>
    <t>Total de planes de trabajo diseñados e implementados</t>
  </si>
  <si>
    <t>Total de informes de seguimientos elaborados</t>
  </si>
  <si>
    <t>Padrón de beneficiarios
Reporte</t>
  </si>
  <si>
    <t>Padrón de beneficiarios
Lista de expediente
Proyectos en comunidad
Planes de restitución</t>
  </si>
  <si>
    <t>Padrón de beneficiarios
Lista de expedientes</t>
  </si>
  <si>
    <t>Cronograma de entregas</t>
  </si>
  <si>
    <t>Total de listas de expedientes integrados</t>
  </si>
  <si>
    <t>Acompañar a las Ausencias</t>
  </si>
  <si>
    <t>Servicios Jurídicos Asistenciales</t>
  </si>
  <si>
    <t>Unidades de Atención a la Violencia Familiares</t>
  </si>
  <si>
    <t>Casa de Medio Camino</t>
  </si>
  <si>
    <t>Custodia, Tutela y Adopciones</t>
  </si>
  <si>
    <t>Casa Hogar Villas Miravalle</t>
  </si>
  <si>
    <t>Prevención de riesgos y violencia, atención, supervivencia y desarrollo de NNA</t>
  </si>
  <si>
    <t>Reporte de avances de metas 2020</t>
  </si>
  <si>
    <t>COORDINACIÓN, DIRECCIÓN Y DEPARTAMENTO RESPONSABLE</t>
  </si>
  <si>
    <t>NOMBRE DEL PROGRAMA</t>
  </si>
  <si>
    <t>Atención a las Violencias</t>
  </si>
  <si>
    <t>NOMBRE DE LA MIR</t>
  </si>
  <si>
    <t>Formato de avances de metas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</si>
  <si>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</si>
  <si>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</si>
  <si>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</si>
  <si>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</si>
  <si>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</si>
  <si>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</si>
  <si>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Resultados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</si>
  <si>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</si>
  <si>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</si>
  <si>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</si>
  <si>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</si>
  <si>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</si>
  <si>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</si>
  <si>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</si>
  <si>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</si>
  <si>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</si>
  <si>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</si>
  <si>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</si>
  <si>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</si>
  <si>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</si>
  <si>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</si>
  <si>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</si>
  <si>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Observaciones</t>
  </si>
  <si>
    <t>Meta anual</t>
  </si>
  <si>
    <t>NAS</t>
  </si>
  <si>
    <t>NOS</t>
  </si>
  <si>
    <t>AM</t>
  </si>
  <si>
    <t>AH</t>
  </si>
  <si>
    <t>MUJ</t>
  </si>
  <si>
    <t>HOM</t>
  </si>
  <si>
    <t>AMM</t>
  </si>
  <si>
    <t>AMH</t>
  </si>
  <si>
    <t>Acumulado</t>
  </si>
  <si>
    <t>Programada</t>
  </si>
  <si>
    <t>Realizada</t>
  </si>
  <si>
    <t>C3:Acompañamientos a Niñas, niños, adolescentes y sus familias para contribuir a la restitución de sus derechos</t>
  </si>
  <si>
    <t>Acompañamientos realizados  a Niñas, niños, adolescentes y sus familias</t>
  </si>
  <si>
    <t>Acompañamiento</t>
  </si>
  <si>
    <t>Nombre y firma del responsable del programa</t>
  </si>
  <si>
    <t>Nombre y firma del enlace de planeación</t>
  </si>
  <si>
    <t>Reporte de avances de metas</t>
  </si>
  <si>
    <t>Persona</t>
  </si>
  <si>
    <t>Servicios otorgados a Niñas, niños, adolescentes y sus familias</t>
  </si>
  <si>
    <t>Actividad 2.1 Desarrollo de planes de contenidos y actividades</t>
  </si>
  <si>
    <t>Actividad 2.2 Elaboración del padrón de beneficiarios</t>
  </si>
  <si>
    <t>Programas/Delegación Institucional de la PPNNA/Servicios jurídicos asistenciales</t>
  </si>
  <si>
    <t>C2:Servicios otorgados a Niñas, niños, adolescentes y sus familias para contribuir a la restitución de sus derechos</t>
  </si>
  <si>
    <t xml:space="preserve"> Niñas, niños, adolescentes y sus familias que recibieron servicios</t>
  </si>
  <si>
    <t xml:space="preserve">Fichas de registro y/o bitacoras de registro
</t>
  </si>
  <si>
    <t>Personas beneficiadas</t>
  </si>
  <si>
    <t xml:space="preserve">Servicios </t>
  </si>
  <si>
    <t xml:space="preserve">Fichas de registro y/o bitacoras de registro
</t>
  </si>
  <si>
    <t>Asesorías jurídicas</t>
  </si>
  <si>
    <t>Bitacoras de expedientes</t>
  </si>
  <si>
    <t>Gestiones jurídicas</t>
  </si>
  <si>
    <t>Bitacora de registro</t>
  </si>
  <si>
    <t>Testimoniales</t>
  </si>
  <si>
    <t>Fichas de registro y/o folio</t>
  </si>
  <si>
    <t>Registros extemporáneos</t>
  </si>
  <si>
    <t xml:space="preserve"> Testamentos</t>
  </si>
  <si>
    <t>Bitacoras de registro</t>
  </si>
  <si>
    <t>Asesoría en elaboración de testamento</t>
  </si>
  <si>
    <t>asesoría en elaboración de testamento</t>
  </si>
  <si>
    <t>Ficha de registro</t>
  </si>
  <si>
    <t xml:space="preserve">Trámites del registro públicos de la propiedad </t>
  </si>
  <si>
    <t xml:space="preserve"> Plan</t>
  </si>
  <si>
    <t>Planes de contenidos y actividades elaborados</t>
  </si>
  <si>
    <t>Programas/Delegación Institucional de la PPNNA/Unidades de Atención a la Violencia Familiares</t>
  </si>
  <si>
    <t>Niñas, niños, adolescentes y sus familias con acompañamientos</t>
  </si>
  <si>
    <t>Población de beneficiada con acompañamientos</t>
  </si>
  <si>
    <t>Estrategias de maltrato y violencia a personas adultas mayores</t>
  </si>
  <si>
    <t>Padrón de beneficiarios
Hojas de seguimientos</t>
  </si>
  <si>
    <t>Intervenciones de trabajo social</t>
  </si>
  <si>
    <t xml:space="preserve"> Intervenciones jurídicas y legales </t>
  </si>
  <si>
    <t>Gestiones de orientaciones y mediación familiar</t>
  </si>
  <si>
    <t>Intervenciones psicológicas</t>
  </si>
  <si>
    <t xml:space="preserve"> Pláticas de prevención</t>
  </si>
  <si>
    <t xml:space="preserve"> Canalizaciones y derivaciones</t>
  </si>
  <si>
    <t xml:space="preserve"> Acompamientos a personas en procesos jurídicos</t>
  </si>
  <si>
    <t>Estrategia de maltrato y violencia en personas adultas mayores</t>
  </si>
  <si>
    <t>Actividad 3.1 Elaboración de registro de asistencias</t>
  </si>
  <si>
    <t>Registro de asistencias</t>
  </si>
  <si>
    <t>Actividad 3.2 Informes de casos cerrados</t>
  </si>
  <si>
    <t>Informes de casos cerrados</t>
  </si>
  <si>
    <t>Debido a la emergencia santaria declarada, no fue posible cumplir la meta que fue programada</t>
  </si>
  <si>
    <t>Se cumple satisfactoriamentelo programado</t>
  </si>
  <si>
    <t>esta en proceso de reportar el mes de diciembre y de ser así se cumple lo programado</t>
  </si>
  <si>
    <t>Programas/Delegación Institucional de la PPNNA/Custodia, Tutela, Adopciones</t>
  </si>
  <si>
    <t xml:space="preserve">  </t>
  </si>
  <si>
    <t>C1:Apoyo directos entregados a Niñas, niños, adolescentes y sus familias para contribuir a la restitución de sus derechos</t>
  </si>
  <si>
    <t>Niñas, niños, adolescentes y sus familias que recibieron apoyos</t>
  </si>
  <si>
    <t xml:space="preserve"> Población beneficiada con apoyos</t>
  </si>
  <si>
    <t xml:space="preserve"> Población beneficiada con apoyos (feminicidios)</t>
  </si>
  <si>
    <t xml:space="preserve"> Niñas, niños, adolescentes y sus familias con acompañamientos</t>
  </si>
  <si>
    <t>Población beneficiada con acompañamientos</t>
  </si>
  <si>
    <t>C4:Planes de restitución de derechos, medidas de protección, proyectos en comunidad y reintegraciones implementados  a niñas, niños y adolescentes para contribuir a garantizar sus derechos</t>
  </si>
  <si>
    <t xml:space="preserve"> Planes de restitución de derechos, medidas de protección, proyectos en comunidad y reintegraciones implementados</t>
  </si>
  <si>
    <t>Padrón de beneficiarios
Planes de restitución
Medidas de protección</t>
  </si>
  <si>
    <t>Total de pupilos reintegrados</t>
  </si>
  <si>
    <t>Medidas de protección especial</t>
  </si>
  <si>
    <t>Medidas de urgentes</t>
  </si>
  <si>
    <t>Componente 1 Apoyo directos entregados a Niñas, niños, adolescentes y sus familias para contribuir a la restitución de sus derechos</t>
  </si>
  <si>
    <t xml:space="preserve"> Apoyos otorgados  a las Niñas, niños, adolescentes y sus familias </t>
  </si>
  <si>
    <t>Apoyo</t>
  </si>
  <si>
    <t>Ropa</t>
  </si>
  <si>
    <t>Calzado</t>
  </si>
  <si>
    <t xml:space="preserve"> Leche y despensas</t>
  </si>
  <si>
    <t xml:space="preserve">Medicamentos </t>
  </si>
  <si>
    <t>Apoyos varios (feminicidios)</t>
  </si>
  <si>
    <t>Componente 2  Servicios otorgados a Niñas, niños, adolescentes y sus familias para contribuir a la restitución de sus derechos</t>
  </si>
  <si>
    <t>Servicio</t>
  </si>
  <si>
    <t>Seguimientos</t>
  </si>
  <si>
    <t>Componente 3 Acompañamientos a Niñas, niños, adolescentes y sus familias para contribuir a la restitución de sus derechos</t>
  </si>
  <si>
    <t>Canalizaciones y derivaciones</t>
  </si>
  <si>
    <t>Asesoría en consejo de Familia</t>
  </si>
  <si>
    <t>Entrevista e investigaciones</t>
  </si>
  <si>
    <t xml:space="preserve">Estudios sociofamilares </t>
  </si>
  <si>
    <t xml:space="preserve">Valoraciones e informes de psicología </t>
  </si>
  <si>
    <t xml:space="preserve">Visitas domiciliarias </t>
  </si>
  <si>
    <t>Promociones (fiscalía)</t>
  </si>
  <si>
    <t xml:space="preserve"> Registros extemporáneos</t>
  </si>
  <si>
    <t>Gestiones realizadas en fiscalía ( juzgados y registro civil</t>
  </si>
  <si>
    <t>Actividad 1.1 Elaboración del padrón de beneficiarios</t>
  </si>
  <si>
    <t>Actividad 1.2 Elaboración de cronograma de entrega de apoyos</t>
  </si>
  <si>
    <t>Cronograma de entrega</t>
  </si>
  <si>
    <t xml:space="preserve">Plan </t>
  </si>
  <si>
    <t>Planes de contenidos</t>
  </si>
  <si>
    <t>Plan de contenido</t>
  </si>
  <si>
    <t>Actividad 3.1  Integración de listas de expedientes</t>
  </si>
  <si>
    <t>Actividad 4.1 Diseño e implementación de planes de trabajo</t>
  </si>
  <si>
    <t xml:space="preserve">Planes de trabajo diseñados </t>
  </si>
  <si>
    <t>Actividad 4.2 Elaboración de informes de seguimiento</t>
  </si>
  <si>
    <t>Informes de seguimientos</t>
  </si>
  <si>
    <t>Programas/Área de Atención Humanitaria/Casa Hogar Villas Miravalle</t>
  </si>
  <si>
    <t>.</t>
  </si>
  <si>
    <t>Población beneficiada en la casa con apoyos alimenticios</t>
  </si>
  <si>
    <t xml:space="preserve">Apoyos otorgados  a las Niñas, niños, adolescentes y sus familias </t>
  </si>
  <si>
    <t>Raciones alimenticias</t>
  </si>
  <si>
    <t xml:space="preserve">Intervenciones de trabajo social </t>
  </si>
  <si>
    <t xml:space="preserve"> Intervenciones psicológicas</t>
  </si>
  <si>
    <t>Intervenciones de enfermería e intervenciones de las educadoras</t>
  </si>
  <si>
    <t>Actividad 3.1 Integración de lista de expedientes</t>
  </si>
  <si>
    <t>Expediente</t>
  </si>
  <si>
    <t xml:space="preserve"> Listado de epedientes integrados</t>
  </si>
  <si>
    <t>Coordinación de Programas</t>
  </si>
  <si>
    <t>Indicadores SIPPINA</t>
  </si>
  <si>
    <t>Número de Acciones realizadas (apoyo alimenticio y terapias)</t>
  </si>
  <si>
    <t>Número de acciones para la reestructuración de aprendizajes en educación y habilidades</t>
  </si>
  <si>
    <t>Adoles</t>
  </si>
  <si>
    <t xml:space="preserve">Reporte de avances de metas </t>
  </si>
  <si>
    <t>Personas beneficiadas con apoyos</t>
  </si>
  <si>
    <t>Personas beneficiadas con las sesiones y talleres</t>
  </si>
  <si>
    <t>Becas alimenticias gestionadas</t>
  </si>
  <si>
    <t>Sesiones psicológicas para familiares (individual)</t>
  </si>
  <si>
    <t>Se atendió a 3 personas en sesión psicológica individual  vía telefónica  de población cautiva.</t>
  </si>
  <si>
    <t>Talleres psicocorporales (grupal)</t>
  </si>
  <si>
    <t xml:space="preserve"> Padrón de beneficiarios</t>
  </si>
  <si>
    <t>Padrón de beneficiario</t>
  </si>
  <si>
    <t>Actividad 1.2 Cronograma de entrega de apoyos</t>
  </si>
  <si>
    <t xml:space="preserve">Cronogramas de entrega de apoyos </t>
  </si>
  <si>
    <t>Expedientes</t>
  </si>
  <si>
    <t>Listas de expedientes integrados</t>
  </si>
  <si>
    <t>Lista de expedientes integrados</t>
  </si>
  <si>
    <t>Niñas, niños, adolescentes y sus familias que recibieron servicios</t>
  </si>
  <si>
    <t>Población beneficiada con servicios</t>
  </si>
  <si>
    <t>Población beneficia con acompañamientos</t>
  </si>
  <si>
    <t xml:space="preserve"> Servicios otorgados a Niñas, niños, adolescentes y sus familias</t>
  </si>
  <si>
    <t>Sesiones educativas ,deportivas y culturales</t>
  </si>
  <si>
    <t>Talleres educativos</t>
  </si>
  <si>
    <t>TALLER DE FOMENTO DE TRADICIONES NAVIDEÑAS (LOS NIÑOS Y NIÑAS PARTICIPARON EN LA REPRESENTACIÓN DE PASTORELA, VILLANCICOS Y ELABORACIÓN DE BOLOS)
SE DIO MCONTINUIDAD AL TALLER  DE SRTERAPIA LLEVANDOSE A CABO 24  SESIONES</t>
  </si>
  <si>
    <t xml:space="preserve"> Acompañamientos realizados  a Niñas, niños, adolescentes y sus familias</t>
  </si>
  <si>
    <t>Intervenciones psicológicas:</t>
  </si>
  <si>
    <t>Plan</t>
  </si>
  <si>
    <t>Programas/Protección a la niñez y la adolescencia/Prevención, Atención, Supervivencia y Desarrollo</t>
  </si>
  <si>
    <t>Descripción de metas</t>
  </si>
  <si>
    <t>Metas</t>
  </si>
  <si>
    <t>Padrón de beneficiarios
Lista de expedientes
Lista de asistencia</t>
  </si>
  <si>
    <t>Población beneficiada con apoyos</t>
  </si>
  <si>
    <t>Población  beneficiada con raciones alimenticias</t>
  </si>
  <si>
    <t>Padrón de beneficiarios
Reporte
Lista de asistencia</t>
  </si>
  <si>
    <t>Personas beneficiadas con seguimiento</t>
  </si>
  <si>
    <t>Personas con intervenciones psicológicas</t>
  </si>
  <si>
    <t>Planes de restitución de derechos, medidas de protección, proyectos en comunidad y reintegraciones implementados  a niñas, niños y adolescentes para contribuir a garantizar sus derechos</t>
  </si>
  <si>
    <t>Planes y proyectos</t>
  </si>
  <si>
    <t>Planes de restitución de derechos,  proyectos en comunidad implementados
Lista de asistencia</t>
  </si>
  <si>
    <t>Planes de restitución de derechos,  proyectos en comunidad implementados</t>
  </si>
  <si>
    <t xml:space="preserve">Despensas emergentes </t>
  </si>
  <si>
    <t>se otorgaron a la población cautiva 65 y 35 a población abierta en total 100 despensas y 22 despensas como apoyo en esta contengencia sanitaria asi mismo se otrogaron 98 pares de zapatos a NNA del universo de atención (33 niños, 36 niñas, 10 adolescentes mujer, 19 adolescentes hombres</t>
  </si>
  <si>
    <t xml:space="preserve"> Becas escolares</t>
  </si>
  <si>
    <t>Seguimientos y/o talleres y pláticas de prevención</t>
  </si>
  <si>
    <t>Se llevaron a cabo 3 conferencias para la prevención de la violencia sexual infantil más 2 sesiones de la Defensoria Barrial</t>
  </si>
  <si>
    <t>Actividades deportivas, recreativas y culturales</t>
  </si>
  <si>
    <t>Abordajes de NNA y sus familias en plazas y en lugares abiertos</t>
  </si>
  <si>
    <t>Seguimiento de proceso de restitución de derechos</t>
  </si>
  <si>
    <t>se otorgaron 2 sesiones grupales</t>
  </si>
  <si>
    <t>C4: Planes de restitución de derechos, medidas de protección, proyectos en comunidad y reintegraciones implementados  a niñas, niños y adolescentes para contribuir a garantizar sus derechos</t>
  </si>
  <si>
    <t>Planes de restitución de derechos y proyectos en comunidad implementado</t>
  </si>
  <si>
    <t xml:space="preserve">Planes de restitución de derechos y proyectos en comunidad </t>
  </si>
  <si>
    <t>Cronograma de entrega de apoyos</t>
  </si>
  <si>
    <t xml:space="preserve">Plan de contenidos y actividades </t>
  </si>
  <si>
    <t>Plan de contenidos y actividades 
Lista de asistencia</t>
  </si>
  <si>
    <t xml:space="preserve">Lista de expedientes </t>
  </si>
  <si>
    <t>Lista de Expedientes
Lista de asistencia</t>
  </si>
  <si>
    <t>Plan de trabajo</t>
  </si>
  <si>
    <t>Plan de trabajo
Lista de asistencia</t>
  </si>
  <si>
    <t>Informe</t>
  </si>
  <si>
    <t>Informe de seguimientos
Lista de asistencia</t>
  </si>
  <si>
    <t>Informe de seguimientos</t>
  </si>
  <si>
    <t>Mtra. Oliva de los Àngeles Ornelas Torres</t>
  </si>
  <si>
    <t>Lic. Dulzura Domínguez Ocaña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</si>
</sst>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6">
    <font>
      <sz val="11"/>
      <color rgb="FF000000"/>
      <name val="Calibri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5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0"/>
      <color theme="1"/>
      <name val="Calibri"/>
      <family val="2"/>
      <scheme val="minor"/>
    </font>
    <font>
      <sz val="58"/>
      <name val="Arial"/>
      <family val="2"/>
    </font>
    <font>
      <sz val="40"/>
      <name val="Arial"/>
      <family val="2"/>
    </font>
    <font>
      <sz val="10"/>
      <color theme="1"/>
      <name val="Calibri"/>
      <family val="2"/>
      <scheme val="minor"/>
    </font>
    <font>
      <b/>
      <sz val="29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36"/>
      <name val="Arial"/>
      <family val="2"/>
    </font>
    <font>
      <b/>
      <sz val="72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color theme="1"/>
      <name val="Calibri"/>
      <family val="2"/>
    </font>
    <font>
      <b/>
      <sz val="30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48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0"/>
      <color theme="1"/>
      <name val="Calibri"/>
      <family val="2"/>
    </font>
    <font>
      <sz val="11"/>
      <name val="Arial"/>
      <family val="2"/>
    </font>
    <font>
      <sz val="40"/>
      <color theme="1"/>
      <name val="Arial"/>
      <family val="2"/>
    </font>
    <font>
      <b/>
      <sz val="29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72"/>
      <color theme="1"/>
      <name val="Calibri"/>
      <family val="2"/>
    </font>
    <font>
      <b/>
      <sz val="55"/>
      <color theme="1"/>
      <name val="Calibri"/>
      <family val="2"/>
    </font>
    <font>
      <sz val="48"/>
      <color theme="1"/>
      <name val="Calibri"/>
      <family val="2"/>
    </font>
    <font>
      <sz val="48"/>
      <name val="Arial"/>
      <family val="2"/>
    </font>
    <font>
      <b/>
      <sz val="36"/>
      <color theme="1"/>
      <name val="Calibri"/>
      <family val="2"/>
    </font>
    <font>
      <sz val="55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48"/>
      <color theme="1"/>
      <name val="Arial"/>
      <family val="2"/>
    </font>
    <font>
      <sz val="50"/>
      <name val="Arial"/>
      <family val="2"/>
    </font>
    <font>
      <b/>
      <sz val="36"/>
      <color theme="1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58"/>
      <color theme="1"/>
      <name val="Arial"/>
      <family val="2"/>
    </font>
    <font>
      <sz val="36"/>
      <name val="Arial"/>
      <family val="2"/>
    </font>
    <font>
      <sz val="55"/>
      <color theme="1"/>
      <name val="Calibri"/>
      <family val="2"/>
    </font>
    <font>
      <b/>
      <sz val="60"/>
      <color theme="1"/>
      <name val="Calibri"/>
      <family val="2"/>
    </font>
    <font>
      <sz val="60"/>
      <color theme="1"/>
      <name val="Calibri"/>
      <family val="2"/>
    </font>
    <font>
      <sz val="45"/>
      <color theme="1"/>
      <name val="Arial"/>
      <family val="2"/>
    </font>
    <font>
      <b/>
      <sz val="30"/>
      <color theme="1"/>
      <name val="Arial"/>
      <family val="2"/>
    </font>
    <font>
      <sz val="30"/>
      <name val="Arial"/>
      <family val="2"/>
    </font>
    <font>
      <sz val="50"/>
      <color theme="1"/>
      <name val="Arial"/>
      <family val="2"/>
    </font>
    <font>
      <b/>
      <sz val="36"/>
      <color theme="1"/>
      <name val="Arial"/>
      <family val="2"/>
    </font>
    <font>
      <b/>
      <sz val="30"/>
      <color theme="1"/>
      <name val="Calibri"/>
      <family val="2"/>
    </font>
    <font>
      <sz val="50"/>
      <color theme="1"/>
      <name val="Calibri"/>
      <family val="2"/>
    </font>
    <font>
      <b/>
      <sz val="50"/>
      <color theme="1"/>
      <name val="Calibri"/>
      <family val="2"/>
    </font>
    <font>
      <b/>
      <sz val="50"/>
      <color rgb="FF000000"/>
      <name val="Calibri"/>
      <family val="2"/>
    </font>
    <font>
      <b/>
      <sz val="17"/>
      <color theme="1"/>
      <name val="Calibri"/>
      <family val="2"/>
    </font>
    <font>
      <sz val="72"/>
      <name val="Arial"/>
      <family val="2"/>
    </font>
    <font>
      <sz val="72"/>
      <color theme="1"/>
      <name val="Arial"/>
      <family val="2"/>
    </font>
    <font>
      <sz val="48"/>
      <color theme="1"/>
      <name val="Arial"/>
      <family val="2"/>
    </font>
    <font>
      <b/>
      <sz val="31"/>
      <name val="Arial"/>
      <family val="2"/>
    </font>
    <font>
      <b/>
      <sz val="40"/>
      <color theme="1"/>
      <name val="Calibri"/>
      <family val="2"/>
      <scheme val="minor"/>
    </font>
    <font>
      <b/>
      <sz val="26"/>
      <color theme="1"/>
      <name val="Calibri"/>
      <family val="2"/>
    </font>
    <font>
      <sz val="26"/>
      <color theme="1"/>
      <name val="Calibri"/>
      <family val="2"/>
      <scheme val="minor"/>
    </font>
    <font>
      <b/>
      <sz val="45"/>
      <color theme="1"/>
      <name val="Calibri"/>
      <family val="2"/>
      <scheme val="minor"/>
    </font>
    <font>
      <b/>
      <sz val="35"/>
      <color theme="1"/>
      <name val="Calibri"/>
      <family val="2"/>
    </font>
    <font>
      <sz val="45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sz val="65"/>
      <name val="Arial"/>
      <family val="2"/>
    </font>
    <font>
      <sz val="35"/>
      <color theme="1"/>
      <name val="Calibri"/>
      <family val="2"/>
    </font>
    <font>
      <b/>
      <sz val="65"/>
      <name val="Arial"/>
      <family val="2"/>
    </font>
    <font>
      <sz val="72"/>
      <color theme="1"/>
      <name val="Calibri"/>
      <family val="2"/>
      <scheme val="minor"/>
    </font>
    <font>
      <b/>
      <sz val="72"/>
      <name val="Arial"/>
      <family val="2"/>
    </font>
    <font>
      <sz val="5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EE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CEEE0"/>
        <bgColor rgb="FFFCEEE0"/>
      </patternFill>
    </fill>
    <fill>
      <patternFill patternType="solid">
        <fgColor theme="8"/>
        <bgColor theme="8"/>
      </patternFill>
    </fill>
    <fill>
      <patternFill patternType="solid">
        <fgColor rgb="FFFABF8F"/>
        <bgColor rgb="FFFABF8F"/>
      </patternFill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rgb="FF92CDDC"/>
        <bgColor rgb="FF92CDDC"/>
      </patternFill>
    </fill>
    <fill>
      <patternFill patternType="solid">
        <fgColor rgb="FFFDE9D9"/>
        <bgColor rgb="FFFDE9D9"/>
      </patternFill>
    </fill>
    <fill>
      <patternFill patternType="solid">
        <fgColor rgb="FFBFBFBF"/>
        <bgColor rgb="FFBFBFBF"/>
      </patternFill>
    </fill>
    <fill>
      <patternFill patternType="solid">
        <fgColor theme="4" tint="0.79998168889431442"/>
        <bgColor rgb="FFFDE9D9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8" tint="0.79998168889431442"/>
        <bgColor rgb="FFFDE9D9"/>
      </patternFill>
    </fill>
    <fill>
      <patternFill patternType="solid">
        <fgColor theme="6" tint="0.39997558519241921"/>
        <bgColor rgb="FFFDE9D9"/>
      </patternFill>
    </fill>
    <fill>
      <patternFill patternType="solid">
        <fgColor theme="5" tint="0.39997558519241921"/>
        <bgColor rgb="FFFDE9D9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92">
    <xf numFmtId="0" fontId="0" fillId="0" borderId="0"/>
    <xf numFmtId="0" fontId="26" fillId="0" borderId="0"/>
    <xf numFmtId="0" fontId="28" fillId="0" borderId="0"/>
    <xf numFmtId="9" fontId="27" fillId="0" borderId="0" applyFont="0" applyFill="0" applyBorder="0" applyAlignment="0" applyProtection="0">
      <alignment vertical="center"/>
    </xf>
    <xf numFmtId="0" fontId="25" fillId="0" borderId="0"/>
    <xf numFmtId="0" fontId="29" fillId="0" borderId="0"/>
    <xf numFmtId="0" fontId="25" fillId="0" borderId="0"/>
    <xf numFmtId="0" fontId="30" fillId="0" borderId="0"/>
    <xf numFmtId="0" fontId="24" fillId="0" borderId="0"/>
    <xf numFmtId="0" fontId="24" fillId="0" borderId="0"/>
    <xf numFmtId="0" fontId="31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823">
    <xf numFmtId="0" fontId="0" fillId="0" borderId="0" xfId="0"/>
    <xf numFmtId="0" fontId="34" fillId="0" borderId="0" xfId="5" applyFont="1" applyFill="1" applyBorder="1" applyAlignment="1">
      <alignment horizontal="left" vertical="center" wrapText="1"/>
    </xf>
    <xf numFmtId="0" fontId="36" fillId="0" borderId="0" xfId="5" applyFont="1" applyFill="1" applyBorder="1" applyAlignment="1">
      <alignment horizontal="left" vertical="center"/>
    </xf>
    <xf numFmtId="0" fontId="49" fillId="0" borderId="0" xfId="5" applyFont="1" applyBorder="1" applyAlignment="1">
      <alignment horizontal="center" vertical="center"/>
    </xf>
    <xf numFmtId="0" fontId="56" fillId="0" borderId="0" xfId="7" applyFont="1" applyAlignment="1">
      <alignment horizontal="left" vertical="center" wrapText="1"/>
    </xf>
    <xf numFmtId="0" fontId="52" fillId="0" borderId="0" xfId="7" applyFont="1"/>
    <xf numFmtId="0" fontId="52" fillId="0" borderId="0" xfId="7" applyFont="1" applyAlignment="1">
      <alignment wrapText="1"/>
    </xf>
    <xf numFmtId="0" fontId="53" fillId="0" borderId="0" xfId="7" applyFont="1"/>
    <xf numFmtId="0" fontId="57" fillId="0" borderId="0" xfId="7" applyFont="1" applyAlignment="1">
      <alignment horizontal="left" vertical="center"/>
    </xf>
    <xf numFmtId="0" fontId="58" fillId="0" borderId="0" xfId="7" applyFont="1" applyAlignment="1">
      <alignment horizontal="center" vertical="center"/>
    </xf>
    <xf numFmtId="0" fontId="58" fillId="0" borderId="0" xfId="7" applyFont="1" applyAlignment="1">
      <alignment horizontal="center" vertical="center" wrapText="1"/>
    </xf>
    <xf numFmtId="0" fontId="59" fillId="0" borderId="0" xfId="7" applyFont="1" applyAlignment="1">
      <alignment vertical="center" wrapText="1"/>
    </xf>
    <xf numFmtId="0" fontId="52" fillId="0" borderId="0" xfId="7" applyFont="1" applyAlignment="1">
      <alignment horizontal="left" vertical="center" wrapText="1"/>
    </xf>
    <xf numFmtId="0" fontId="52" fillId="0" borderId="0" xfId="7" applyFont="1" applyAlignment="1">
      <alignment vertical="center" wrapText="1"/>
    </xf>
    <xf numFmtId="0" fontId="64" fillId="20" borderId="28" xfId="7" applyFont="1" applyFill="1" applyBorder="1" applyAlignment="1">
      <alignment horizontal="center" vertical="center" wrapText="1"/>
    </xf>
    <xf numFmtId="3" fontId="46" fillId="21" borderId="43" xfId="7" applyNumberFormat="1" applyFont="1" applyFill="1" applyBorder="1" applyAlignment="1">
      <alignment horizontal="center" vertical="center" wrapText="1"/>
    </xf>
    <xf numFmtId="0" fontId="64" fillId="22" borderId="30" xfId="7" applyFont="1" applyFill="1" applyBorder="1" applyAlignment="1">
      <alignment horizontal="center" vertical="center" wrapText="1"/>
    </xf>
    <xf numFmtId="0" fontId="64" fillId="22" borderId="28" xfId="7" applyFont="1" applyFill="1" applyBorder="1" applyAlignment="1">
      <alignment horizontal="center" vertical="center" wrapText="1"/>
    </xf>
    <xf numFmtId="0" fontId="46" fillId="22" borderId="28" xfId="7" applyFont="1" applyFill="1" applyBorder="1" applyAlignment="1">
      <alignment horizontal="center" vertical="center" wrapText="1"/>
    </xf>
    <xf numFmtId="0" fontId="46" fillId="22" borderId="28" xfId="0" applyFont="1" applyFill="1" applyBorder="1" applyAlignment="1">
      <alignment horizontal="center" vertical="center" wrapText="1"/>
    </xf>
    <xf numFmtId="0" fontId="46" fillId="22" borderId="39" xfId="7" applyFont="1" applyFill="1" applyBorder="1" applyAlignment="1">
      <alignment horizontal="center" vertical="center" wrapText="1"/>
    </xf>
    <xf numFmtId="0" fontId="46" fillId="25" borderId="39" xfId="7" applyFont="1" applyFill="1" applyBorder="1" applyAlignment="1">
      <alignment horizontal="center" vertical="center" wrapText="1"/>
    </xf>
    <xf numFmtId="0" fontId="62" fillId="0" borderId="0" xfId="7" applyFont="1"/>
    <xf numFmtId="3" fontId="77" fillId="23" borderId="44" xfId="7" applyNumberFormat="1" applyFont="1" applyFill="1" applyBorder="1" applyAlignment="1">
      <alignment horizontal="center" vertical="center" wrapText="1"/>
    </xf>
    <xf numFmtId="0" fontId="46" fillId="24" borderId="28" xfId="7" applyFont="1" applyFill="1" applyBorder="1" applyAlignment="1">
      <alignment horizontal="center" vertical="center" wrapText="1"/>
    </xf>
    <xf numFmtId="0" fontId="77" fillId="22" borderId="28" xfId="7" applyFont="1" applyFill="1" applyBorder="1" applyAlignment="1">
      <alignment horizontal="center" vertical="center" wrapText="1"/>
    </xf>
    <xf numFmtId="0" fontId="77" fillId="22" borderId="39" xfId="7" applyFont="1" applyFill="1" applyBorder="1" applyAlignment="1">
      <alignment horizontal="center" vertical="center" wrapText="1"/>
    </xf>
    <xf numFmtId="0" fontId="77" fillId="25" borderId="39" xfId="7" applyFont="1" applyFill="1" applyBorder="1" applyAlignment="1">
      <alignment horizontal="center" vertical="center" wrapText="1"/>
    </xf>
    <xf numFmtId="3" fontId="77" fillId="21" borderId="43" xfId="7" applyNumberFormat="1" applyFont="1" applyFill="1" applyBorder="1" applyAlignment="1">
      <alignment horizontal="center" vertical="center" wrapText="1"/>
    </xf>
    <xf numFmtId="3" fontId="77" fillId="21" borderId="47" xfId="7" applyNumberFormat="1" applyFont="1" applyFill="1" applyBorder="1" applyAlignment="1">
      <alignment horizontal="center" vertical="center" wrapText="1"/>
    </xf>
    <xf numFmtId="0" fontId="64" fillId="22" borderId="30" xfId="0" applyFont="1" applyFill="1" applyBorder="1" applyAlignment="1">
      <alignment horizontal="center" vertical="center" wrapText="1"/>
    </xf>
    <xf numFmtId="0" fontId="64" fillId="22" borderId="28" xfId="0" applyFont="1" applyFill="1" applyBorder="1" applyAlignment="1">
      <alignment horizontal="center" vertical="center" wrapText="1"/>
    </xf>
    <xf numFmtId="0" fontId="77" fillId="22" borderId="30" xfId="7" applyFont="1" applyFill="1" applyBorder="1" applyAlignment="1">
      <alignment horizontal="center" vertical="center" wrapText="1"/>
    </xf>
    <xf numFmtId="3" fontId="62" fillId="22" borderId="39" xfId="7" applyNumberFormat="1" applyFont="1" applyFill="1" applyBorder="1" applyAlignment="1">
      <alignment horizontal="left" vertical="center" wrapText="1"/>
    </xf>
    <xf numFmtId="0" fontId="46" fillId="24" borderId="39" xfId="7" applyFont="1" applyFill="1" applyBorder="1" applyAlignment="1">
      <alignment horizontal="center" vertical="center" wrapText="1"/>
    </xf>
    <xf numFmtId="0" fontId="46" fillId="22" borderId="39" xfId="0" applyFont="1" applyFill="1" applyBorder="1" applyAlignment="1">
      <alignment horizontal="center" vertical="center" wrapText="1"/>
    </xf>
    <xf numFmtId="0" fontId="62" fillId="22" borderId="39" xfId="7" applyFont="1" applyFill="1" applyBorder="1" applyAlignment="1">
      <alignment vertical="center" wrapText="1"/>
    </xf>
    <xf numFmtId="0" fontId="78" fillId="22" borderId="39" xfId="7" applyFont="1" applyFill="1" applyBorder="1" applyAlignment="1">
      <alignment vertical="center" wrapText="1"/>
    </xf>
    <xf numFmtId="3" fontId="77" fillId="21" borderId="44" xfId="7" applyNumberFormat="1" applyFont="1" applyFill="1" applyBorder="1" applyAlignment="1">
      <alignment horizontal="center" vertical="center" wrapText="1"/>
    </xf>
    <xf numFmtId="0" fontId="46" fillId="22" borderId="39" xfId="7" applyFont="1" applyFill="1" applyBorder="1" applyAlignment="1">
      <alignment vertical="center" wrapText="1"/>
    </xf>
    <xf numFmtId="3" fontId="77" fillId="21" borderId="49" xfId="7" applyNumberFormat="1" applyFont="1" applyFill="1" applyBorder="1" applyAlignment="1">
      <alignment horizontal="center" vertical="center" wrapText="1"/>
    </xf>
    <xf numFmtId="0" fontId="64" fillId="22" borderId="39" xfId="7" applyFont="1" applyFill="1" applyBorder="1" applyAlignment="1">
      <alignment horizontal="center" vertical="center" wrapText="1"/>
    </xf>
    <xf numFmtId="0" fontId="64" fillId="22" borderId="39" xfId="0" applyFont="1" applyFill="1" applyBorder="1" applyAlignment="1">
      <alignment horizontal="center" vertical="center" wrapText="1"/>
    </xf>
    <xf numFmtId="3" fontId="77" fillId="23" borderId="49" xfId="7" applyNumberFormat="1" applyFont="1" applyFill="1" applyBorder="1" applyAlignment="1">
      <alignment horizontal="center" vertical="center" wrapText="1"/>
    </xf>
    <xf numFmtId="0" fontId="62" fillId="22" borderId="28" xfId="7" applyFont="1" applyFill="1" applyBorder="1" applyAlignment="1">
      <alignment vertical="center" wrapText="1"/>
    </xf>
    <xf numFmtId="0" fontId="78" fillId="22" borderId="28" xfId="7" applyFont="1" applyFill="1" applyBorder="1" applyAlignment="1">
      <alignment vertical="center" wrapText="1"/>
    </xf>
    <xf numFmtId="3" fontId="62" fillId="22" borderId="28" xfId="7" applyNumberFormat="1" applyFont="1" applyFill="1" applyBorder="1" applyAlignment="1">
      <alignment horizontal="left" vertical="center" wrapText="1"/>
    </xf>
    <xf numFmtId="0" fontId="64" fillId="22" borderId="1" xfId="7" applyFont="1" applyFill="1" applyBorder="1" applyAlignment="1">
      <alignment horizontal="center" vertical="center" wrapText="1"/>
    </xf>
    <xf numFmtId="0" fontId="46" fillId="24" borderId="1" xfId="7" applyFont="1" applyFill="1" applyBorder="1" applyAlignment="1">
      <alignment horizontal="center" vertical="center" wrapText="1"/>
    </xf>
    <xf numFmtId="0" fontId="64" fillId="22" borderId="1" xfId="0" applyFont="1" applyFill="1" applyBorder="1" applyAlignment="1">
      <alignment horizontal="center" vertical="center" wrapText="1"/>
    </xf>
    <xf numFmtId="0" fontId="46" fillId="22" borderId="1" xfId="0" applyFont="1" applyFill="1" applyBorder="1" applyAlignment="1">
      <alignment horizontal="center" vertical="center" wrapText="1"/>
    </xf>
    <xf numFmtId="0" fontId="46" fillId="22" borderId="1" xfId="7" applyFont="1" applyFill="1" applyBorder="1" applyAlignment="1">
      <alignment horizontal="center" vertical="center" wrapText="1"/>
    </xf>
    <xf numFmtId="0" fontId="77" fillId="22" borderId="1" xfId="7" applyFont="1" applyFill="1" applyBorder="1" applyAlignment="1">
      <alignment horizontal="center" vertical="center" wrapText="1"/>
    </xf>
    <xf numFmtId="0" fontId="62" fillId="22" borderId="1" xfId="7" applyFont="1" applyFill="1" applyBorder="1" applyAlignment="1">
      <alignment vertical="center" wrapText="1"/>
    </xf>
    <xf numFmtId="3" fontId="77" fillId="23" borderId="51" xfId="7" applyNumberFormat="1" applyFont="1" applyFill="1" applyBorder="1" applyAlignment="1">
      <alignment horizontal="center" vertical="center" wrapText="1"/>
    </xf>
    <xf numFmtId="0" fontId="78" fillId="22" borderId="1" xfId="7" applyFont="1" applyFill="1" applyBorder="1" applyAlignment="1">
      <alignment vertical="center" wrapText="1"/>
    </xf>
    <xf numFmtId="3" fontId="78" fillId="22" borderId="1" xfId="7" applyNumberFormat="1" applyFont="1" applyFill="1" applyBorder="1" applyAlignment="1">
      <alignment horizontal="left" vertical="center" wrapText="1"/>
    </xf>
    <xf numFmtId="3" fontId="52" fillId="0" borderId="0" xfId="7" applyNumberFormat="1" applyFont="1"/>
    <xf numFmtId="0" fontId="30" fillId="0" borderId="0" xfId="7" applyFont="1" applyAlignment="1"/>
    <xf numFmtId="0" fontId="67" fillId="0" borderId="0" xfId="7" applyFont="1" applyAlignment="1">
      <alignment horizontal="center"/>
    </xf>
    <xf numFmtId="0" fontId="4" fillId="0" borderId="0" xfId="82"/>
    <xf numFmtId="0" fontId="35" fillId="0" borderId="0" xfId="82" applyFont="1" applyProtection="1">
      <protection locked="0"/>
    </xf>
    <xf numFmtId="0" fontId="35" fillId="0" borderId="0" xfId="82" applyFont="1" applyAlignment="1" applyProtection="1">
      <alignment wrapText="1"/>
      <protection locked="0"/>
    </xf>
    <xf numFmtId="0" fontId="4" fillId="0" borderId="0" xfId="82" applyProtection="1">
      <protection locked="0"/>
    </xf>
    <xf numFmtId="0" fontId="37" fillId="0" borderId="0" xfId="82" applyFont="1" applyAlignment="1" applyProtection="1">
      <alignment horizontal="center" vertical="center"/>
      <protection locked="0"/>
    </xf>
    <xf numFmtId="0" fontId="37" fillId="0" borderId="0" xfId="82" applyFont="1" applyBorder="1" applyAlignment="1" applyProtection="1">
      <alignment horizontal="center" vertical="center" wrapText="1"/>
      <protection locked="0"/>
    </xf>
    <xf numFmtId="0" fontId="38" fillId="0" borderId="0" xfId="82" applyFont="1" applyFill="1" applyBorder="1" applyAlignment="1" applyProtection="1">
      <alignment vertical="center" wrapText="1"/>
      <protection locked="0"/>
    </xf>
    <xf numFmtId="0" fontId="39" fillId="0" borderId="0" xfId="82" applyFont="1" applyFill="1" applyBorder="1" applyAlignment="1" applyProtection="1">
      <alignment horizontal="left" vertical="center" wrapText="1"/>
      <protection locked="0"/>
    </xf>
    <xf numFmtId="0" fontId="40" fillId="0" borderId="0" xfId="82" applyFont="1" applyFill="1" applyBorder="1" applyAlignment="1" applyProtection="1">
      <alignment horizontal="center" vertical="center" wrapText="1"/>
      <protection locked="0"/>
    </xf>
    <xf numFmtId="0" fontId="35" fillId="0" borderId="0" xfId="82" applyFont="1" applyBorder="1" applyAlignment="1" applyProtection="1">
      <alignment wrapText="1"/>
      <protection locked="0"/>
    </xf>
    <xf numFmtId="0" fontId="39" fillId="0" borderId="0" xfId="82" applyFont="1" applyFill="1" applyBorder="1" applyAlignment="1" applyProtection="1">
      <alignment vertical="center" wrapText="1"/>
      <protection locked="0"/>
    </xf>
    <xf numFmtId="0" fontId="47" fillId="12" borderId="10" xfId="82" applyFont="1" applyFill="1" applyBorder="1" applyAlignment="1" applyProtection="1">
      <alignment horizontal="center" vertical="center" wrapText="1"/>
      <protection locked="0"/>
    </xf>
    <xf numFmtId="0" fontId="47" fillId="12" borderId="1" xfId="82" applyFont="1" applyFill="1" applyBorder="1" applyAlignment="1" applyProtection="1">
      <alignment horizontal="center" vertical="center" wrapText="1"/>
      <protection locked="0"/>
    </xf>
    <xf numFmtId="3" fontId="45" fillId="13" borderId="25" xfId="82" applyNumberFormat="1" applyFont="1" applyFill="1" applyBorder="1" applyAlignment="1" applyProtection="1">
      <alignment horizontal="center" vertical="center" wrapText="1"/>
    </xf>
    <xf numFmtId="0" fontId="70" fillId="6" borderId="10" xfId="82" applyFont="1" applyFill="1" applyBorder="1" applyAlignment="1" applyProtection="1">
      <alignment horizontal="center" vertical="center" wrapText="1"/>
      <protection locked="0"/>
    </xf>
    <xf numFmtId="0" fontId="71" fillId="6" borderId="10" xfId="82" applyFont="1" applyFill="1" applyBorder="1" applyAlignment="1" applyProtection="1">
      <alignment horizontal="center" vertical="center" wrapText="1"/>
      <protection locked="0"/>
    </xf>
    <xf numFmtId="0" fontId="71" fillId="5" borderId="10" xfId="82" applyFont="1" applyFill="1" applyBorder="1" applyAlignment="1" applyProtection="1">
      <alignment horizontal="center" vertical="center" wrapText="1"/>
      <protection locked="0"/>
    </xf>
    <xf numFmtId="0" fontId="64" fillId="6" borderId="1" xfId="82" applyFont="1" applyFill="1" applyBorder="1" applyAlignment="1" applyProtection="1">
      <alignment horizontal="center" vertical="center" wrapText="1"/>
      <protection locked="0"/>
    </xf>
    <xf numFmtId="3" fontId="45" fillId="14" borderId="9" xfId="82" applyNumberFormat="1" applyFont="1" applyFill="1" applyBorder="1" applyAlignment="1" applyProtection="1">
      <alignment horizontal="center" vertical="center" wrapText="1"/>
    </xf>
    <xf numFmtId="0" fontId="70" fillId="4" borderId="10" xfId="82" applyFont="1" applyFill="1" applyBorder="1" applyAlignment="1" applyProtection="1">
      <alignment horizontal="center" vertical="center" wrapText="1"/>
      <protection locked="0"/>
    </xf>
    <xf numFmtId="0" fontId="71" fillId="6" borderId="1" xfId="82" applyFont="1" applyFill="1" applyBorder="1" applyAlignment="1" applyProtection="1">
      <alignment horizontal="center" vertical="center" wrapText="1"/>
      <protection locked="0"/>
    </xf>
    <xf numFmtId="0" fontId="71" fillId="5" borderId="1" xfId="82" applyFont="1" applyFill="1" applyBorder="1" applyAlignment="1" applyProtection="1">
      <alignment horizontal="center" vertical="center" wrapText="1"/>
      <protection locked="0"/>
    </xf>
    <xf numFmtId="0" fontId="70" fillId="2" borderId="10" xfId="82" applyFont="1" applyFill="1" applyBorder="1" applyAlignment="1" applyProtection="1">
      <alignment horizontal="center" vertical="center" wrapText="1"/>
      <protection locked="0"/>
    </xf>
    <xf numFmtId="0" fontId="71" fillId="6" borderId="1" xfId="82" quotePrefix="1" applyFont="1" applyFill="1" applyBorder="1" applyAlignment="1" applyProtection="1">
      <alignment horizontal="center" vertical="center" wrapText="1"/>
      <protection locked="0"/>
    </xf>
    <xf numFmtId="0" fontId="72" fillId="6" borderId="1" xfId="82" applyFont="1" applyFill="1" applyBorder="1" applyAlignment="1" applyProtection="1">
      <alignment vertical="center" wrapText="1"/>
      <protection locked="0"/>
    </xf>
    <xf numFmtId="0" fontId="73" fillId="6" borderId="1" xfId="82" applyFont="1" applyFill="1" applyBorder="1" applyAlignment="1" applyProtection="1">
      <alignment horizontal="center" vertical="center" wrapText="1"/>
      <protection locked="0"/>
    </xf>
    <xf numFmtId="0" fontId="73" fillId="6" borderId="1" xfId="82" applyFont="1" applyFill="1" applyBorder="1" applyAlignment="1" applyProtection="1">
      <alignment vertical="center" wrapText="1"/>
      <protection locked="0"/>
    </xf>
    <xf numFmtId="3" fontId="45" fillId="13" borderId="9" xfId="82" applyNumberFormat="1" applyFont="1" applyFill="1" applyBorder="1" applyAlignment="1" applyProtection="1">
      <alignment horizontal="center" vertical="center" wrapText="1"/>
    </xf>
    <xf numFmtId="0" fontId="70" fillId="6" borderId="1" xfId="82" applyFont="1" applyFill="1" applyBorder="1" applyAlignment="1" applyProtection="1">
      <alignment horizontal="center" vertical="center" wrapText="1"/>
      <protection locked="0"/>
    </xf>
    <xf numFmtId="0" fontId="70" fillId="4" borderId="1" xfId="82" applyFont="1" applyFill="1" applyBorder="1" applyAlignment="1" applyProtection="1">
      <alignment horizontal="center" vertical="center" wrapText="1"/>
      <protection locked="0"/>
    </xf>
    <xf numFmtId="0" fontId="35" fillId="0" borderId="0" xfId="82" applyFont="1" applyBorder="1" applyProtection="1">
      <protection locked="0"/>
    </xf>
    <xf numFmtId="3" fontId="35" fillId="0" borderId="0" xfId="82" applyNumberFormat="1" applyFont="1" applyBorder="1" applyProtection="1">
      <protection locked="0"/>
    </xf>
    <xf numFmtId="0" fontId="49" fillId="0" borderId="0" xfId="83" applyFont="1" applyAlignment="1">
      <alignment horizontal="center"/>
    </xf>
    <xf numFmtId="3" fontId="35" fillId="0" borderId="0" xfId="82" applyNumberFormat="1" applyFont="1" applyProtection="1">
      <protection locked="0"/>
    </xf>
    <xf numFmtId="0" fontId="52" fillId="0" borderId="0" xfId="19" applyFont="1"/>
    <xf numFmtId="0" fontId="52" fillId="0" borderId="0" xfId="19" applyFont="1" applyAlignment="1">
      <alignment wrapText="1"/>
    </xf>
    <xf numFmtId="0" fontId="53" fillId="0" borderId="0" xfId="19" applyFont="1"/>
    <xf numFmtId="0" fontId="30" fillId="0" borderId="0" xfId="19" applyFont="1" applyAlignment="1"/>
    <xf numFmtId="0" fontId="56" fillId="0" borderId="0" xfId="19" applyFont="1" applyAlignment="1">
      <alignment horizontal="left" vertical="center" wrapText="1"/>
    </xf>
    <xf numFmtId="0" fontId="30" fillId="0" borderId="0" xfId="19" applyFont="1"/>
    <xf numFmtId="0" fontId="57" fillId="0" borderId="0" xfId="19" applyFont="1" applyAlignment="1">
      <alignment horizontal="left" vertical="center"/>
    </xf>
    <xf numFmtId="0" fontId="58" fillId="0" borderId="0" xfId="19" applyFont="1" applyAlignment="1">
      <alignment horizontal="center" vertical="center"/>
    </xf>
    <xf numFmtId="0" fontId="58" fillId="0" borderId="0" xfId="19" applyFont="1" applyAlignment="1">
      <alignment horizontal="center" vertical="center" wrapText="1"/>
    </xf>
    <xf numFmtId="0" fontId="59" fillId="0" borderId="0" xfId="19" applyFont="1" applyAlignment="1">
      <alignment vertical="center" wrapText="1"/>
    </xf>
    <xf numFmtId="0" fontId="52" fillId="0" borderId="0" xfId="19" applyFont="1" applyAlignment="1">
      <alignment horizontal="left" vertical="center" wrapText="1"/>
    </xf>
    <xf numFmtId="0" fontId="52" fillId="0" borderId="0" xfId="19" applyFont="1" applyAlignment="1">
      <alignment vertical="center" wrapText="1"/>
    </xf>
    <xf numFmtId="0" fontId="84" fillId="20" borderId="28" xfId="19" applyFont="1" applyFill="1" applyBorder="1" applyAlignment="1">
      <alignment horizontal="center" vertical="center" wrapText="1"/>
    </xf>
    <xf numFmtId="3" fontId="86" fillId="21" borderId="39" xfId="19" applyNumberFormat="1" applyFont="1" applyFill="1" applyBorder="1" applyAlignment="1">
      <alignment horizontal="center" vertical="center" wrapText="1"/>
    </xf>
    <xf numFmtId="0" fontId="86" fillId="22" borderId="28" xfId="19" applyFont="1" applyFill="1" applyBorder="1" applyAlignment="1">
      <alignment horizontal="center" vertical="center" wrapText="1"/>
    </xf>
    <xf numFmtId="0" fontId="86" fillId="19" borderId="28" xfId="19" applyFont="1" applyFill="1" applyBorder="1" applyAlignment="1">
      <alignment horizontal="center" vertical="center" wrapText="1"/>
    </xf>
    <xf numFmtId="0" fontId="86" fillId="22" borderId="39" xfId="19" applyFont="1" applyFill="1" applyBorder="1" applyAlignment="1">
      <alignment horizontal="center" vertical="center" wrapText="1"/>
    </xf>
    <xf numFmtId="3" fontId="86" fillId="23" borderId="39" xfId="19" applyNumberFormat="1" applyFont="1" applyFill="1" applyBorder="1" applyAlignment="1">
      <alignment horizontal="center" vertical="center" wrapText="1"/>
    </xf>
    <xf numFmtId="0" fontId="86" fillId="22" borderId="30" xfId="19" applyFont="1" applyFill="1" applyBorder="1" applyAlignment="1">
      <alignment horizontal="center" vertical="center" wrapText="1"/>
    </xf>
    <xf numFmtId="0" fontId="86" fillId="24" borderId="28" xfId="19" applyFont="1" applyFill="1" applyBorder="1" applyAlignment="1">
      <alignment horizontal="center" vertical="center" wrapText="1"/>
    </xf>
    <xf numFmtId="0" fontId="87" fillId="22" borderId="28" xfId="19" applyFont="1" applyFill="1" applyBorder="1" applyAlignment="1">
      <alignment horizontal="center" vertical="center" wrapText="1"/>
    </xf>
    <xf numFmtId="0" fontId="86" fillId="26" borderId="28" xfId="19" applyFont="1" applyFill="1" applyBorder="1" applyAlignment="1">
      <alignment horizontal="center" vertical="center" wrapText="1"/>
    </xf>
    <xf numFmtId="0" fontId="86" fillId="27" borderId="28" xfId="19" applyFont="1" applyFill="1" applyBorder="1" applyAlignment="1">
      <alignment horizontal="center" vertical="center" wrapText="1"/>
    </xf>
    <xf numFmtId="0" fontId="86" fillId="28" borderId="28" xfId="19" applyFont="1" applyFill="1" applyBorder="1" applyAlignment="1">
      <alignment horizontal="center" vertical="center" wrapText="1"/>
    </xf>
    <xf numFmtId="0" fontId="85" fillId="0" borderId="28" xfId="19" applyFont="1" applyBorder="1" applyAlignment="1">
      <alignment horizontal="center" vertical="center" wrapText="1"/>
    </xf>
    <xf numFmtId="0" fontId="85" fillId="0" borderId="29" xfId="19" applyFont="1" applyBorder="1" applyAlignment="1">
      <alignment horizontal="center" vertical="center" wrapText="1"/>
    </xf>
    <xf numFmtId="0" fontId="86" fillId="22" borderId="29" xfId="19" applyFont="1" applyFill="1" applyBorder="1" applyAlignment="1">
      <alignment horizontal="center" vertical="center" wrapText="1"/>
    </xf>
    <xf numFmtId="0" fontId="86" fillId="22" borderId="27" xfId="19" applyFont="1" applyFill="1" applyBorder="1" applyAlignment="1">
      <alignment horizontal="center" vertical="center" wrapText="1"/>
    </xf>
    <xf numFmtId="0" fontId="86" fillId="22" borderId="1" xfId="19" applyFont="1" applyFill="1" applyBorder="1" applyAlignment="1">
      <alignment horizontal="center" vertical="center" wrapText="1"/>
    </xf>
    <xf numFmtId="0" fontId="86" fillId="22" borderId="1" xfId="19" applyFont="1" applyFill="1" applyBorder="1" applyAlignment="1">
      <alignment vertical="center" wrapText="1"/>
    </xf>
    <xf numFmtId="3" fontId="85" fillId="22" borderId="39" xfId="19" applyNumberFormat="1" applyFont="1" applyFill="1" applyBorder="1" applyAlignment="1">
      <alignment horizontal="left" vertical="center" wrapText="1"/>
    </xf>
    <xf numFmtId="3" fontId="85" fillId="22" borderId="32" xfId="19" applyNumberFormat="1" applyFont="1" applyFill="1" applyBorder="1" applyAlignment="1">
      <alignment horizontal="left" vertical="center" wrapText="1"/>
    </xf>
    <xf numFmtId="3" fontId="85" fillId="22" borderId="30" xfId="19" applyNumberFormat="1" applyFont="1" applyFill="1" applyBorder="1" applyAlignment="1">
      <alignment horizontal="left" vertical="center" wrapText="1"/>
    </xf>
    <xf numFmtId="0" fontId="86" fillId="22" borderId="10" xfId="19" applyFont="1" applyFill="1" applyBorder="1" applyAlignment="1">
      <alignment horizontal="center" vertical="center" wrapText="1"/>
    </xf>
    <xf numFmtId="3" fontId="85" fillId="22" borderId="1" xfId="19" applyNumberFormat="1" applyFont="1" applyFill="1" applyBorder="1" applyAlignment="1">
      <alignment horizontal="left" vertical="center" wrapText="1"/>
    </xf>
    <xf numFmtId="0" fontId="67" fillId="0" borderId="0" xfId="19" applyFont="1" applyAlignment="1">
      <alignment horizontal="center"/>
    </xf>
    <xf numFmtId="3" fontId="52" fillId="0" borderId="0" xfId="19" applyNumberFormat="1" applyFont="1"/>
    <xf numFmtId="0" fontId="30" fillId="0" borderId="0" xfId="19" applyFont="1" applyBorder="1" applyAlignment="1"/>
    <xf numFmtId="0" fontId="88" fillId="0" borderId="0" xfId="19" applyFont="1" applyFill="1" applyBorder="1" applyAlignment="1">
      <alignment horizontal="center" vertical="center" wrapText="1"/>
    </xf>
    <xf numFmtId="0" fontId="60" fillId="0" borderId="0" xfId="19" applyFont="1" applyFill="1" applyBorder="1" applyAlignment="1">
      <alignment horizontal="center" vertical="center" wrapText="1"/>
    </xf>
    <xf numFmtId="0" fontId="90" fillId="0" borderId="0" xfId="19" applyFont="1" applyFill="1" applyBorder="1" applyAlignment="1"/>
    <xf numFmtId="0" fontId="30" fillId="0" borderId="0" xfId="19" applyFont="1" applyFill="1" applyBorder="1" applyAlignment="1"/>
    <xf numFmtId="0" fontId="91" fillId="0" borderId="0" xfId="19" applyFont="1" applyFill="1" applyBorder="1"/>
    <xf numFmtId="0" fontId="3" fillId="0" borderId="0" xfId="84"/>
    <xf numFmtId="0" fontId="35" fillId="0" borderId="0" xfId="84" applyFont="1" applyProtection="1">
      <protection locked="0"/>
    </xf>
    <xf numFmtId="0" fontId="35" fillId="0" borderId="0" xfId="84" applyFont="1" applyAlignment="1" applyProtection="1">
      <alignment wrapText="1"/>
      <protection locked="0"/>
    </xf>
    <xf numFmtId="0" fontId="3" fillId="0" borderId="0" xfId="84" applyProtection="1">
      <protection locked="0"/>
    </xf>
    <xf numFmtId="0" fontId="37" fillId="0" borderId="0" xfId="84" applyFont="1" applyAlignment="1" applyProtection="1">
      <alignment horizontal="center" vertical="center"/>
      <protection locked="0"/>
    </xf>
    <xf numFmtId="0" fontId="37" fillId="0" borderId="0" xfId="84" applyFont="1" applyBorder="1" applyAlignment="1" applyProtection="1">
      <alignment horizontal="center" vertical="center" wrapText="1"/>
      <protection locked="0"/>
    </xf>
    <xf numFmtId="0" fontId="38" fillId="0" borderId="0" xfId="84" applyFont="1" applyFill="1" applyBorder="1" applyAlignment="1" applyProtection="1">
      <alignment vertical="center" wrapText="1"/>
      <protection locked="0"/>
    </xf>
    <xf numFmtId="0" fontId="39" fillId="0" borderId="0" xfId="84" applyFont="1" applyFill="1" applyBorder="1" applyAlignment="1" applyProtection="1">
      <alignment horizontal="left" vertical="center" wrapText="1"/>
      <protection locked="0"/>
    </xf>
    <xf numFmtId="0" fontId="40" fillId="0" borderId="0" xfId="84" applyFont="1" applyFill="1" applyBorder="1" applyAlignment="1" applyProtection="1">
      <alignment horizontal="center" vertical="center" wrapText="1"/>
      <protection locked="0"/>
    </xf>
    <xf numFmtId="0" fontId="35" fillId="0" borderId="0" xfId="84" applyFont="1" applyBorder="1" applyAlignment="1" applyProtection="1">
      <alignment wrapText="1"/>
      <protection locked="0"/>
    </xf>
    <xf numFmtId="0" fontId="39" fillId="0" borderId="0" xfId="84" applyFont="1" applyFill="1" applyBorder="1" applyAlignment="1" applyProtection="1">
      <alignment vertical="center" wrapText="1"/>
      <protection locked="0"/>
    </xf>
    <xf numFmtId="0" fontId="47" fillId="12" borderId="10" xfId="84" applyFont="1" applyFill="1" applyBorder="1" applyAlignment="1" applyProtection="1">
      <alignment horizontal="center" vertical="center" wrapText="1"/>
      <protection locked="0"/>
    </xf>
    <xf numFmtId="3" fontId="93" fillId="13" borderId="25" xfId="84" applyNumberFormat="1" applyFont="1" applyFill="1" applyBorder="1" applyAlignment="1" applyProtection="1">
      <alignment horizontal="center" vertical="center" wrapText="1"/>
    </xf>
    <xf numFmtId="0" fontId="45" fillId="6" borderId="1" xfId="84" applyFont="1" applyFill="1" applyBorder="1" applyAlignment="1" applyProtection="1">
      <alignment vertical="center" wrapText="1"/>
      <protection locked="0"/>
    </xf>
    <xf numFmtId="0" fontId="45" fillId="6" borderId="1" xfId="84" applyFont="1" applyFill="1" applyBorder="1" applyAlignment="1" applyProtection="1">
      <alignment horizontal="center" vertical="center" wrapText="1"/>
      <protection locked="0"/>
    </xf>
    <xf numFmtId="0" fontId="45" fillId="5" borderId="9" xfId="84" applyFont="1" applyFill="1" applyBorder="1" applyAlignment="1" applyProtection="1">
      <alignment horizontal="center" vertical="center" wrapText="1"/>
      <protection locked="0"/>
    </xf>
    <xf numFmtId="0" fontId="94" fillId="6" borderId="1" xfId="84" applyFont="1" applyFill="1" applyBorder="1" applyAlignment="1" applyProtection="1">
      <alignment horizontal="center" vertical="center" wrapText="1"/>
      <protection locked="0"/>
    </xf>
    <xf numFmtId="3" fontId="45" fillId="14" borderId="9" xfId="84" applyNumberFormat="1" applyFont="1" applyFill="1" applyBorder="1" applyAlignment="1" applyProtection="1">
      <alignment horizontal="center" vertical="center" wrapText="1"/>
    </xf>
    <xf numFmtId="0" fontId="45" fillId="6" borderId="10" xfId="84" applyFont="1" applyFill="1" applyBorder="1" applyAlignment="1" applyProtection="1">
      <alignment horizontal="center" vertical="center" wrapText="1"/>
      <protection locked="0"/>
    </xf>
    <xf numFmtId="0" fontId="71" fillId="6" borderId="10" xfId="84" applyFont="1" applyFill="1" applyBorder="1" applyAlignment="1" applyProtection="1">
      <alignment horizontal="center" vertical="center" wrapText="1"/>
      <protection locked="0"/>
    </xf>
    <xf numFmtId="0" fontId="71" fillId="6" borderId="1" xfId="84" applyFont="1" applyFill="1" applyBorder="1" applyAlignment="1" applyProtection="1">
      <alignment horizontal="center" vertical="center" wrapText="1"/>
      <protection locked="0"/>
    </xf>
    <xf numFmtId="0" fontId="71" fillId="5" borderId="9" xfId="84" applyFont="1" applyFill="1" applyBorder="1" applyAlignment="1" applyProtection="1">
      <alignment horizontal="center" vertical="center" wrapText="1"/>
      <protection locked="0"/>
    </xf>
    <xf numFmtId="3" fontId="45" fillId="13" borderId="25" xfId="84" applyNumberFormat="1" applyFont="1" applyFill="1" applyBorder="1" applyAlignment="1" applyProtection="1">
      <alignment horizontal="center" vertical="center" wrapText="1"/>
    </xf>
    <xf numFmtId="0" fontId="71" fillId="6" borderId="1" xfId="84" applyFont="1" applyFill="1" applyBorder="1" applyAlignment="1" applyProtection="1">
      <alignment vertical="center" wrapText="1"/>
      <protection locked="0"/>
    </xf>
    <xf numFmtId="0" fontId="45" fillId="2" borderId="10" xfId="84" applyFont="1" applyFill="1" applyBorder="1" applyAlignment="1" applyProtection="1">
      <alignment horizontal="center" vertical="center" wrapText="1"/>
      <protection locked="0"/>
    </xf>
    <xf numFmtId="0" fontId="45" fillId="6" borderId="9" xfId="84" applyFont="1" applyFill="1" applyBorder="1" applyAlignment="1" applyProtection="1">
      <alignment vertical="center" wrapText="1"/>
      <protection locked="0"/>
    </xf>
    <xf numFmtId="0" fontId="45" fillId="6" borderId="9" xfId="84" applyFont="1" applyFill="1" applyBorder="1" applyAlignment="1" applyProtection="1">
      <alignment horizontal="center" vertical="center" wrapText="1"/>
      <protection locked="0"/>
    </xf>
    <xf numFmtId="3" fontId="95" fillId="6" borderId="1" xfId="84" applyNumberFormat="1" applyFont="1" applyFill="1" applyBorder="1" applyAlignment="1" applyProtection="1">
      <alignment horizontal="left" vertical="center" wrapText="1"/>
      <protection locked="0"/>
    </xf>
    <xf numFmtId="0" fontId="48" fillId="6" borderId="1" xfId="84" applyFont="1" applyFill="1" applyBorder="1" applyAlignment="1" applyProtection="1">
      <alignment vertical="center" wrapText="1"/>
      <protection locked="0"/>
    </xf>
    <xf numFmtId="0" fontId="73" fillId="6" borderId="1" xfId="84" applyFont="1" applyFill="1" applyBorder="1" applyAlignment="1" applyProtection="1">
      <alignment vertical="center" wrapText="1"/>
      <protection locked="0"/>
    </xf>
    <xf numFmtId="3" fontId="45" fillId="13" borderId="9" xfId="84" applyNumberFormat="1" applyFont="1" applyFill="1" applyBorder="1" applyAlignment="1" applyProtection="1">
      <alignment horizontal="center" vertical="center" wrapText="1"/>
    </xf>
    <xf numFmtId="0" fontId="45" fillId="2" borderId="1" xfId="84" applyFont="1" applyFill="1" applyBorder="1" applyAlignment="1" applyProtection="1">
      <alignment vertical="center" wrapText="1"/>
      <protection locked="0"/>
    </xf>
    <xf numFmtId="0" fontId="71" fillId="6" borderId="9" xfId="84" applyFont="1" applyFill="1" applyBorder="1" applyAlignment="1" applyProtection="1">
      <alignment vertical="center" wrapText="1"/>
      <protection locked="0"/>
    </xf>
    <xf numFmtId="0" fontId="45" fillId="2" borderId="9" xfId="84" applyFont="1" applyFill="1" applyBorder="1" applyAlignment="1" applyProtection="1">
      <alignment vertical="center" wrapText="1"/>
      <protection locked="0"/>
    </xf>
    <xf numFmtId="0" fontId="50" fillId="0" borderId="0" xfId="85" applyFont="1" applyBorder="1" applyAlignment="1">
      <alignment horizontal="center"/>
    </xf>
    <xf numFmtId="0" fontId="35" fillId="0" borderId="0" xfId="84" applyFont="1" applyBorder="1" applyProtection="1">
      <protection locked="0"/>
    </xf>
    <xf numFmtId="3" fontId="35" fillId="0" borderId="0" xfId="84" applyNumberFormat="1" applyFont="1" applyBorder="1" applyProtection="1">
      <protection locked="0"/>
    </xf>
    <xf numFmtId="0" fontId="49" fillId="0" borderId="0" xfId="85" applyFont="1" applyAlignment="1">
      <alignment horizontal="center"/>
    </xf>
    <xf numFmtId="3" fontId="35" fillId="0" borderId="0" xfId="84" applyNumberFormat="1" applyFont="1" applyProtection="1">
      <protection locked="0"/>
    </xf>
    <xf numFmtId="0" fontId="3" fillId="0" borderId="0" xfId="86"/>
    <xf numFmtId="0" fontId="35" fillId="0" borderId="0" xfId="86" applyFont="1" applyAlignment="1" applyProtection="1">
      <alignment wrapText="1"/>
      <protection locked="0"/>
    </xf>
    <xf numFmtId="0" fontId="3" fillId="0" borderId="0" xfId="86" applyProtection="1">
      <protection locked="0"/>
    </xf>
    <xf numFmtId="0" fontId="84" fillId="0" borderId="1" xfId="7" applyFont="1" applyBorder="1" applyAlignment="1">
      <alignment horizontal="center" vertical="center" wrapText="1"/>
    </xf>
    <xf numFmtId="0" fontId="37" fillId="0" borderId="0" xfId="86" applyFont="1" applyBorder="1" applyAlignment="1" applyProtection="1">
      <alignment horizontal="center" vertical="center" wrapText="1"/>
      <protection locked="0"/>
    </xf>
    <xf numFmtId="0" fontId="38" fillId="0" borderId="0" xfId="86" applyFont="1" applyFill="1" applyBorder="1" applyAlignment="1" applyProtection="1">
      <alignment vertical="center" wrapText="1"/>
      <protection locked="0"/>
    </xf>
    <xf numFmtId="0" fontId="39" fillId="0" borderId="0" xfId="86" applyFont="1" applyFill="1" applyBorder="1" applyAlignment="1" applyProtection="1">
      <alignment horizontal="left" vertical="center" wrapText="1"/>
      <protection locked="0"/>
    </xf>
    <xf numFmtId="0" fontId="83" fillId="0" borderId="1" xfId="7" applyFont="1" applyBorder="1" applyAlignment="1">
      <alignment horizontal="center" vertical="center"/>
    </xf>
    <xf numFmtId="0" fontId="35" fillId="0" borderId="0" xfId="86" applyFont="1" applyBorder="1" applyAlignment="1" applyProtection="1">
      <alignment wrapText="1"/>
      <protection locked="0"/>
    </xf>
    <xf numFmtId="0" fontId="39" fillId="0" borderId="0" xfId="86" applyFont="1" applyFill="1" applyBorder="1" applyAlignment="1" applyProtection="1">
      <alignment vertical="center" wrapText="1"/>
      <protection locked="0"/>
    </xf>
    <xf numFmtId="0" fontId="35" fillId="0" borderId="0" xfId="86" applyFont="1" applyProtection="1">
      <protection locked="0"/>
    </xf>
    <xf numFmtId="0" fontId="47" fillId="12" borderId="10" xfId="86" applyFont="1" applyFill="1" applyBorder="1" applyAlignment="1" applyProtection="1">
      <alignment horizontal="center" vertical="center" wrapText="1"/>
      <protection locked="0"/>
    </xf>
    <xf numFmtId="3" fontId="96" fillId="13" borderId="24" xfId="86" applyNumberFormat="1" applyFont="1" applyFill="1" applyBorder="1" applyAlignment="1" applyProtection="1">
      <alignment horizontal="center" vertical="center" wrapText="1"/>
    </xf>
    <xf numFmtId="0" fontId="96" fillId="6" borderId="1" xfId="86" applyFont="1" applyFill="1" applyBorder="1" applyAlignment="1" applyProtection="1">
      <alignment vertical="center" wrapText="1"/>
      <protection locked="0"/>
    </xf>
    <xf numFmtId="0" fontId="96" fillId="6" borderId="1" xfId="86" applyFont="1" applyFill="1" applyBorder="1" applyAlignment="1" applyProtection="1">
      <alignment horizontal="center" vertical="center" wrapText="1"/>
      <protection locked="0"/>
    </xf>
    <xf numFmtId="0" fontId="96" fillId="5" borderId="1" xfId="86" applyFont="1" applyFill="1" applyBorder="1" applyAlignment="1" applyProtection="1">
      <alignment horizontal="center" vertical="center" wrapText="1"/>
      <protection locked="0"/>
    </xf>
    <xf numFmtId="0" fontId="64" fillId="6" borderId="1" xfId="86" applyFont="1" applyFill="1" applyBorder="1" applyAlignment="1" applyProtection="1">
      <alignment horizontal="center" vertical="center" wrapText="1"/>
      <protection locked="0"/>
    </xf>
    <xf numFmtId="0" fontId="72" fillId="0" borderId="0" xfId="86" applyFont="1"/>
    <xf numFmtId="3" fontId="96" fillId="14" borderId="4" xfId="86" applyNumberFormat="1" applyFont="1" applyFill="1" applyBorder="1" applyAlignment="1" applyProtection="1">
      <alignment horizontal="center" vertical="center" wrapText="1"/>
    </xf>
    <xf numFmtId="0" fontId="96" fillId="6" borderId="23" xfId="86" applyFont="1" applyFill="1" applyBorder="1" applyAlignment="1" applyProtection="1">
      <alignment horizontal="center" vertical="center" wrapText="1"/>
      <protection locked="0"/>
    </xf>
    <xf numFmtId="0" fontId="96" fillId="6" borderId="10" xfId="86" applyFont="1" applyFill="1" applyBorder="1" applyAlignment="1" applyProtection="1">
      <alignment horizontal="center" vertical="center" wrapText="1"/>
      <protection locked="0"/>
    </xf>
    <xf numFmtId="0" fontId="43" fillId="6" borderId="10" xfId="86" applyFont="1" applyFill="1" applyBorder="1" applyAlignment="1" applyProtection="1">
      <alignment horizontal="center" vertical="center" wrapText="1"/>
      <protection locked="0"/>
    </xf>
    <xf numFmtId="0" fontId="43" fillId="6" borderId="1" xfId="86" applyFont="1" applyFill="1" applyBorder="1" applyAlignment="1" applyProtection="1">
      <alignment horizontal="center" vertical="center" wrapText="1"/>
      <protection locked="0"/>
    </xf>
    <xf numFmtId="0" fontId="43" fillId="5" borderId="1" xfId="86" applyFont="1" applyFill="1" applyBorder="1" applyAlignment="1" applyProtection="1">
      <alignment horizontal="center" vertical="center" wrapText="1"/>
      <protection locked="0"/>
    </xf>
    <xf numFmtId="3" fontId="96" fillId="13" borderId="8" xfId="86" applyNumberFormat="1" applyFont="1" applyFill="1" applyBorder="1" applyAlignment="1" applyProtection="1">
      <alignment horizontal="center" vertical="center" wrapText="1"/>
    </xf>
    <xf numFmtId="0" fontId="43" fillId="6" borderId="1" xfId="86" applyFont="1" applyFill="1" applyBorder="1" applyAlignment="1" applyProtection="1">
      <alignment vertical="center" wrapText="1"/>
      <protection locked="0"/>
    </xf>
    <xf numFmtId="3" fontId="96" fillId="14" borderId="7" xfId="86" applyNumberFormat="1" applyFont="1" applyFill="1" applyBorder="1" applyAlignment="1" applyProtection="1">
      <alignment horizontal="center" vertical="center" wrapText="1"/>
    </xf>
    <xf numFmtId="0" fontId="96" fillId="2" borderId="10" xfId="86" applyFont="1" applyFill="1" applyBorder="1" applyAlignment="1" applyProtection="1">
      <alignment horizontal="center" vertical="center" wrapText="1"/>
      <protection locked="0"/>
    </xf>
    <xf numFmtId="0" fontId="97" fillId="6" borderId="1" xfId="86" applyFont="1" applyFill="1" applyBorder="1" applyAlignment="1" applyProtection="1">
      <alignment horizontal="center" vertical="top" wrapText="1"/>
      <protection locked="0"/>
    </xf>
    <xf numFmtId="3" fontId="70" fillId="6" borderId="1" xfId="86" applyNumberFormat="1" applyFont="1" applyFill="1" applyBorder="1" applyAlignment="1" applyProtection="1">
      <alignment horizontal="left" vertical="center" wrapText="1"/>
      <protection locked="0"/>
    </xf>
    <xf numFmtId="0" fontId="98" fillId="6" borderId="9" xfId="86" applyFont="1" applyFill="1" applyBorder="1" applyAlignment="1" applyProtection="1">
      <alignment vertical="center" wrapText="1"/>
      <protection locked="0"/>
    </xf>
    <xf numFmtId="0" fontId="98" fillId="6" borderId="1" xfId="86" applyFont="1" applyFill="1" applyBorder="1" applyAlignment="1" applyProtection="1">
      <alignment vertical="center" wrapText="1"/>
      <protection locked="0"/>
    </xf>
    <xf numFmtId="0" fontId="99" fillId="6" borderId="1" xfId="86" applyFont="1" applyFill="1" applyBorder="1" applyAlignment="1" applyProtection="1">
      <alignment vertical="center" wrapText="1"/>
      <protection locked="0"/>
    </xf>
    <xf numFmtId="3" fontId="96" fillId="13" borderId="7" xfId="86" applyNumberFormat="1" applyFont="1" applyFill="1" applyBorder="1" applyAlignment="1" applyProtection="1">
      <alignment horizontal="center" vertical="center" wrapText="1"/>
    </xf>
    <xf numFmtId="0" fontId="96" fillId="2" borderId="1" xfId="86" applyFont="1" applyFill="1" applyBorder="1" applyAlignment="1" applyProtection="1">
      <alignment vertical="center" wrapText="1"/>
      <protection locked="0"/>
    </xf>
    <xf numFmtId="3" fontId="96" fillId="14" borderId="58" xfId="86" applyNumberFormat="1" applyFont="1" applyFill="1" applyBorder="1" applyAlignment="1" applyProtection="1">
      <alignment horizontal="center" vertical="center" wrapText="1"/>
    </xf>
    <xf numFmtId="0" fontId="50" fillId="0" borderId="0" xfId="87" applyFont="1" applyBorder="1" applyAlignment="1">
      <alignment horizontal="center"/>
    </xf>
    <xf numFmtId="0" fontId="35" fillId="0" borderId="0" xfId="86" applyFont="1" applyBorder="1" applyProtection="1">
      <protection locked="0"/>
    </xf>
    <xf numFmtId="3" fontId="35" fillId="0" borderId="0" xfId="86" applyNumberFormat="1" applyFont="1" applyBorder="1" applyProtection="1">
      <protection locked="0"/>
    </xf>
    <xf numFmtId="0" fontId="72" fillId="0" borderId="0" xfId="86" applyFont="1" applyAlignment="1" applyProtection="1">
      <alignment wrapText="1"/>
      <protection locked="0"/>
    </xf>
    <xf numFmtId="0" fontId="72" fillId="0" borderId="0" xfId="86" applyFont="1" applyProtection="1">
      <protection locked="0"/>
    </xf>
    <xf numFmtId="0" fontId="70" fillId="0" borderId="10" xfId="86" applyFont="1" applyFill="1" applyBorder="1" applyAlignment="1" applyProtection="1">
      <alignment horizontal="center" vertical="center" wrapText="1"/>
      <protection locked="0"/>
    </xf>
    <xf numFmtId="0" fontId="70" fillId="6" borderId="10" xfId="86" applyFont="1" applyFill="1" applyBorder="1" applyAlignment="1" applyProtection="1">
      <alignment horizontal="center" vertical="center" wrapText="1"/>
      <protection locked="0"/>
    </xf>
    <xf numFmtId="0" fontId="49" fillId="0" borderId="0" xfId="87" applyFont="1" applyAlignment="1">
      <alignment horizontal="center"/>
    </xf>
    <xf numFmtId="3" fontId="35" fillId="0" borderId="0" xfId="86" applyNumberFormat="1" applyFont="1" applyProtection="1">
      <protection locked="0"/>
    </xf>
    <xf numFmtId="0" fontId="50" fillId="0" borderId="0" xfId="83" applyFont="1" applyBorder="1" applyAlignment="1">
      <alignment horizontal="center" vertical="top"/>
    </xf>
    <xf numFmtId="0" fontId="35" fillId="0" borderId="0" xfId="82" applyFont="1" applyAlignment="1" applyProtection="1">
      <alignment vertical="top"/>
      <protection locked="0"/>
    </xf>
    <xf numFmtId="0" fontId="61" fillId="22" borderId="28" xfId="19" applyFont="1" applyFill="1" applyBorder="1" applyAlignment="1">
      <alignment horizontal="center" vertical="center" wrapText="1"/>
    </xf>
    <xf numFmtId="0" fontId="61" fillId="22" borderId="29" xfId="19" applyFont="1" applyFill="1" applyBorder="1" applyAlignment="1">
      <alignment horizontal="center" vertical="center" wrapText="1"/>
    </xf>
    <xf numFmtId="0" fontId="61" fillId="22" borderId="27" xfId="19" applyFont="1" applyFill="1" applyBorder="1" applyAlignment="1">
      <alignment horizontal="center" vertical="center" wrapText="1"/>
    </xf>
    <xf numFmtId="0" fontId="61" fillId="22" borderId="30" xfId="19" applyFont="1" applyFill="1" applyBorder="1" applyAlignment="1">
      <alignment horizontal="center" vertical="center" wrapText="1"/>
    </xf>
    <xf numFmtId="0" fontId="61" fillId="22" borderId="10" xfId="19" applyFont="1" applyFill="1" applyBorder="1" applyAlignment="1">
      <alignment horizontal="center" vertical="center" wrapText="1"/>
    </xf>
    <xf numFmtId="0" fontId="2" fillId="0" borderId="0" xfId="88"/>
    <xf numFmtId="0" fontId="35" fillId="0" borderId="0" xfId="88" applyFont="1" applyProtection="1">
      <protection locked="0"/>
    </xf>
    <xf numFmtId="0" fontId="35" fillId="0" borderId="0" xfId="88" applyFont="1" applyAlignment="1" applyProtection="1">
      <alignment wrapText="1"/>
      <protection locked="0"/>
    </xf>
    <xf numFmtId="0" fontId="2" fillId="0" borderId="0" xfId="88" applyProtection="1">
      <protection locked="0"/>
    </xf>
    <xf numFmtId="0" fontId="2" fillId="0" borderId="0" xfId="88" applyAlignment="1">
      <alignment horizontal="center"/>
    </xf>
    <xf numFmtId="0" fontId="37" fillId="0" borderId="0" xfId="88" applyFont="1" applyAlignment="1" applyProtection="1">
      <alignment horizontal="center" vertical="center"/>
      <protection locked="0"/>
    </xf>
    <xf numFmtId="0" fontId="37" fillId="0" borderId="0" xfId="88" applyFont="1" applyBorder="1" applyAlignment="1" applyProtection="1">
      <alignment horizontal="center" vertical="center" wrapText="1"/>
      <protection locked="0"/>
    </xf>
    <xf numFmtId="0" fontId="38" fillId="0" borderId="0" xfId="88" applyFont="1" applyFill="1" applyBorder="1" applyAlignment="1" applyProtection="1">
      <alignment vertical="center" wrapText="1"/>
      <protection locked="0"/>
    </xf>
    <xf numFmtId="0" fontId="39" fillId="0" borderId="0" xfId="88" applyFont="1" applyFill="1" applyBorder="1" applyAlignment="1" applyProtection="1">
      <alignment horizontal="left" vertical="center" wrapText="1"/>
      <protection locked="0"/>
    </xf>
    <xf numFmtId="0" fontId="40" fillId="0" borderId="0" xfId="88" applyFont="1" applyFill="1" applyBorder="1" applyAlignment="1" applyProtection="1">
      <alignment horizontal="center" vertical="center" wrapText="1"/>
      <protection locked="0"/>
    </xf>
    <xf numFmtId="0" fontId="35" fillId="0" borderId="0" xfId="88" applyFont="1" applyBorder="1" applyAlignment="1" applyProtection="1">
      <alignment wrapText="1"/>
      <protection locked="0"/>
    </xf>
    <xf numFmtId="0" fontId="39" fillId="0" borderId="0" xfId="88" applyFont="1" applyFill="1" applyBorder="1" applyAlignment="1" applyProtection="1">
      <alignment vertical="center" wrapText="1"/>
      <protection locked="0"/>
    </xf>
    <xf numFmtId="0" fontId="47" fillId="12" borderId="10" xfId="88" applyFont="1" applyFill="1" applyBorder="1" applyAlignment="1" applyProtection="1">
      <alignment horizontal="center" vertical="center" wrapText="1"/>
      <protection locked="0"/>
    </xf>
    <xf numFmtId="0" fontId="45" fillId="12" borderId="10" xfId="88" applyFont="1" applyFill="1" applyBorder="1" applyAlignment="1" applyProtection="1">
      <alignment horizontal="center" vertical="center" wrapText="1"/>
      <protection locked="0"/>
    </xf>
    <xf numFmtId="3" fontId="71" fillId="13" borderId="25" xfId="88" applyNumberFormat="1" applyFont="1" applyFill="1" applyBorder="1" applyAlignment="1" applyProtection="1">
      <alignment horizontal="center" vertical="center" wrapText="1"/>
    </xf>
    <xf numFmtId="0" fontId="71" fillId="6" borderId="1" xfId="88" applyFont="1" applyFill="1" applyBorder="1" applyAlignment="1" applyProtection="1">
      <alignment vertical="center" wrapText="1"/>
      <protection locked="0"/>
    </xf>
    <xf numFmtId="0" fontId="71" fillId="6" borderId="1" xfId="88" applyFont="1" applyFill="1" applyBorder="1" applyAlignment="1" applyProtection="1">
      <alignment horizontal="center" vertical="center" wrapText="1"/>
      <protection locked="0"/>
    </xf>
    <xf numFmtId="0" fontId="71" fillId="5" borderId="1" xfId="88" applyFont="1" applyFill="1" applyBorder="1" applyAlignment="1" applyProtection="1">
      <alignment horizontal="center" vertical="center" wrapText="1"/>
      <protection locked="0"/>
    </xf>
    <xf numFmtId="0" fontId="48" fillId="6" borderId="1" xfId="88" applyFont="1" applyFill="1" applyBorder="1" applyAlignment="1">
      <alignment horizontal="center" vertical="center" wrapText="1"/>
    </xf>
    <xf numFmtId="3" fontId="71" fillId="14" borderId="9" xfId="88" applyNumberFormat="1" applyFont="1" applyFill="1" applyBorder="1" applyAlignment="1" applyProtection="1">
      <alignment horizontal="center" vertical="center" wrapText="1"/>
    </xf>
    <xf numFmtId="0" fontId="71" fillId="6" borderId="10" xfId="88" applyFont="1" applyFill="1" applyBorder="1" applyAlignment="1" applyProtection="1">
      <alignment horizontal="center" vertical="center" wrapText="1"/>
      <protection locked="0"/>
    </xf>
    <xf numFmtId="0" fontId="71" fillId="30" borderId="10" xfId="88" applyFont="1" applyFill="1" applyBorder="1" applyAlignment="1" applyProtection="1">
      <alignment horizontal="center" vertical="center" wrapText="1"/>
      <protection locked="0"/>
    </xf>
    <xf numFmtId="0" fontId="2" fillId="6" borderId="1" xfId="88" applyFill="1" applyBorder="1"/>
    <xf numFmtId="0" fontId="71" fillId="2" borderId="10" xfId="88" applyFont="1" applyFill="1" applyBorder="1" applyAlignment="1" applyProtection="1">
      <alignment horizontal="center" vertical="center" wrapText="1"/>
      <protection locked="0"/>
    </xf>
    <xf numFmtId="0" fontId="46" fillId="6" borderId="1" xfId="88" applyFont="1" applyFill="1" applyBorder="1" applyAlignment="1" applyProtection="1">
      <alignment horizontal="center" vertical="center" wrapText="1"/>
      <protection locked="0"/>
    </xf>
    <xf numFmtId="0" fontId="71" fillId="2" borderId="1" xfId="88" applyFont="1" applyFill="1" applyBorder="1" applyAlignment="1" applyProtection="1">
      <alignment vertical="center" wrapText="1"/>
      <protection locked="0"/>
    </xf>
    <xf numFmtId="0" fontId="62" fillId="6" borderId="1" xfId="88" applyFont="1" applyFill="1" applyBorder="1" applyAlignment="1" applyProtection="1">
      <alignment horizontal="center" vertical="center" wrapText="1"/>
      <protection locked="0"/>
    </xf>
    <xf numFmtId="0" fontId="101" fillId="6" borderId="1" xfId="88" applyFont="1" applyFill="1" applyBorder="1" applyAlignment="1" applyProtection="1">
      <alignment horizontal="center" vertical="top" wrapText="1"/>
      <protection locked="0"/>
    </xf>
    <xf numFmtId="3" fontId="71" fillId="13" borderId="1" xfId="88" applyNumberFormat="1" applyFont="1" applyFill="1" applyBorder="1" applyAlignment="1" applyProtection="1">
      <alignment horizontal="center" vertical="center" wrapText="1"/>
    </xf>
    <xf numFmtId="0" fontId="60" fillId="6" borderId="1" xfId="88" applyFont="1" applyFill="1" applyBorder="1" applyAlignment="1" applyProtection="1">
      <alignment horizontal="center" vertical="center" wrapText="1"/>
      <protection locked="0"/>
    </xf>
    <xf numFmtId="3" fontId="71" fillId="14" borderId="1" xfId="88" applyNumberFormat="1" applyFont="1" applyFill="1" applyBorder="1" applyAlignment="1" applyProtection="1">
      <alignment horizontal="center" vertical="center" wrapText="1"/>
    </xf>
    <xf numFmtId="0" fontId="71" fillId="31" borderId="10" xfId="88" applyFont="1" applyFill="1" applyBorder="1" applyAlignment="1" applyProtection="1">
      <alignment horizontal="center" vertical="center" wrapText="1"/>
      <protection locked="0"/>
    </xf>
    <xf numFmtId="0" fontId="71" fillId="8" borderId="10" xfId="88" applyFont="1" applyFill="1" applyBorder="1" applyAlignment="1" applyProtection="1">
      <alignment horizontal="center" vertical="center" wrapText="1"/>
      <protection locked="0"/>
    </xf>
    <xf numFmtId="0" fontId="62" fillId="6" borderId="1" xfId="88" applyFont="1" applyFill="1" applyBorder="1" applyAlignment="1" applyProtection="1">
      <alignment horizontal="center" vertical="top" wrapText="1"/>
      <protection locked="0"/>
    </xf>
    <xf numFmtId="0" fontId="71" fillId="31" borderId="1" xfId="88" applyFont="1" applyFill="1" applyBorder="1" applyAlignment="1" applyProtection="1">
      <alignment vertical="center" wrapText="1"/>
      <protection locked="0"/>
    </xf>
    <xf numFmtId="0" fontId="71" fillId="8" borderId="1" xfId="88" applyFont="1" applyFill="1" applyBorder="1" applyAlignment="1" applyProtection="1">
      <alignment vertical="center" wrapText="1"/>
      <protection locked="0"/>
    </xf>
    <xf numFmtId="0" fontId="71" fillId="8" borderId="1" xfId="88" applyFont="1" applyFill="1" applyBorder="1" applyAlignment="1" applyProtection="1">
      <alignment horizontal="center" vertical="center" wrapText="1"/>
      <protection locked="0"/>
    </xf>
    <xf numFmtId="3" fontId="71" fillId="13" borderId="9" xfId="88" applyNumberFormat="1" applyFont="1" applyFill="1" applyBorder="1" applyAlignment="1" applyProtection="1">
      <alignment horizontal="center" vertical="center" wrapText="1"/>
    </xf>
    <xf numFmtId="0" fontId="42" fillId="6" borderId="1" xfId="88" applyFont="1" applyFill="1" applyBorder="1" applyAlignment="1" applyProtection="1">
      <alignment vertical="center" wrapText="1"/>
      <protection locked="0"/>
    </xf>
    <xf numFmtId="0" fontId="42" fillId="6" borderId="1" xfId="88" applyFont="1" applyFill="1" applyBorder="1" applyAlignment="1" applyProtection="1">
      <alignment horizontal="center" vertical="center" wrapText="1"/>
      <protection locked="0"/>
    </xf>
    <xf numFmtId="0" fontId="50" fillId="0" borderId="0" xfId="89" applyFont="1" applyBorder="1" applyAlignment="1">
      <alignment horizontal="center"/>
    </xf>
    <xf numFmtId="0" fontId="35" fillId="0" borderId="0" xfId="88" applyFont="1" applyBorder="1" applyProtection="1">
      <protection locked="0"/>
    </xf>
    <xf numFmtId="3" fontId="35" fillId="0" borderId="0" xfId="88" applyNumberFormat="1" applyFont="1" applyBorder="1" applyProtection="1">
      <protection locked="0"/>
    </xf>
    <xf numFmtId="0" fontId="48" fillId="0" borderId="0" xfId="88" applyFont="1" applyProtection="1">
      <protection locked="0"/>
    </xf>
    <xf numFmtId="0" fontId="48" fillId="0" borderId="0" xfId="88" applyFont="1"/>
    <xf numFmtId="0" fontId="48" fillId="0" borderId="0" xfId="88" applyFont="1" applyAlignment="1">
      <alignment horizontal="center"/>
    </xf>
    <xf numFmtId="0" fontId="49" fillId="0" borderId="0" xfId="89" applyFont="1" applyAlignment="1">
      <alignment horizontal="center"/>
    </xf>
    <xf numFmtId="3" fontId="35" fillId="0" borderId="0" xfId="88" applyNumberFormat="1" applyFont="1" applyProtection="1">
      <protection locked="0"/>
    </xf>
    <xf numFmtId="0" fontId="103" fillId="0" borderId="0" xfId="88" applyFont="1" applyProtection="1">
      <protection locked="0"/>
    </xf>
    <xf numFmtId="0" fontId="1" fillId="0" borderId="0" xfId="90"/>
    <xf numFmtId="0" fontId="35" fillId="0" borderId="0" xfId="90" applyFont="1" applyProtection="1">
      <protection locked="0"/>
    </xf>
    <xf numFmtId="0" fontId="35" fillId="0" borderId="0" xfId="90" applyFont="1" applyAlignment="1" applyProtection="1">
      <alignment wrapText="1"/>
      <protection locked="0"/>
    </xf>
    <xf numFmtId="0" fontId="1" fillId="0" borderId="0" xfId="90" applyProtection="1">
      <protection locked="0"/>
    </xf>
    <xf numFmtId="0" fontId="37" fillId="0" borderId="0" xfId="90" applyFont="1" applyAlignment="1" applyProtection="1">
      <alignment horizontal="center" vertical="center"/>
      <protection locked="0"/>
    </xf>
    <xf numFmtId="0" fontId="37" fillId="0" borderId="0" xfId="90" applyFont="1" applyBorder="1" applyAlignment="1" applyProtection="1">
      <alignment horizontal="center" vertical="center" wrapText="1"/>
      <protection locked="0"/>
    </xf>
    <xf numFmtId="0" fontId="38" fillId="0" borderId="0" xfId="90" applyFont="1" applyFill="1" applyBorder="1" applyAlignment="1" applyProtection="1">
      <alignment vertical="center" wrapText="1"/>
      <protection locked="0"/>
    </xf>
    <xf numFmtId="0" fontId="39" fillId="0" borderId="0" xfId="90" applyFont="1" applyFill="1" applyBorder="1" applyAlignment="1" applyProtection="1">
      <alignment horizontal="left" vertical="center" wrapText="1"/>
      <protection locked="0"/>
    </xf>
    <xf numFmtId="0" fontId="40" fillId="0" borderId="0" xfId="90" applyFont="1" applyFill="1" applyBorder="1" applyAlignment="1" applyProtection="1">
      <alignment horizontal="center" vertical="center" wrapText="1"/>
      <protection locked="0"/>
    </xf>
    <xf numFmtId="0" fontId="35" fillId="0" borderId="0" xfId="90" applyFont="1" applyBorder="1" applyAlignment="1" applyProtection="1">
      <alignment wrapText="1"/>
      <protection locked="0"/>
    </xf>
    <xf numFmtId="0" fontId="39" fillId="0" borderId="0" xfId="90" applyFont="1" applyFill="1" applyBorder="1" applyAlignment="1" applyProtection="1">
      <alignment vertical="center" wrapText="1"/>
      <protection locked="0"/>
    </xf>
    <xf numFmtId="0" fontId="47" fillId="12" borderId="10" xfId="90" applyFont="1" applyFill="1" applyBorder="1" applyAlignment="1" applyProtection="1">
      <alignment horizontal="center" vertical="center" wrapText="1"/>
      <protection locked="0"/>
    </xf>
    <xf numFmtId="3" fontId="45" fillId="13" borderId="4" xfId="90" applyNumberFormat="1" applyFont="1" applyFill="1" applyBorder="1" applyAlignment="1" applyProtection="1">
      <alignment horizontal="center" vertical="center" wrapText="1"/>
    </xf>
    <xf numFmtId="0" fontId="70" fillId="6" borderId="10" xfId="90" applyFont="1" applyFill="1" applyBorder="1" applyAlignment="1" applyProtection="1">
      <alignment horizontal="center" vertical="center" wrapText="1"/>
      <protection locked="0"/>
    </xf>
    <xf numFmtId="0" fontId="45" fillId="6" borderId="10" xfId="90" applyFont="1" applyFill="1" applyBorder="1" applyAlignment="1" applyProtection="1">
      <alignment horizontal="center" vertical="center" wrapText="1"/>
      <protection locked="0"/>
    </xf>
    <xf numFmtId="0" fontId="43" fillId="6" borderId="10" xfId="90" applyFont="1" applyFill="1" applyBorder="1" applyAlignment="1" applyProtection="1">
      <alignment horizontal="center" vertical="center" wrapText="1"/>
      <protection locked="0"/>
    </xf>
    <xf numFmtId="0" fontId="43" fillId="5" borderId="10" xfId="90" applyFont="1" applyFill="1" applyBorder="1" applyAlignment="1" applyProtection="1">
      <alignment horizontal="center" vertical="center" wrapText="1"/>
      <protection locked="0"/>
    </xf>
    <xf numFmtId="0" fontId="46" fillId="6" borderId="1" xfId="90" applyFont="1" applyFill="1" applyBorder="1" applyAlignment="1" applyProtection="1">
      <alignment horizontal="center" vertical="center" wrapText="1"/>
      <protection locked="0"/>
    </xf>
    <xf numFmtId="3" fontId="45" fillId="14" borderId="7" xfId="90" applyNumberFormat="1" applyFont="1" applyFill="1" applyBorder="1" applyAlignment="1" applyProtection="1">
      <alignment horizontal="center" vertical="center" wrapText="1"/>
    </xf>
    <xf numFmtId="0" fontId="70" fillId="6" borderId="23" xfId="90" applyFont="1" applyFill="1" applyBorder="1" applyAlignment="1" applyProtection="1">
      <alignment horizontal="center" vertical="center" wrapText="1"/>
      <protection locked="0"/>
    </xf>
    <xf numFmtId="0" fontId="45" fillId="6" borderId="23" xfId="90" applyFont="1" applyFill="1" applyBorder="1" applyAlignment="1" applyProtection="1">
      <alignment horizontal="center" vertical="center" wrapText="1"/>
      <protection locked="0"/>
    </xf>
    <xf numFmtId="0" fontId="42" fillId="6" borderId="10" xfId="90" applyFont="1" applyFill="1" applyBorder="1" applyAlignment="1" applyProtection="1">
      <alignment horizontal="center" vertical="center" wrapText="1"/>
      <protection locked="0"/>
    </xf>
    <xf numFmtId="0" fontId="99" fillId="6" borderId="23" xfId="90" applyFont="1" applyFill="1" applyBorder="1" applyAlignment="1" applyProtection="1">
      <alignment horizontal="center" vertical="center" wrapText="1"/>
      <protection locked="0"/>
    </xf>
    <xf numFmtId="0" fontId="99" fillId="6" borderId="10" xfId="90" applyFont="1" applyFill="1" applyBorder="1" applyAlignment="1" applyProtection="1">
      <alignment horizontal="center" vertical="center" wrapText="1"/>
      <protection locked="0"/>
    </xf>
    <xf numFmtId="0" fontId="43" fillId="6" borderId="23" xfId="90" applyFont="1" applyFill="1" applyBorder="1" applyAlignment="1" applyProtection="1">
      <alignment horizontal="center" vertical="center" wrapText="1"/>
      <protection locked="0"/>
    </xf>
    <xf numFmtId="0" fontId="86" fillId="6" borderId="1" xfId="90" applyFont="1" applyFill="1" applyBorder="1" applyAlignment="1" applyProtection="1">
      <alignment horizontal="center" vertical="top" wrapText="1"/>
      <protection locked="0"/>
    </xf>
    <xf numFmtId="0" fontId="86" fillId="6" borderId="1" xfId="90" applyFont="1" applyFill="1" applyBorder="1" applyAlignment="1" applyProtection="1">
      <alignment horizontal="center" vertical="center" wrapText="1"/>
      <protection locked="0"/>
    </xf>
    <xf numFmtId="0" fontId="99" fillId="6" borderId="1" xfId="90" applyFont="1" applyFill="1" applyBorder="1" applyAlignment="1" applyProtection="1">
      <alignment vertical="center" wrapText="1"/>
      <protection locked="0"/>
    </xf>
    <xf numFmtId="0" fontId="1" fillId="9" borderId="0" xfId="90" applyFill="1"/>
    <xf numFmtId="3" fontId="45" fillId="13" borderId="8" xfId="90" applyNumberFormat="1" applyFont="1" applyFill="1" applyBorder="1" applyAlignment="1" applyProtection="1">
      <alignment horizontal="center" vertical="center" wrapText="1"/>
    </xf>
    <xf numFmtId="0" fontId="70" fillId="32" borderId="10" xfId="90" applyFont="1" applyFill="1" applyBorder="1" applyAlignment="1" applyProtection="1">
      <alignment horizontal="center" vertical="center" wrapText="1"/>
      <protection locked="0"/>
    </xf>
    <xf numFmtId="0" fontId="45" fillId="32" borderId="10" xfId="90" applyFont="1" applyFill="1" applyBorder="1" applyAlignment="1" applyProtection="1">
      <alignment horizontal="center" vertical="center" wrapText="1"/>
      <protection locked="0"/>
    </xf>
    <xf numFmtId="0" fontId="42" fillId="32" borderId="10" xfId="90" applyFont="1" applyFill="1" applyBorder="1" applyAlignment="1" applyProtection="1">
      <alignment horizontal="center" vertical="center" wrapText="1"/>
      <protection locked="0"/>
    </xf>
    <xf numFmtId="0" fontId="43" fillId="32" borderId="10" xfId="90" applyFont="1" applyFill="1" applyBorder="1" applyAlignment="1" applyProtection="1">
      <alignment horizontal="center" vertical="center" wrapText="1"/>
      <protection locked="0"/>
    </xf>
    <xf numFmtId="0" fontId="70" fillId="32" borderId="23" xfId="90" applyFont="1" applyFill="1" applyBorder="1" applyAlignment="1" applyProtection="1">
      <alignment horizontal="center" vertical="center" wrapText="1"/>
      <protection locked="0"/>
    </xf>
    <xf numFmtId="0" fontId="45" fillId="32" borderId="23" xfId="90" applyFont="1" applyFill="1" applyBorder="1" applyAlignment="1" applyProtection="1">
      <alignment horizontal="center" vertical="center" wrapText="1"/>
      <protection locked="0"/>
    </xf>
    <xf numFmtId="0" fontId="72" fillId="32" borderId="1" xfId="90" applyFont="1" applyFill="1" applyBorder="1" applyAlignment="1" applyProtection="1">
      <alignment horizontal="center" vertical="center" wrapText="1"/>
      <protection locked="0"/>
    </xf>
    <xf numFmtId="0" fontId="99" fillId="32" borderId="10" xfId="90" applyFont="1" applyFill="1" applyBorder="1" applyAlignment="1" applyProtection="1">
      <alignment horizontal="center" vertical="center" wrapText="1"/>
      <protection locked="0"/>
    </xf>
    <xf numFmtId="0" fontId="99" fillId="32" borderId="1" xfId="90" applyFont="1" applyFill="1" applyBorder="1" applyAlignment="1" applyProtection="1">
      <alignment vertical="center" wrapText="1"/>
      <protection locked="0"/>
    </xf>
    <xf numFmtId="0" fontId="43" fillId="32" borderId="1" xfId="90" applyFont="1" applyFill="1" applyBorder="1" applyAlignment="1" applyProtection="1">
      <alignment horizontal="center" vertical="center" wrapText="1"/>
      <protection locked="0"/>
    </xf>
    <xf numFmtId="0" fontId="70" fillId="31" borderId="10" xfId="90" applyFont="1" applyFill="1" applyBorder="1" applyAlignment="1" applyProtection="1">
      <alignment horizontal="center" vertical="center" wrapText="1"/>
      <protection locked="0"/>
    </xf>
    <xf numFmtId="0" fontId="48" fillId="6" borderId="9" xfId="90" applyFont="1" applyFill="1" applyBorder="1" applyAlignment="1" applyProtection="1">
      <alignment vertical="center" wrapText="1"/>
      <protection locked="0"/>
    </xf>
    <xf numFmtId="0" fontId="48" fillId="6" borderId="1" xfId="90" applyFont="1" applyFill="1" applyBorder="1" applyAlignment="1" applyProtection="1">
      <alignment vertical="center" wrapText="1"/>
      <protection locked="0"/>
    </xf>
    <xf numFmtId="0" fontId="43" fillId="6" borderId="1" xfId="90" applyFont="1" applyFill="1" applyBorder="1" applyAlignment="1" applyProtection="1">
      <alignment horizontal="center" vertical="center" wrapText="1"/>
      <protection locked="0"/>
    </xf>
    <xf numFmtId="0" fontId="72" fillId="32" borderId="9" xfId="90" applyFont="1" applyFill="1" applyBorder="1" applyAlignment="1" applyProtection="1">
      <alignment vertical="center" wrapText="1"/>
      <protection locked="0"/>
    </xf>
    <xf numFmtId="0" fontId="72" fillId="32" borderId="1" xfId="90" applyFont="1" applyFill="1" applyBorder="1" applyAlignment="1" applyProtection="1">
      <alignment vertical="center" wrapText="1"/>
      <protection locked="0"/>
    </xf>
    <xf numFmtId="0" fontId="72" fillId="6" borderId="9" xfId="90" applyFont="1" applyFill="1" applyBorder="1" applyAlignment="1" applyProtection="1">
      <alignment vertical="center" wrapText="1"/>
      <protection locked="0"/>
    </xf>
    <xf numFmtId="0" fontId="72" fillId="6" borderId="1" xfId="90" applyFont="1" applyFill="1" applyBorder="1" applyAlignment="1" applyProtection="1">
      <alignment vertical="center" wrapText="1"/>
      <protection locked="0"/>
    </xf>
    <xf numFmtId="0" fontId="70" fillId="5" borderId="10" xfId="90" applyFont="1" applyFill="1" applyBorder="1" applyAlignment="1" applyProtection="1">
      <alignment horizontal="center" vertical="center" wrapText="1"/>
      <protection locked="0"/>
    </xf>
    <xf numFmtId="0" fontId="45" fillId="5" borderId="10" xfId="90" applyFont="1" applyFill="1" applyBorder="1" applyAlignment="1" applyProtection="1">
      <alignment horizontal="center" vertical="center" wrapText="1"/>
      <protection locked="0"/>
    </xf>
    <xf numFmtId="0" fontId="70" fillId="2" borderId="10" xfId="90" applyFont="1" applyFill="1" applyBorder="1" applyAlignment="1" applyProtection="1">
      <alignment horizontal="center" vertical="center" wrapText="1"/>
      <protection locked="0"/>
    </xf>
    <xf numFmtId="3" fontId="45" fillId="13" borderId="7" xfId="90" applyNumberFormat="1" applyFont="1" applyFill="1" applyBorder="1" applyAlignment="1" applyProtection="1">
      <alignment horizontal="center" vertical="center" wrapText="1"/>
    </xf>
    <xf numFmtId="3" fontId="45" fillId="14" borderId="5" xfId="90" applyNumberFormat="1" applyFont="1" applyFill="1" applyBorder="1" applyAlignment="1" applyProtection="1">
      <alignment horizontal="center" vertical="center" wrapText="1"/>
    </xf>
    <xf numFmtId="0" fontId="70" fillId="6" borderId="1" xfId="90" applyFont="1" applyFill="1" applyBorder="1" applyAlignment="1" applyProtection="1">
      <alignment horizontal="center" vertical="center" wrapText="1"/>
      <protection locked="0"/>
    </xf>
    <xf numFmtId="0" fontId="45" fillId="6" borderId="1" xfId="90" applyFont="1" applyFill="1" applyBorder="1" applyAlignment="1" applyProtection="1">
      <alignment horizontal="center" vertical="center" wrapText="1"/>
      <protection locked="0"/>
    </xf>
    <xf numFmtId="3" fontId="45" fillId="13" borderId="5" xfId="90" applyNumberFormat="1" applyFont="1" applyFill="1" applyBorder="1" applyAlignment="1" applyProtection="1">
      <alignment horizontal="center" vertical="center" wrapText="1"/>
    </xf>
    <xf numFmtId="3" fontId="105" fillId="6" borderId="1" xfId="90" applyNumberFormat="1" applyFont="1" applyFill="1" applyBorder="1" applyAlignment="1" applyProtection="1">
      <alignment horizontal="left" vertical="center" wrapText="1"/>
      <protection locked="0"/>
    </xf>
    <xf numFmtId="3" fontId="45" fillId="13" borderId="1" xfId="90" applyNumberFormat="1" applyFont="1" applyFill="1" applyBorder="1" applyAlignment="1" applyProtection="1">
      <alignment horizontal="center" vertical="center" wrapText="1"/>
    </xf>
    <xf numFmtId="3" fontId="45" fillId="14" borderId="1" xfId="90" applyNumberFormat="1" applyFont="1" applyFill="1" applyBorder="1" applyAlignment="1" applyProtection="1">
      <alignment horizontal="center" vertical="center" wrapText="1"/>
    </xf>
    <xf numFmtId="0" fontId="103" fillId="0" borderId="0" xfId="90" applyFont="1"/>
    <xf numFmtId="0" fontId="32" fillId="9" borderId="0" xfId="86" applyFont="1" applyFill="1" applyAlignment="1" applyProtection="1">
      <alignment horizontal="center"/>
      <protection locked="0"/>
    </xf>
    <xf numFmtId="0" fontId="33" fillId="0" borderId="22" xfId="5" applyFont="1" applyFill="1" applyBorder="1" applyAlignment="1">
      <alignment horizontal="left" vertical="center" wrapText="1"/>
    </xf>
    <xf numFmtId="0" fontId="64" fillId="29" borderId="15" xfId="7" applyFont="1" applyFill="1" applyBorder="1" applyAlignment="1">
      <alignment horizontal="center" vertical="center" wrapText="1"/>
    </xf>
    <xf numFmtId="0" fontId="64" fillId="29" borderId="22" xfId="7" applyFont="1" applyFill="1" applyBorder="1" applyAlignment="1">
      <alignment horizontal="center" vertical="center" wrapText="1"/>
    </xf>
    <xf numFmtId="0" fontId="41" fillId="0" borderId="3" xfId="5" applyFont="1" applyFill="1" applyBorder="1" applyAlignment="1">
      <alignment horizontal="left" vertical="center"/>
    </xf>
    <xf numFmtId="0" fontId="42" fillId="10" borderId="0" xfId="86" applyFont="1" applyFill="1" applyAlignment="1" applyProtection="1">
      <alignment horizontal="center" vertical="center" wrapText="1"/>
      <protection locked="0"/>
    </xf>
    <xf numFmtId="0" fontId="42" fillId="10" borderId="22" xfId="86" applyFont="1" applyFill="1" applyBorder="1" applyAlignment="1" applyProtection="1">
      <alignment horizontal="center" vertical="center" wrapText="1"/>
      <protection locked="0"/>
    </xf>
    <xf numFmtId="0" fontId="43" fillId="3" borderId="1" xfId="86" applyFont="1" applyFill="1" applyBorder="1" applyAlignment="1" applyProtection="1">
      <alignment horizontal="center" vertical="center" wrapText="1"/>
    </xf>
    <xf numFmtId="0" fontId="43" fillId="3" borderId="10" xfId="86" applyFont="1" applyFill="1" applyBorder="1" applyAlignment="1" applyProtection="1">
      <alignment horizontal="center" vertical="center" wrapText="1"/>
    </xf>
    <xf numFmtId="0" fontId="43" fillId="3" borderId="1" xfId="86" applyFont="1" applyFill="1" applyBorder="1" applyAlignment="1" applyProtection="1">
      <alignment horizontal="center" vertical="center" wrapText="1"/>
      <protection locked="0"/>
    </xf>
    <xf numFmtId="0" fontId="43" fillId="3" borderId="10" xfId="86" applyFont="1" applyFill="1" applyBorder="1" applyAlignment="1" applyProtection="1">
      <alignment horizontal="center" vertical="center" wrapText="1"/>
      <protection locked="0"/>
    </xf>
    <xf numFmtId="0" fontId="43" fillId="3" borderId="1" xfId="86" applyFont="1" applyFill="1" applyBorder="1" applyAlignment="1" applyProtection="1">
      <alignment horizontal="center" vertical="center"/>
      <protection locked="0"/>
    </xf>
    <xf numFmtId="0" fontId="44" fillId="3" borderId="1" xfId="86" applyFont="1" applyFill="1" applyBorder="1" applyAlignment="1" applyProtection="1">
      <alignment horizontal="center" vertical="center" wrapText="1"/>
    </xf>
    <xf numFmtId="0" fontId="45" fillId="11" borderId="11" xfId="86" applyFont="1" applyFill="1" applyBorder="1" applyAlignment="1" applyProtection="1">
      <alignment horizontal="center" vertical="center" wrapText="1"/>
      <protection locked="0"/>
    </xf>
    <xf numFmtId="0" fontId="45" fillId="11" borderId="3" xfId="86" applyFont="1" applyFill="1" applyBorder="1" applyAlignment="1" applyProtection="1">
      <alignment horizontal="center" vertical="center" wrapText="1"/>
      <protection locked="0"/>
    </xf>
    <xf numFmtId="0" fontId="45" fillId="11" borderId="23" xfId="86" applyFont="1" applyFill="1" applyBorder="1" applyAlignment="1" applyProtection="1">
      <alignment horizontal="center" vertical="center" wrapText="1"/>
      <protection locked="0"/>
    </xf>
    <xf numFmtId="0" fontId="45" fillId="11" borderId="13" xfId="86" applyFont="1" applyFill="1" applyBorder="1" applyAlignment="1" applyProtection="1">
      <alignment horizontal="center" vertical="center" wrapText="1"/>
      <protection locked="0"/>
    </xf>
    <xf numFmtId="0" fontId="45" fillId="11" borderId="0" xfId="86" applyFont="1" applyFill="1" applyBorder="1" applyAlignment="1" applyProtection="1">
      <alignment horizontal="center" vertical="center" wrapText="1"/>
      <protection locked="0"/>
    </xf>
    <xf numFmtId="0" fontId="45" fillId="11" borderId="24" xfId="86" applyFont="1" applyFill="1" applyBorder="1" applyAlignment="1" applyProtection="1">
      <alignment horizontal="center" vertical="center" wrapText="1"/>
      <protection locked="0"/>
    </xf>
    <xf numFmtId="0" fontId="45" fillId="11" borderId="15" xfId="86" applyFont="1" applyFill="1" applyBorder="1" applyAlignment="1" applyProtection="1">
      <alignment horizontal="center" vertical="center" wrapText="1"/>
      <protection locked="0"/>
    </xf>
    <xf numFmtId="0" fontId="45" fillId="11" borderId="22" xfId="86" applyFont="1" applyFill="1" applyBorder="1" applyAlignment="1" applyProtection="1">
      <alignment horizontal="center" vertical="center" wrapText="1"/>
      <protection locked="0"/>
    </xf>
    <xf numFmtId="0" fontId="45" fillId="11" borderId="25" xfId="86" applyFont="1" applyFill="1" applyBorder="1" applyAlignment="1" applyProtection="1">
      <alignment horizontal="center" vertical="center" wrapText="1"/>
      <protection locked="0"/>
    </xf>
    <xf numFmtId="0" fontId="93" fillId="5" borderId="10" xfId="86" applyFont="1" applyFill="1" applyBorder="1" applyAlignment="1" applyProtection="1">
      <alignment horizontal="center" vertical="center" wrapText="1"/>
      <protection locked="0"/>
    </xf>
    <xf numFmtId="0" fontId="93" fillId="5" borderId="14" xfId="86" applyFont="1" applyFill="1" applyBorder="1" applyAlignment="1" applyProtection="1">
      <alignment horizontal="center" vertical="center" wrapText="1"/>
      <protection locked="0"/>
    </xf>
    <xf numFmtId="0" fontId="93" fillId="5" borderId="12" xfId="86" applyFont="1" applyFill="1" applyBorder="1" applyAlignment="1" applyProtection="1">
      <alignment horizontal="center" vertical="center" wrapText="1"/>
      <protection locked="0"/>
    </xf>
    <xf numFmtId="0" fontId="46" fillId="11" borderId="10" xfId="86" applyFont="1" applyFill="1" applyBorder="1" applyAlignment="1" applyProtection="1">
      <alignment horizontal="center" vertical="center" wrapText="1"/>
      <protection locked="0"/>
    </xf>
    <xf numFmtId="0" fontId="46" fillId="11" borderId="14" xfId="86" applyFont="1" applyFill="1" applyBorder="1" applyAlignment="1" applyProtection="1">
      <alignment horizontal="center" vertical="center" wrapText="1"/>
      <protection locked="0"/>
    </xf>
    <xf numFmtId="0" fontId="46" fillId="11" borderId="12" xfId="86" applyFont="1" applyFill="1" applyBorder="1" applyAlignment="1" applyProtection="1">
      <alignment horizontal="center" vertical="center" wrapText="1"/>
      <protection locked="0"/>
    </xf>
    <xf numFmtId="0" fontId="45" fillId="11" borderId="1" xfId="86" applyFont="1" applyFill="1" applyBorder="1" applyAlignment="1" applyProtection="1">
      <alignment horizontal="center" vertical="center" wrapText="1"/>
      <protection locked="0"/>
    </xf>
    <xf numFmtId="0" fontId="48" fillId="0" borderId="16" xfId="86" applyFont="1" applyFill="1" applyBorder="1" applyAlignment="1" applyProtection="1">
      <alignment horizontal="center" vertical="center" wrapText="1"/>
    </xf>
    <xf numFmtId="0" fontId="48" fillId="0" borderId="57" xfId="86" applyFont="1" applyFill="1" applyBorder="1" applyAlignment="1" applyProtection="1">
      <alignment horizontal="center" vertical="center" wrapText="1"/>
    </xf>
    <xf numFmtId="0" fontId="48" fillId="0" borderId="17" xfId="86" applyFont="1" applyFill="1" applyBorder="1" applyAlignment="1" applyProtection="1">
      <alignment horizontal="center" vertical="center" wrapText="1"/>
    </xf>
    <xf numFmtId="0" fontId="48" fillId="0" borderId="12" xfId="86" applyFont="1" applyFill="1" applyBorder="1" applyAlignment="1" applyProtection="1">
      <alignment horizontal="center" vertical="center" wrapText="1"/>
    </xf>
    <xf numFmtId="0" fontId="48" fillId="0" borderId="53" xfId="86" applyFont="1" applyFill="1" applyBorder="1" applyAlignment="1" applyProtection="1">
      <alignment horizontal="center" vertical="center" wrapText="1"/>
    </xf>
    <xf numFmtId="0" fontId="48" fillId="0" borderId="54" xfId="86" applyFont="1" applyFill="1" applyBorder="1" applyAlignment="1" applyProtection="1">
      <alignment horizontal="center" vertical="center" wrapText="1"/>
    </xf>
    <xf numFmtId="0" fontId="48" fillId="0" borderId="15" xfId="86" applyFont="1" applyFill="1" applyBorder="1" applyAlignment="1" applyProtection="1">
      <alignment horizontal="center" vertical="center" wrapText="1"/>
    </xf>
    <xf numFmtId="0" fontId="48" fillId="0" borderId="25" xfId="86" applyFont="1" applyFill="1" applyBorder="1" applyAlignment="1" applyProtection="1">
      <alignment horizontal="center" vertical="center" wrapText="1"/>
    </xf>
    <xf numFmtId="0" fontId="48" fillId="0" borderId="55" xfId="86" applyFont="1" applyFill="1" applyBorder="1" applyAlignment="1" applyProtection="1">
      <alignment horizontal="center" vertical="center" wrapText="1"/>
    </xf>
    <xf numFmtId="0" fontId="48" fillId="0" borderId="1" xfId="86" applyFont="1" applyFill="1" applyBorder="1" applyAlignment="1" applyProtection="1">
      <alignment horizontal="center" vertical="center" wrapText="1"/>
    </xf>
    <xf numFmtId="0" fontId="96" fillId="6" borderId="6" xfId="86" applyFont="1" applyFill="1" applyBorder="1" applyAlignment="1" applyProtection="1">
      <alignment horizontal="center" vertical="center" wrapText="1"/>
      <protection locked="0"/>
    </xf>
    <xf numFmtId="0" fontId="96" fillId="6" borderId="2" xfId="86" applyFont="1" applyFill="1" applyBorder="1" applyAlignment="1" applyProtection="1">
      <alignment horizontal="center" vertical="center" wrapText="1"/>
      <protection locked="0"/>
    </xf>
    <xf numFmtId="0" fontId="96" fillId="6" borderId="9" xfId="86" applyFont="1" applyFill="1" applyBorder="1" applyAlignment="1" applyProtection="1">
      <alignment horizontal="center" vertical="center" wrapText="1"/>
      <protection locked="0"/>
    </xf>
    <xf numFmtId="0" fontId="48" fillId="0" borderId="19" xfId="86" applyFont="1" applyFill="1" applyBorder="1" applyAlignment="1" applyProtection="1">
      <alignment horizontal="center" vertical="center" wrapText="1"/>
    </xf>
    <xf numFmtId="3" fontId="48" fillId="0" borderId="1" xfId="86" applyNumberFormat="1" applyFont="1" applyFill="1" applyBorder="1" applyAlignment="1" applyProtection="1">
      <alignment horizontal="center" vertical="center" wrapText="1"/>
    </xf>
    <xf numFmtId="0" fontId="48" fillId="0" borderId="1" xfId="86" applyFont="1" applyFill="1" applyBorder="1" applyAlignment="1" applyProtection="1">
      <alignment horizontal="center" vertical="top" wrapText="1"/>
    </xf>
    <xf numFmtId="3" fontId="48" fillId="0" borderId="6" xfId="86" applyNumberFormat="1" applyFont="1" applyFill="1" applyBorder="1" applyAlignment="1" applyProtection="1">
      <alignment horizontal="center" vertical="center" wrapText="1"/>
    </xf>
    <xf numFmtId="0" fontId="48" fillId="0" borderId="6" xfId="86" applyFont="1" applyFill="1" applyBorder="1" applyAlignment="1" applyProtection="1">
      <alignment horizontal="center" vertical="center" wrapText="1"/>
    </xf>
    <xf numFmtId="0" fontId="48" fillId="0" borderId="55" xfId="86" applyFont="1" applyFill="1" applyBorder="1" applyAlignment="1" applyProtection="1">
      <alignment horizontal="center" vertical="top" wrapText="1"/>
    </xf>
    <xf numFmtId="0" fontId="48" fillId="0" borderId="56" xfId="86" applyFont="1" applyFill="1" applyBorder="1" applyAlignment="1" applyProtection="1">
      <alignment horizontal="center" vertical="center" wrapText="1"/>
    </xf>
    <xf numFmtId="0" fontId="43" fillId="6" borderId="6" xfId="86" applyFont="1" applyFill="1" applyBorder="1" applyAlignment="1" applyProtection="1">
      <alignment horizontal="center" vertical="center" wrapText="1"/>
      <protection locked="0"/>
    </xf>
    <xf numFmtId="0" fontId="43" fillId="6" borderId="2" xfId="86" applyFont="1" applyFill="1" applyBorder="1" applyAlignment="1" applyProtection="1">
      <alignment horizontal="center" vertical="center" wrapText="1"/>
      <protection locked="0"/>
    </xf>
    <xf numFmtId="0" fontId="43" fillId="6" borderId="9" xfId="86" applyFont="1" applyFill="1" applyBorder="1" applyAlignment="1" applyProtection="1">
      <alignment horizontal="center" vertical="center" wrapText="1"/>
      <protection locked="0"/>
    </xf>
    <xf numFmtId="0" fontId="48" fillId="0" borderId="10" xfId="86" applyFont="1" applyFill="1" applyBorder="1" applyAlignment="1" applyProtection="1">
      <alignment horizontal="center" vertical="center" wrapText="1"/>
    </xf>
    <xf numFmtId="0" fontId="48" fillId="0" borderId="11" xfId="86" applyFont="1" applyFill="1" applyBorder="1" applyAlignment="1" applyProtection="1">
      <alignment horizontal="center" vertical="center" wrapText="1"/>
    </xf>
    <xf numFmtId="0" fontId="48" fillId="0" borderId="23" xfId="86" applyFont="1" applyFill="1" applyBorder="1" applyAlignment="1" applyProtection="1">
      <alignment horizontal="center" vertical="center" wrapText="1"/>
    </xf>
    <xf numFmtId="0" fontId="98" fillId="6" borderId="2" xfId="86" applyFont="1" applyFill="1" applyBorder="1" applyAlignment="1" applyProtection="1">
      <alignment horizontal="center" vertical="center" wrapText="1"/>
      <protection locked="0"/>
    </xf>
    <xf numFmtId="0" fontId="98" fillId="6" borderId="9" xfId="86" applyFont="1" applyFill="1" applyBorder="1" applyAlignment="1" applyProtection="1">
      <alignment horizontal="center" vertical="center" wrapText="1"/>
      <protection locked="0"/>
    </xf>
    <xf numFmtId="0" fontId="98" fillId="6" borderId="6" xfId="86" applyFont="1" applyFill="1" applyBorder="1" applyAlignment="1" applyProtection="1">
      <alignment horizontal="center" vertical="center" wrapText="1"/>
      <protection locked="0"/>
    </xf>
    <xf numFmtId="0" fontId="99" fillId="6" borderId="6" xfId="86" applyFont="1" applyFill="1" applyBorder="1" applyAlignment="1" applyProtection="1">
      <alignment horizontal="center" vertical="center" wrapText="1"/>
      <protection locked="0"/>
    </xf>
    <xf numFmtId="0" fontId="99" fillId="6" borderId="2" xfId="86" applyFont="1" applyFill="1" applyBorder="1" applyAlignment="1" applyProtection="1">
      <alignment horizontal="center" vertical="center" wrapText="1"/>
      <protection locked="0"/>
    </xf>
    <xf numFmtId="0" fontId="99" fillId="6" borderId="9" xfId="86" applyFont="1" applyFill="1" applyBorder="1" applyAlignment="1" applyProtection="1">
      <alignment horizontal="center" vertical="center" wrapText="1"/>
      <protection locked="0"/>
    </xf>
    <xf numFmtId="0" fontId="48" fillId="0" borderId="10" xfId="86" applyFont="1" applyFill="1" applyBorder="1" applyAlignment="1" applyProtection="1">
      <alignment horizontal="center" vertical="top" wrapText="1"/>
    </xf>
    <xf numFmtId="0" fontId="48" fillId="0" borderId="12" xfId="86" applyFont="1" applyFill="1" applyBorder="1" applyAlignment="1" applyProtection="1">
      <alignment horizontal="center" vertical="top" wrapText="1"/>
    </xf>
    <xf numFmtId="3" fontId="48" fillId="0" borderId="15" xfId="86" applyNumberFormat="1" applyFont="1" applyFill="1" applyBorder="1" applyAlignment="1" applyProtection="1">
      <alignment horizontal="center" vertical="center" wrapText="1"/>
    </xf>
    <xf numFmtId="0" fontId="48" fillId="0" borderId="14" xfId="86" applyFont="1" applyFill="1" applyBorder="1" applyAlignment="1" applyProtection="1">
      <alignment horizontal="center" vertical="center" wrapText="1"/>
    </xf>
    <xf numFmtId="0" fontId="48" fillId="0" borderId="14" xfId="86" applyFont="1" applyFill="1" applyBorder="1" applyAlignment="1" applyProtection="1">
      <alignment horizontal="center" vertical="top" wrapText="1"/>
    </xf>
    <xf numFmtId="0" fontId="49" fillId="0" borderId="0" xfId="87" applyFont="1" applyBorder="1" applyAlignment="1">
      <alignment horizontal="center" vertical="center" wrapText="1"/>
    </xf>
    <xf numFmtId="0" fontId="50" fillId="0" borderId="0" xfId="87" applyFont="1" applyBorder="1" applyAlignment="1">
      <alignment horizontal="center"/>
    </xf>
    <xf numFmtId="0" fontId="51" fillId="0" borderId="3" xfId="87" applyFont="1" applyBorder="1" applyAlignment="1">
      <alignment horizontal="center" vertical="center" wrapText="1"/>
    </xf>
    <xf numFmtId="0" fontId="51" fillId="0" borderId="3" xfId="87" applyFont="1" applyBorder="1" applyAlignment="1">
      <alignment horizontal="center" vertical="center"/>
    </xf>
    <xf numFmtId="0" fontId="48" fillId="0" borderId="13" xfId="86" applyFont="1" applyFill="1" applyBorder="1" applyAlignment="1" applyProtection="1">
      <alignment horizontal="center" vertical="center" wrapText="1"/>
    </xf>
    <xf numFmtId="0" fontId="32" fillId="9" borderId="0" xfId="82" applyFont="1" applyFill="1" applyAlignment="1" applyProtection="1">
      <alignment horizontal="center"/>
      <protection locked="0"/>
    </xf>
    <xf numFmtId="0" fontId="69" fillId="0" borderId="22" xfId="5" applyFont="1" applyFill="1" applyBorder="1" applyAlignment="1">
      <alignment horizontal="left" vertical="center" wrapText="1"/>
    </xf>
    <xf numFmtId="0" fontId="51" fillId="0" borderId="3" xfId="5" applyFont="1" applyFill="1" applyBorder="1" applyAlignment="1">
      <alignment horizontal="left" vertical="center"/>
    </xf>
    <xf numFmtId="0" fontId="42" fillId="10" borderId="0" xfId="82" applyFont="1" applyFill="1" applyAlignment="1" applyProtection="1">
      <alignment horizontal="center" vertical="center" wrapText="1"/>
      <protection locked="0"/>
    </xf>
    <xf numFmtId="0" fontId="42" fillId="10" borderId="22" xfId="82" applyFont="1" applyFill="1" applyBorder="1" applyAlignment="1" applyProtection="1">
      <alignment horizontal="center" vertical="center" wrapText="1"/>
      <protection locked="0"/>
    </xf>
    <xf numFmtId="0" fontId="43" fillId="3" borderId="1" xfId="82" applyFont="1" applyFill="1" applyBorder="1" applyAlignment="1" applyProtection="1">
      <alignment horizontal="center" vertical="center" wrapText="1"/>
    </xf>
    <xf numFmtId="0" fontId="43" fillId="3" borderId="10" xfId="82" applyFont="1" applyFill="1" applyBorder="1" applyAlignment="1" applyProtection="1">
      <alignment horizontal="center" vertical="center" wrapText="1"/>
    </xf>
    <xf numFmtId="0" fontId="43" fillId="3" borderId="1" xfId="82" applyFont="1" applyFill="1" applyBorder="1" applyAlignment="1" applyProtection="1">
      <alignment horizontal="center" vertical="center" wrapText="1"/>
      <protection locked="0"/>
    </xf>
    <xf numFmtId="0" fontId="43" fillId="3" borderId="10" xfId="82" applyFont="1" applyFill="1" applyBorder="1" applyAlignment="1" applyProtection="1">
      <alignment horizontal="center" vertical="center" wrapText="1"/>
      <protection locked="0"/>
    </xf>
    <xf numFmtId="0" fontId="43" fillId="3" borderId="1" xfId="82" applyFont="1" applyFill="1" applyBorder="1" applyAlignment="1" applyProtection="1">
      <alignment horizontal="center" vertical="center"/>
      <protection locked="0"/>
    </xf>
    <xf numFmtId="0" fontId="44" fillId="3" borderId="1" xfId="82" applyFont="1" applyFill="1" applyBorder="1" applyAlignment="1" applyProtection="1">
      <alignment horizontal="center" vertical="center" wrapText="1"/>
    </xf>
    <xf numFmtId="0" fontId="45" fillId="11" borderId="11" xfId="82" applyFont="1" applyFill="1" applyBorder="1" applyAlignment="1" applyProtection="1">
      <alignment horizontal="center" vertical="center" wrapText="1"/>
      <protection locked="0"/>
    </xf>
    <xf numFmtId="0" fontId="45" fillId="11" borderId="3" xfId="82" applyFont="1" applyFill="1" applyBorder="1" applyAlignment="1" applyProtection="1">
      <alignment horizontal="center" vertical="center" wrapText="1"/>
      <protection locked="0"/>
    </xf>
    <xf numFmtId="0" fontId="45" fillId="11" borderId="23" xfId="82" applyFont="1" applyFill="1" applyBorder="1" applyAlignment="1" applyProtection="1">
      <alignment horizontal="center" vertical="center" wrapText="1"/>
      <protection locked="0"/>
    </xf>
    <xf numFmtId="0" fontId="45" fillId="11" borderId="13" xfId="82" applyFont="1" applyFill="1" applyBorder="1" applyAlignment="1" applyProtection="1">
      <alignment horizontal="center" vertical="center" wrapText="1"/>
      <protection locked="0"/>
    </xf>
    <xf numFmtId="0" fontId="45" fillId="11" borderId="0" xfId="82" applyFont="1" applyFill="1" applyBorder="1" applyAlignment="1" applyProtection="1">
      <alignment horizontal="center" vertical="center" wrapText="1"/>
      <protection locked="0"/>
    </xf>
    <xf numFmtId="0" fontId="45" fillId="11" borderId="24" xfId="82" applyFont="1" applyFill="1" applyBorder="1" applyAlignment="1" applyProtection="1">
      <alignment horizontal="center" vertical="center" wrapText="1"/>
      <protection locked="0"/>
    </xf>
    <xf numFmtId="0" fontId="45" fillId="11" borderId="15" xfId="82" applyFont="1" applyFill="1" applyBorder="1" applyAlignment="1" applyProtection="1">
      <alignment horizontal="center" vertical="center" wrapText="1"/>
      <protection locked="0"/>
    </xf>
    <xf numFmtId="0" fontId="45" fillId="11" borderId="22" xfId="82" applyFont="1" applyFill="1" applyBorder="1" applyAlignment="1" applyProtection="1">
      <alignment horizontal="center" vertical="center" wrapText="1"/>
      <protection locked="0"/>
    </xf>
    <xf numFmtId="0" fontId="45" fillId="11" borderId="25" xfId="82" applyFont="1" applyFill="1" applyBorder="1" applyAlignment="1" applyProtection="1">
      <alignment horizontal="center" vertical="center" wrapText="1"/>
      <protection locked="0"/>
    </xf>
    <xf numFmtId="0" fontId="70" fillId="5" borderId="10" xfId="82" applyFont="1" applyFill="1" applyBorder="1" applyAlignment="1" applyProtection="1">
      <alignment horizontal="center" vertical="center" wrapText="1"/>
      <protection locked="0"/>
    </xf>
    <xf numFmtId="0" fontId="70" fillId="5" borderId="14" xfId="82" applyFont="1" applyFill="1" applyBorder="1" applyAlignment="1" applyProtection="1">
      <alignment horizontal="center" vertical="center" wrapText="1"/>
      <protection locked="0"/>
    </xf>
    <xf numFmtId="0" fontId="70" fillId="5" borderId="12" xfId="82" applyFont="1" applyFill="1" applyBorder="1" applyAlignment="1" applyProtection="1">
      <alignment horizontal="center" vertical="center" wrapText="1"/>
      <protection locked="0"/>
    </xf>
    <xf numFmtId="0" fontId="46" fillId="11" borderId="10" xfId="82" applyFont="1" applyFill="1" applyBorder="1" applyAlignment="1" applyProtection="1">
      <alignment horizontal="center" vertical="center" wrapText="1"/>
      <protection locked="0"/>
    </xf>
    <xf numFmtId="0" fontId="46" fillId="11" borderId="14" xfId="82" applyFont="1" applyFill="1" applyBorder="1" applyAlignment="1" applyProtection="1">
      <alignment horizontal="center" vertical="center" wrapText="1"/>
      <protection locked="0"/>
    </xf>
    <xf numFmtId="0" fontId="46" fillId="11" borderId="12" xfId="82" applyFont="1" applyFill="1" applyBorder="1" applyAlignment="1" applyProtection="1">
      <alignment horizontal="center" vertical="center" wrapText="1"/>
      <protection locked="0"/>
    </xf>
    <xf numFmtId="0" fontId="45" fillId="11" borderId="1" xfId="82" applyFont="1" applyFill="1" applyBorder="1" applyAlignment="1" applyProtection="1">
      <alignment horizontal="center" vertical="center" wrapText="1"/>
      <protection locked="0"/>
    </xf>
    <xf numFmtId="0" fontId="48" fillId="0" borderId="1" xfId="82" applyFont="1" applyFill="1" applyBorder="1" applyAlignment="1" applyProtection="1">
      <alignment horizontal="center" vertical="center" wrapText="1"/>
    </xf>
    <xf numFmtId="0" fontId="48" fillId="0" borderId="1" xfId="82" applyFont="1" applyFill="1" applyBorder="1" applyAlignment="1" applyProtection="1">
      <alignment horizontal="center" vertical="top" wrapText="1"/>
    </xf>
    <xf numFmtId="3" fontId="48" fillId="0" borderId="1" xfId="82" applyNumberFormat="1" applyFont="1" applyFill="1" applyBorder="1" applyAlignment="1" applyProtection="1">
      <alignment horizontal="center" vertical="center" wrapText="1"/>
    </xf>
    <xf numFmtId="0" fontId="71" fillId="6" borderId="6" xfId="82" applyFont="1" applyFill="1" applyBorder="1" applyAlignment="1" applyProtection="1">
      <alignment horizontal="center" vertical="center" wrapText="1"/>
      <protection locked="0"/>
    </xf>
    <xf numFmtId="0" fontId="71" fillId="6" borderId="2" xfId="82" applyFont="1" applyFill="1" applyBorder="1" applyAlignment="1" applyProtection="1">
      <alignment horizontal="center" vertical="center" wrapText="1"/>
      <protection locked="0"/>
    </xf>
    <xf numFmtId="0" fontId="71" fillId="6" borderId="9" xfId="82" applyFont="1" applyFill="1" applyBorder="1" applyAlignment="1" applyProtection="1">
      <alignment horizontal="center" vertical="center" wrapText="1"/>
      <protection locked="0"/>
    </xf>
    <xf numFmtId="0" fontId="48" fillId="0" borderId="10" xfId="82" applyFont="1" applyFill="1" applyBorder="1" applyAlignment="1" applyProtection="1">
      <alignment horizontal="center" vertical="center" wrapText="1"/>
    </xf>
    <xf numFmtId="0" fontId="48" fillId="0" borderId="12" xfId="82" applyFont="1" applyFill="1" applyBorder="1" applyAlignment="1" applyProtection="1">
      <alignment horizontal="center" vertical="center" wrapText="1"/>
    </xf>
    <xf numFmtId="0" fontId="48" fillId="0" borderId="11" xfId="82" applyFont="1" applyFill="1" applyBorder="1" applyAlignment="1" applyProtection="1">
      <alignment horizontal="center" vertical="center" wrapText="1"/>
    </xf>
    <xf numFmtId="0" fontId="48" fillId="0" borderId="23" xfId="82" applyFont="1" applyFill="1" applyBorder="1" applyAlignment="1" applyProtection="1">
      <alignment horizontal="center" vertical="center" wrapText="1"/>
    </xf>
    <xf numFmtId="0" fontId="48" fillId="0" borderId="15" xfId="82" applyFont="1" applyFill="1" applyBorder="1" applyAlignment="1" applyProtection="1">
      <alignment horizontal="center" vertical="center" wrapText="1"/>
    </xf>
    <xf numFmtId="0" fontId="48" fillId="0" borderId="25" xfId="82" applyFont="1" applyFill="1" applyBorder="1" applyAlignment="1" applyProtection="1">
      <alignment horizontal="center" vertical="center" wrapText="1"/>
    </xf>
    <xf numFmtId="3" fontId="48" fillId="0" borderId="18" xfId="82" applyNumberFormat="1" applyFont="1" applyFill="1" applyBorder="1" applyAlignment="1" applyProtection="1">
      <alignment horizontal="center" vertical="center" wrapText="1"/>
    </xf>
    <xf numFmtId="0" fontId="48" fillId="0" borderId="18" xfId="82" applyFont="1" applyFill="1" applyBorder="1" applyAlignment="1" applyProtection="1">
      <alignment horizontal="center" vertical="center" wrapText="1"/>
    </xf>
    <xf numFmtId="0" fontId="70" fillId="6" borderId="6" xfId="82" applyFont="1" applyFill="1" applyBorder="1" applyAlignment="1" applyProtection="1">
      <alignment horizontal="center" vertical="center" wrapText="1"/>
      <protection locked="0"/>
    </xf>
    <xf numFmtId="0" fontId="70" fillId="6" borderId="2" xfId="82" applyFont="1" applyFill="1" applyBorder="1" applyAlignment="1" applyProtection="1">
      <alignment horizontal="center" vertical="center" wrapText="1"/>
      <protection locked="0"/>
    </xf>
    <xf numFmtId="0" fontId="70" fillId="6" borderId="9" xfId="82" applyFont="1" applyFill="1" applyBorder="1" applyAlignment="1" applyProtection="1">
      <alignment horizontal="center" vertical="center" wrapText="1"/>
      <protection locked="0"/>
    </xf>
    <xf numFmtId="0" fontId="71" fillId="6" borderId="1" xfId="82" applyFont="1" applyFill="1" applyBorder="1" applyAlignment="1" applyProtection="1">
      <alignment horizontal="center" vertical="center" wrapText="1"/>
      <protection locked="0"/>
    </xf>
    <xf numFmtId="0" fontId="48" fillId="0" borderId="10" xfId="82" applyFont="1" applyFill="1" applyBorder="1" applyAlignment="1" applyProtection="1">
      <alignment horizontal="center" vertical="top" wrapText="1"/>
    </xf>
    <xf numFmtId="0" fontId="48" fillId="0" borderId="12" xfId="82" applyFont="1" applyFill="1" applyBorder="1" applyAlignment="1" applyProtection="1">
      <alignment horizontal="center" vertical="top" wrapText="1"/>
    </xf>
    <xf numFmtId="0" fontId="48" fillId="0" borderId="20" xfId="82" applyFont="1" applyFill="1" applyBorder="1" applyAlignment="1" applyProtection="1">
      <alignment horizontal="center" vertical="center" wrapText="1"/>
    </xf>
    <xf numFmtId="3" fontId="48" fillId="0" borderId="21" xfId="82" applyNumberFormat="1" applyFont="1" applyFill="1" applyBorder="1" applyAlignment="1" applyProtection="1">
      <alignment horizontal="center" vertical="center" wrapText="1"/>
    </xf>
    <xf numFmtId="3" fontId="48" fillId="0" borderId="20" xfId="82" applyNumberFormat="1" applyFont="1" applyFill="1" applyBorder="1" applyAlignment="1" applyProtection="1">
      <alignment horizontal="center" vertical="center" wrapText="1"/>
    </xf>
    <xf numFmtId="0" fontId="70" fillId="6" borderId="1" xfId="82" applyFont="1" applyFill="1" applyBorder="1" applyAlignment="1" applyProtection="1">
      <alignment horizontal="center" vertical="center" wrapText="1"/>
      <protection locked="0"/>
    </xf>
    <xf numFmtId="0" fontId="49" fillId="0" borderId="0" xfId="83" applyFont="1" applyBorder="1" applyAlignment="1">
      <alignment horizontal="center" vertical="center" wrapText="1"/>
    </xf>
    <xf numFmtId="0" fontId="50" fillId="0" borderId="0" xfId="83" applyFont="1" applyBorder="1" applyAlignment="1">
      <alignment horizontal="center"/>
    </xf>
    <xf numFmtId="0" fontId="51" fillId="0" borderId="3" xfId="83" applyFont="1" applyBorder="1" applyAlignment="1">
      <alignment horizontal="center" vertical="center" wrapText="1"/>
    </xf>
    <xf numFmtId="0" fontId="51" fillId="0" borderId="3" xfId="83" applyFont="1" applyBorder="1" applyAlignment="1">
      <alignment horizontal="center" vertical="center"/>
    </xf>
    <xf numFmtId="0" fontId="32" fillId="9" borderId="0" xfId="84" applyFont="1" applyFill="1" applyAlignment="1" applyProtection="1">
      <alignment horizontal="center"/>
      <protection locked="0"/>
    </xf>
    <xf numFmtId="0" fontId="92" fillId="0" borderId="3" xfId="5" applyFont="1" applyFill="1" applyBorder="1" applyAlignment="1">
      <alignment horizontal="left" vertical="center"/>
    </xf>
    <xf numFmtId="0" fontId="42" fillId="10" borderId="0" xfId="84" applyFont="1" applyFill="1" applyAlignment="1" applyProtection="1">
      <alignment horizontal="center" vertical="center" wrapText="1"/>
      <protection locked="0"/>
    </xf>
    <xf numFmtId="0" fontId="42" fillId="10" borderId="22" xfId="84" applyFont="1" applyFill="1" applyBorder="1" applyAlignment="1" applyProtection="1">
      <alignment horizontal="center" vertical="center" wrapText="1"/>
      <protection locked="0"/>
    </xf>
    <xf numFmtId="0" fontId="43" fillId="3" borderId="1" xfId="84" applyFont="1" applyFill="1" applyBorder="1" applyAlignment="1" applyProtection="1">
      <alignment horizontal="center" vertical="center" wrapText="1"/>
    </xf>
    <xf numFmtId="0" fontId="43" fillId="3" borderId="10" xfId="84" applyFont="1" applyFill="1" applyBorder="1" applyAlignment="1" applyProtection="1">
      <alignment horizontal="center" vertical="center" wrapText="1"/>
    </xf>
    <xf numFmtId="0" fontId="43" fillId="3" borderId="1" xfId="84" applyFont="1" applyFill="1" applyBorder="1" applyAlignment="1" applyProtection="1">
      <alignment horizontal="center" vertical="center" wrapText="1"/>
      <protection locked="0"/>
    </xf>
    <xf numFmtId="0" fontId="43" fillId="3" borderId="10" xfId="84" applyFont="1" applyFill="1" applyBorder="1" applyAlignment="1" applyProtection="1">
      <alignment horizontal="center" vertical="center" wrapText="1"/>
      <protection locked="0"/>
    </xf>
    <xf numFmtId="0" fontId="43" fillId="3" borderId="1" xfId="84" applyFont="1" applyFill="1" applyBorder="1" applyAlignment="1" applyProtection="1">
      <alignment horizontal="center" vertical="center"/>
      <protection locked="0"/>
    </xf>
    <xf numFmtId="0" fontId="44" fillId="3" borderId="1" xfId="84" applyFont="1" applyFill="1" applyBorder="1" applyAlignment="1" applyProtection="1">
      <alignment horizontal="center" vertical="center" wrapText="1"/>
    </xf>
    <xf numFmtId="0" fontId="45" fillId="11" borderId="11" xfId="84" applyFont="1" applyFill="1" applyBorder="1" applyAlignment="1" applyProtection="1">
      <alignment horizontal="center" vertical="center" wrapText="1"/>
      <protection locked="0"/>
    </xf>
    <xf numFmtId="0" fontId="45" fillId="11" borderId="3" xfId="84" applyFont="1" applyFill="1" applyBorder="1" applyAlignment="1" applyProtection="1">
      <alignment horizontal="center" vertical="center" wrapText="1"/>
      <protection locked="0"/>
    </xf>
    <xf numFmtId="0" fontId="45" fillId="11" borderId="23" xfId="84" applyFont="1" applyFill="1" applyBorder="1" applyAlignment="1" applyProtection="1">
      <alignment horizontal="center" vertical="center" wrapText="1"/>
      <protection locked="0"/>
    </xf>
    <xf numFmtId="0" fontId="45" fillId="11" borderId="13" xfId="84" applyFont="1" applyFill="1" applyBorder="1" applyAlignment="1" applyProtection="1">
      <alignment horizontal="center" vertical="center" wrapText="1"/>
      <protection locked="0"/>
    </xf>
    <xf numFmtId="0" fontId="45" fillId="11" borderId="0" xfId="84" applyFont="1" applyFill="1" applyBorder="1" applyAlignment="1" applyProtection="1">
      <alignment horizontal="center" vertical="center" wrapText="1"/>
      <protection locked="0"/>
    </xf>
    <xf numFmtId="0" fontId="45" fillId="11" borderId="24" xfId="84" applyFont="1" applyFill="1" applyBorder="1" applyAlignment="1" applyProtection="1">
      <alignment horizontal="center" vertical="center" wrapText="1"/>
      <protection locked="0"/>
    </xf>
    <xf numFmtId="0" fontId="45" fillId="11" borderId="15" xfId="84" applyFont="1" applyFill="1" applyBorder="1" applyAlignment="1" applyProtection="1">
      <alignment horizontal="center" vertical="center" wrapText="1"/>
      <protection locked="0"/>
    </xf>
    <xf numFmtId="0" fontId="45" fillId="11" borderId="22" xfId="84" applyFont="1" applyFill="1" applyBorder="1" applyAlignment="1" applyProtection="1">
      <alignment horizontal="center" vertical="center" wrapText="1"/>
      <protection locked="0"/>
    </xf>
    <xf numFmtId="0" fontId="45" fillId="11" borderId="25" xfId="84" applyFont="1" applyFill="1" applyBorder="1" applyAlignment="1" applyProtection="1">
      <alignment horizontal="center" vertical="center" wrapText="1"/>
      <protection locked="0"/>
    </xf>
    <xf numFmtId="0" fontId="70" fillId="5" borderId="10" xfId="84" applyFont="1" applyFill="1" applyBorder="1" applyAlignment="1" applyProtection="1">
      <alignment horizontal="center" vertical="center" wrapText="1"/>
      <protection locked="0"/>
    </xf>
    <xf numFmtId="0" fontId="70" fillId="5" borderId="14" xfId="84" applyFont="1" applyFill="1" applyBorder="1" applyAlignment="1" applyProtection="1">
      <alignment horizontal="center" vertical="center" wrapText="1"/>
      <protection locked="0"/>
    </xf>
    <xf numFmtId="0" fontId="70" fillId="5" borderId="12" xfId="84" applyFont="1" applyFill="1" applyBorder="1" applyAlignment="1" applyProtection="1">
      <alignment horizontal="center" vertical="center" wrapText="1"/>
      <protection locked="0"/>
    </xf>
    <xf numFmtId="0" fontId="46" fillId="11" borderId="10" xfId="84" applyFont="1" applyFill="1" applyBorder="1" applyAlignment="1" applyProtection="1">
      <alignment horizontal="center" vertical="center" wrapText="1"/>
      <protection locked="0"/>
    </xf>
    <xf numFmtId="0" fontId="46" fillId="11" borderId="14" xfId="84" applyFont="1" applyFill="1" applyBorder="1" applyAlignment="1" applyProtection="1">
      <alignment horizontal="center" vertical="center" wrapText="1"/>
      <protection locked="0"/>
    </xf>
    <xf numFmtId="0" fontId="46" fillId="11" borderId="12" xfId="84" applyFont="1" applyFill="1" applyBorder="1" applyAlignment="1" applyProtection="1">
      <alignment horizontal="center" vertical="center" wrapText="1"/>
      <protection locked="0"/>
    </xf>
    <xf numFmtId="0" fontId="45" fillId="11" borderId="1" xfId="84" applyFont="1" applyFill="1" applyBorder="1" applyAlignment="1" applyProtection="1">
      <alignment horizontal="center" vertical="center" wrapText="1"/>
      <protection locked="0"/>
    </xf>
    <xf numFmtId="0" fontId="48" fillId="0" borderId="1" xfId="84" applyFont="1" applyFill="1" applyBorder="1" applyAlignment="1" applyProtection="1">
      <alignment horizontal="center" vertical="center" wrapText="1"/>
    </xf>
    <xf numFmtId="3" fontId="48" fillId="0" borderId="1" xfId="84" applyNumberFormat="1" applyFont="1" applyFill="1" applyBorder="1" applyAlignment="1" applyProtection="1">
      <alignment horizontal="center" vertical="center" wrapText="1"/>
    </xf>
    <xf numFmtId="0" fontId="48" fillId="5" borderId="1" xfId="84" applyFont="1" applyFill="1" applyBorder="1" applyAlignment="1" applyProtection="1">
      <alignment horizontal="center" vertical="center" wrapText="1"/>
    </xf>
    <xf numFmtId="0" fontId="45" fillId="6" borderId="1" xfId="84" applyFont="1" applyFill="1" applyBorder="1" applyAlignment="1" applyProtection="1">
      <alignment horizontal="center" vertical="center" wrapText="1"/>
      <protection locked="0"/>
    </xf>
    <xf numFmtId="0" fontId="48" fillId="0" borderId="10" xfId="84" applyFont="1" applyFill="1" applyBorder="1" applyAlignment="1" applyProtection="1">
      <alignment horizontal="center" vertical="center" wrapText="1"/>
    </xf>
    <xf numFmtId="0" fontId="48" fillId="0" borderId="12" xfId="84" applyFont="1" applyFill="1" applyBorder="1" applyAlignment="1" applyProtection="1">
      <alignment horizontal="center" vertical="center" wrapText="1"/>
    </xf>
    <xf numFmtId="0" fontId="48" fillId="0" borderId="11" xfId="84" applyFont="1" applyFill="1" applyBorder="1" applyAlignment="1" applyProtection="1">
      <alignment horizontal="center" vertical="center" wrapText="1"/>
    </xf>
    <xf numFmtId="0" fontId="48" fillId="0" borderId="23" xfId="84" applyFont="1" applyFill="1" applyBorder="1" applyAlignment="1" applyProtection="1">
      <alignment horizontal="center" vertical="center" wrapText="1"/>
    </xf>
    <xf numFmtId="0" fontId="48" fillId="0" borderId="15" xfId="84" applyFont="1" applyFill="1" applyBorder="1" applyAlignment="1" applyProtection="1">
      <alignment horizontal="center" vertical="center" wrapText="1"/>
    </xf>
    <xf numFmtId="0" fontId="48" fillId="0" borderId="25" xfId="84" applyFont="1" applyFill="1" applyBorder="1" applyAlignment="1" applyProtection="1">
      <alignment horizontal="center" vertical="center" wrapText="1"/>
    </xf>
    <xf numFmtId="0" fontId="48" fillId="2" borderId="1" xfId="84" applyFont="1" applyFill="1" applyBorder="1" applyAlignment="1" applyProtection="1">
      <alignment horizontal="center" vertical="center" wrapText="1"/>
    </xf>
    <xf numFmtId="3" fontId="48" fillId="0" borderId="18" xfId="84" applyNumberFormat="1" applyFont="1" applyFill="1" applyBorder="1" applyAlignment="1" applyProtection="1">
      <alignment horizontal="center" vertical="center" wrapText="1"/>
    </xf>
    <xf numFmtId="0" fontId="48" fillId="0" borderId="18" xfId="84" applyFont="1" applyFill="1" applyBorder="1" applyAlignment="1" applyProtection="1">
      <alignment horizontal="center" vertical="center" wrapText="1"/>
    </xf>
    <xf numFmtId="0" fontId="45" fillId="6" borderId="6" xfId="84" applyFont="1" applyFill="1" applyBorder="1" applyAlignment="1" applyProtection="1">
      <alignment horizontal="center" vertical="center" wrapText="1"/>
      <protection locked="0"/>
    </xf>
    <xf numFmtId="0" fontId="45" fillId="6" borderId="2" xfId="84" applyFont="1" applyFill="1" applyBorder="1" applyAlignment="1" applyProtection="1">
      <alignment horizontal="center" vertical="center" wrapText="1"/>
      <protection locked="0"/>
    </xf>
    <xf numFmtId="0" fontId="45" fillId="6" borderId="9" xfId="84" applyFont="1" applyFill="1" applyBorder="1" applyAlignment="1" applyProtection="1">
      <alignment horizontal="center" vertical="center" wrapText="1"/>
      <protection locked="0"/>
    </xf>
    <xf numFmtId="0" fontId="71" fillId="6" borderId="1" xfId="84" applyFont="1" applyFill="1" applyBorder="1" applyAlignment="1" applyProtection="1">
      <alignment horizontal="center" vertical="center" wrapText="1"/>
      <protection locked="0"/>
    </xf>
    <xf numFmtId="3" fontId="48" fillId="0" borderId="12" xfId="84" applyNumberFormat="1" applyFont="1" applyFill="1" applyBorder="1" applyAlignment="1" applyProtection="1">
      <alignment horizontal="center" vertical="center" wrapText="1"/>
    </xf>
    <xf numFmtId="0" fontId="48" fillId="5" borderId="12" xfId="84" applyFont="1" applyFill="1" applyBorder="1" applyAlignment="1" applyProtection="1">
      <alignment horizontal="center" vertical="center" wrapText="1"/>
    </xf>
    <xf numFmtId="3" fontId="48" fillId="0" borderId="20" xfId="84" applyNumberFormat="1" applyFont="1" applyFill="1" applyBorder="1" applyAlignment="1" applyProtection="1">
      <alignment horizontal="center" vertical="center" wrapText="1"/>
    </xf>
    <xf numFmtId="3" fontId="48" fillId="0" borderId="10" xfId="84" applyNumberFormat="1" applyFont="1" applyFill="1" applyBorder="1" applyAlignment="1" applyProtection="1">
      <alignment horizontal="center" vertical="center" wrapText="1"/>
    </xf>
    <xf numFmtId="0" fontId="48" fillId="2" borderId="10" xfId="84" applyFont="1" applyFill="1" applyBorder="1" applyAlignment="1" applyProtection="1">
      <alignment horizontal="center" vertical="center" wrapText="1"/>
    </xf>
    <xf numFmtId="0" fontId="48" fillId="2" borderId="12" xfId="84" applyFont="1" applyFill="1" applyBorder="1" applyAlignment="1" applyProtection="1">
      <alignment horizontal="center" vertical="center" wrapText="1"/>
    </xf>
    <xf numFmtId="3" fontId="48" fillId="0" borderId="21" xfId="84" applyNumberFormat="1" applyFont="1" applyFill="1" applyBorder="1" applyAlignment="1" applyProtection="1">
      <alignment horizontal="center" vertical="center" wrapText="1"/>
    </xf>
    <xf numFmtId="0" fontId="49" fillId="0" borderId="0" xfId="85" applyFont="1" applyBorder="1" applyAlignment="1">
      <alignment horizontal="center" vertical="center" wrapText="1"/>
    </xf>
    <xf numFmtId="0" fontId="50" fillId="0" borderId="0" xfId="85" applyFont="1" applyBorder="1" applyAlignment="1">
      <alignment horizontal="center"/>
    </xf>
    <xf numFmtId="0" fontId="51" fillId="0" borderId="3" xfId="85" applyFont="1" applyBorder="1" applyAlignment="1">
      <alignment horizontal="center" vertical="center" wrapText="1"/>
    </xf>
    <xf numFmtId="0" fontId="51" fillId="0" borderId="3" xfId="85" applyFont="1" applyBorder="1" applyAlignment="1">
      <alignment horizontal="center" vertical="center"/>
    </xf>
    <xf numFmtId="0" fontId="71" fillId="6" borderId="6" xfId="84" applyFont="1" applyFill="1" applyBorder="1" applyAlignment="1" applyProtection="1">
      <alignment horizontal="center" vertical="center" wrapText="1"/>
      <protection locked="0"/>
    </xf>
    <xf numFmtId="0" fontId="71" fillId="6" borderId="2" xfId="84" applyFont="1" applyFill="1" applyBorder="1" applyAlignment="1" applyProtection="1">
      <alignment horizontal="center" vertical="center" wrapText="1"/>
      <protection locked="0"/>
    </xf>
    <xf numFmtId="0" fontId="71" fillId="6" borderId="9" xfId="84" applyFont="1" applyFill="1" applyBorder="1" applyAlignment="1" applyProtection="1">
      <alignment horizontal="center" vertical="center" wrapText="1"/>
      <protection locked="0"/>
    </xf>
    <xf numFmtId="0" fontId="32" fillId="9" borderId="0" xfId="88" applyFont="1" applyFill="1" applyAlignment="1" applyProtection="1">
      <alignment horizontal="center"/>
      <protection locked="0"/>
    </xf>
    <xf numFmtId="0" fontId="100" fillId="0" borderId="22" xfId="5" applyFont="1" applyFill="1" applyBorder="1" applyAlignment="1">
      <alignment horizontal="left" vertical="center" wrapText="1"/>
    </xf>
    <xf numFmtId="0" fontId="42" fillId="10" borderId="0" xfId="88" applyFont="1" applyFill="1" applyAlignment="1" applyProtection="1">
      <alignment horizontal="center" vertical="center" wrapText="1"/>
      <protection locked="0"/>
    </xf>
    <xf numFmtId="0" fontId="42" fillId="10" borderId="22" xfId="88" applyFont="1" applyFill="1" applyBorder="1" applyAlignment="1" applyProtection="1">
      <alignment horizontal="center" vertical="center" wrapText="1"/>
      <protection locked="0"/>
    </xf>
    <xf numFmtId="0" fontId="43" fillId="3" borderId="1" xfId="88" applyFont="1" applyFill="1" applyBorder="1" applyAlignment="1" applyProtection="1">
      <alignment horizontal="center" vertical="center" wrapText="1"/>
    </xf>
    <xf numFmtId="0" fontId="43" fillId="3" borderId="10" xfId="88" applyFont="1" applyFill="1" applyBorder="1" applyAlignment="1" applyProtection="1">
      <alignment horizontal="center" vertical="center" wrapText="1"/>
    </xf>
    <xf numFmtId="0" fontId="43" fillId="3" borderId="1" xfId="88" applyFont="1" applyFill="1" applyBorder="1" applyAlignment="1" applyProtection="1">
      <alignment horizontal="center" vertical="center" wrapText="1"/>
      <protection locked="0"/>
    </xf>
    <xf numFmtId="0" fontId="43" fillId="3" borderId="10" xfId="88" applyFont="1" applyFill="1" applyBorder="1" applyAlignment="1" applyProtection="1">
      <alignment horizontal="center" vertical="center" wrapText="1"/>
      <protection locked="0"/>
    </xf>
    <xf numFmtId="0" fontId="43" fillId="3" borderId="1" xfId="88" applyFont="1" applyFill="1" applyBorder="1" applyAlignment="1" applyProtection="1">
      <alignment horizontal="center" vertical="center"/>
      <protection locked="0"/>
    </xf>
    <xf numFmtId="0" fontId="44" fillId="3" borderId="1" xfId="88" applyFont="1" applyFill="1" applyBorder="1" applyAlignment="1" applyProtection="1">
      <alignment horizontal="center" vertical="center" wrapText="1"/>
    </xf>
    <xf numFmtId="0" fontId="45" fillId="11" borderId="11" xfId="88" applyFont="1" applyFill="1" applyBorder="1" applyAlignment="1" applyProtection="1">
      <alignment horizontal="center" vertical="center" wrapText="1"/>
      <protection locked="0"/>
    </xf>
    <xf numFmtId="0" fontId="45" fillId="11" borderId="3" xfId="88" applyFont="1" applyFill="1" applyBorder="1" applyAlignment="1" applyProtection="1">
      <alignment horizontal="center" vertical="center" wrapText="1"/>
      <protection locked="0"/>
    </xf>
    <xf numFmtId="0" fontId="45" fillId="11" borderId="23" xfId="88" applyFont="1" applyFill="1" applyBorder="1" applyAlignment="1" applyProtection="1">
      <alignment horizontal="center" vertical="center" wrapText="1"/>
      <protection locked="0"/>
    </xf>
    <xf numFmtId="0" fontId="45" fillId="11" borderId="13" xfId="88" applyFont="1" applyFill="1" applyBorder="1" applyAlignment="1" applyProtection="1">
      <alignment horizontal="center" vertical="center" wrapText="1"/>
      <protection locked="0"/>
    </xf>
    <xf numFmtId="0" fontId="45" fillId="11" borderId="0" xfId="88" applyFont="1" applyFill="1" applyBorder="1" applyAlignment="1" applyProtection="1">
      <alignment horizontal="center" vertical="center" wrapText="1"/>
      <protection locked="0"/>
    </xf>
    <xf numFmtId="0" fontId="45" fillId="11" borderId="24" xfId="88" applyFont="1" applyFill="1" applyBorder="1" applyAlignment="1" applyProtection="1">
      <alignment horizontal="center" vertical="center" wrapText="1"/>
      <protection locked="0"/>
    </xf>
    <xf numFmtId="0" fontId="45" fillId="11" borderId="15" xfId="88" applyFont="1" applyFill="1" applyBorder="1" applyAlignment="1" applyProtection="1">
      <alignment horizontal="center" vertical="center" wrapText="1"/>
      <protection locked="0"/>
    </xf>
    <xf numFmtId="0" fontId="45" fillId="11" borderId="22" xfId="88" applyFont="1" applyFill="1" applyBorder="1" applyAlignment="1" applyProtection="1">
      <alignment horizontal="center" vertical="center" wrapText="1"/>
      <protection locked="0"/>
    </xf>
    <xf numFmtId="0" fontId="45" fillId="11" borderId="25" xfId="88" applyFont="1" applyFill="1" applyBorder="1" applyAlignment="1" applyProtection="1">
      <alignment horizontal="center" vertical="center" wrapText="1"/>
      <protection locked="0"/>
    </xf>
    <xf numFmtId="0" fontId="45" fillId="5" borderId="10" xfId="88" applyFont="1" applyFill="1" applyBorder="1" applyAlignment="1" applyProtection="1">
      <alignment horizontal="center" vertical="center" wrapText="1"/>
      <protection locked="0"/>
    </xf>
    <xf numFmtId="0" fontId="45" fillId="5" borderId="14" xfId="88" applyFont="1" applyFill="1" applyBorder="1" applyAlignment="1" applyProtection="1">
      <alignment horizontal="center" vertical="center" wrapText="1"/>
      <protection locked="0"/>
    </xf>
    <xf numFmtId="0" fontId="45" fillId="5" borderId="12" xfId="88" applyFont="1" applyFill="1" applyBorder="1" applyAlignment="1" applyProtection="1">
      <alignment horizontal="center" vertical="center" wrapText="1"/>
      <protection locked="0"/>
    </xf>
    <xf numFmtId="0" fontId="60" fillId="11" borderId="10" xfId="88" applyFont="1" applyFill="1" applyBorder="1" applyAlignment="1" applyProtection="1">
      <alignment horizontal="center" vertical="center" wrapText="1"/>
      <protection locked="0"/>
    </xf>
    <xf numFmtId="0" fontId="60" fillId="11" borderId="14" xfId="88" applyFont="1" applyFill="1" applyBorder="1" applyAlignment="1" applyProtection="1">
      <alignment horizontal="center" vertical="center" wrapText="1"/>
      <protection locked="0"/>
    </xf>
    <xf numFmtId="0" fontId="60" fillId="11" borderId="12" xfId="88" applyFont="1" applyFill="1" applyBorder="1" applyAlignment="1" applyProtection="1">
      <alignment horizontal="center" vertical="center" wrapText="1"/>
      <protection locked="0"/>
    </xf>
    <xf numFmtId="0" fontId="45" fillId="11" borderId="1" xfId="88" applyFont="1" applyFill="1" applyBorder="1" applyAlignment="1" applyProtection="1">
      <alignment horizontal="center" vertical="center" wrapText="1"/>
      <protection locked="0"/>
    </xf>
    <xf numFmtId="0" fontId="42" fillId="11" borderId="11" xfId="88" applyFont="1" applyFill="1" applyBorder="1" applyAlignment="1" applyProtection="1">
      <alignment horizontal="center" vertical="center" wrapText="1"/>
      <protection locked="0"/>
    </xf>
    <xf numFmtId="0" fontId="42" fillId="11" borderId="3" xfId="88" applyFont="1" applyFill="1" applyBorder="1" applyAlignment="1" applyProtection="1">
      <alignment horizontal="center" vertical="center" wrapText="1"/>
      <protection locked="0"/>
    </xf>
    <xf numFmtId="0" fontId="42" fillId="11" borderId="23" xfId="88" applyFont="1" applyFill="1" applyBorder="1" applyAlignment="1" applyProtection="1">
      <alignment horizontal="center" vertical="center" wrapText="1"/>
      <protection locked="0"/>
    </xf>
    <xf numFmtId="0" fontId="42" fillId="11" borderId="13" xfId="88" applyFont="1" applyFill="1" applyBorder="1" applyAlignment="1" applyProtection="1">
      <alignment horizontal="center" vertical="center" wrapText="1"/>
      <protection locked="0"/>
    </xf>
    <xf numFmtId="0" fontId="42" fillId="11" borderId="0" xfId="88" applyFont="1" applyFill="1" applyBorder="1" applyAlignment="1" applyProtection="1">
      <alignment horizontal="center" vertical="center" wrapText="1"/>
      <protection locked="0"/>
    </xf>
    <xf numFmtId="0" fontId="42" fillId="11" borderId="24" xfId="88" applyFont="1" applyFill="1" applyBorder="1" applyAlignment="1" applyProtection="1">
      <alignment horizontal="center" vertical="center" wrapText="1"/>
      <protection locked="0"/>
    </xf>
    <xf numFmtId="0" fontId="42" fillId="11" borderId="15" xfId="88" applyFont="1" applyFill="1" applyBorder="1" applyAlignment="1" applyProtection="1">
      <alignment horizontal="center" vertical="center" wrapText="1"/>
      <protection locked="0"/>
    </xf>
    <xf numFmtId="0" fontId="42" fillId="11" borderId="22" xfId="88" applyFont="1" applyFill="1" applyBorder="1" applyAlignment="1" applyProtection="1">
      <alignment horizontal="center" vertical="center" wrapText="1"/>
      <protection locked="0"/>
    </xf>
    <xf numFmtId="0" fontId="42" fillId="11" borderId="25" xfId="88" applyFont="1" applyFill="1" applyBorder="1" applyAlignment="1" applyProtection="1">
      <alignment horizontal="center" vertical="center" wrapText="1"/>
      <protection locked="0"/>
    </xf>
    <xf numFmtId="0" fontId="73" fillId="0" borderId="1" xfId="88" applyFont="1" applyFill="1" applyBorder="1" applyAlignment="1" applyProtection="1">
      <alignment horizontal="center" vertical="center" wrapText="1"/>
    </xf>
    <xf numFmtId="3" fontId="73" fillId="0" borderId="1" xfId="88" applyNumberFormat="1" applyFont="1" applyFill="1" applyBorder="1" applyAlignment="1" applyProtection="1">
      <alignment horizontal="center" vertical="center" wrapText="1"/>
    </xf>
    <xf numFmtId="0" fontId="71" fillId="6" borderId="1" xfId="88" applyFont="1" applyFill="1" applyBorder="1" applyAlignment="1" applyProtection="1">
      <alignment horizontal="center" vertical="center" wrapText="1"/>
      <protection locked="0"/>
    </xf>
    <xf numFmtId="0" fontId="73" fillId="0" borderId="10" xfId="88" applyFont="1" applyFill="1" applyBorder="1" applyAlignment="1" applyProtection="1">
      <alignment horizontal="center" vertical="center" wrapText="1"/>
    </xf>
    <xf numFmtId="0" fontId="73" fillId="0" borderId="12" xfId="88" applyFont="1" applyFill="1" applyBorder="1" applyAlignment="1" applyProtection="1">
      <alignment horizontal="center" vertical="center" wrapText="1"/>
    </xf>
    <xf numFmtId="0" fontId="73" fillId="0" borderId="11" xfId="88" applyFont="1" applyFill="1" applyBorder="1" applyAlignment="1" applyProtection="1">
      <alignment horizontal="center" vertical="center" wrapText="1"/>
    </xf>
    <xf numFmtId="0" fontId="73" fillId="0" borderId="23" xfId="88" applyFont="1" applyFill="1" applyBorder="1" applyAlignment="1" applyProtection="1">
      <alignment horizontal="center" vertical="center" wrapText="1"/>
    </xf>
    <xf numFmtId="0" fontId="73" fillId="0" borderId="15" xfId="88" applyFont="1" applyFill="1" applyBorder="1" applyAlignment="1" applyProtection="1">
      <alignment horizontal="center" vertical="center" wrapText="1"/>
    </xf>
    <xf numFmtId="0" fontId="73" fillId="0" borderId="25" xfId="88" applyFont="1" applyFill="1" applyBorder="1" applyAlignment="1" applyProtection="1">
      <alignment horizontal="center" vertical="center" wrapText="1"/>
    </xf>
    <xf numFmtId="3" fontId="73" fillId="0" borderId="18" xfId="88" applyNumberFormat="1" applyFont="1" applyFill="1" applyBorder="1" applyAlignment="1" applyProtection="1">
      <alignment horizontal="center" vertical="center" wrapText="1"/>
    </xf>
    <xf numFmtId="0" fontId="73" fillId="0" borderId="18" xfId="88" applyFont="1" applyFill="1" applyBorder="1" applyAlignment="1" applyProtection="1">
      <alignment horizontal="center" vertical="center" wrapText="1"/>
    </xf>
    <xf numFmtId="0" fontId="73" fillId="0" borderId="21" xfId="88" applyFont="1" applyFill="1" applyBorder="1" applyAlignment="1" applyProtection="1">
      <alignment horizontal="center" vertical="center" wrapText="1"/>
    </xf>
    <xf numFmtId="0" fontId="73" fillId="0" borderId="20" xfId="88" applyFont="1" applyFill="1" applyBorder="1" applyAlignment="1" applyProtection="1">
      <alignment horizontal="center" vertical="center" wrapText="1"/>
    </xf>
    <xf numFmtId="3" fontId="73" fillId="0" borderId="10" xfId="88" applyNumberFormat="1" applyFont="1" applyFill="1" applyBorder="1" applyAlignment="1" applyProtection="1">
      <alignment horizontal="center" vertical="center" wrapText="1"/>
    </xf>
    <xf numFmtId="3" fontId="73" fillId="0" borderId="12" xfId="88" applyNumberFormat="1" applyFont="1" applyFill="1" applyBorder="1" applyAlignment="1" applyProtection="1">
      <alignment horizontal="center" vertical="center" wrapText="1"/>
    </xf>
    <xf numFmtId="0" fontId="73" fillId="0" borderId="10" xfId="88" applyFont="1" applyFill="1" applyBorder="1" applyAlignment="1" applyProtection="1">
      <alignment horizontal="center" vertical="top" wrapText="1"/>
    </xf>
    <xf numFmtId="0" fontId="73" fillId="0" borderId="12" xfId="88" applyFont="1" applyFill="1" applyBorder="1" applyAlignment="1" applyProtection="1">
      <alignment horizontal="center" vertical="top" wrapText="1"/>
    </xf>
    <xf numFmtId="3" fontId="73" fillId="0" borderId="21" xfId="88" applyNumberFormat="1" applyFont="1" applyFill="1" applyBorder="1" applyAlignment="1" applyProtection="1">
      <alignment horizontal="center" vertical="center" wrapText="1"/>
    </xf>
    <xf numFmtId="3" fontId="73" fillId="0" borderId="20" xfId="88" applyNumberFormat="1" applyFont="1" applyFill="1" applyBorder="1" applyAlignment="1" applyProtection="1">
      <alignment horizontal="center" vertical="center" wrapText="1"/>
    </xf>
    <xf numFmtId="0" fontId="42" fillId="6" borderId="1" xfId="88" applyFont="1" applyFill="1" applyBorder="1" applyAlignment="1" applyProtection="1">
      <alignment horizontal="center" vertical="center" wrapText="1"/>
      <protection locked="0"/>
    </xf>
    <xf numFmtId="0" fontId="49" fillId="0" borderId="0" xfId="89" applyFont="1" applyBorder="1" applyAlignment="1">
      <alignment horizontal="center" vertical="center" wrapText="1"/>
    </xf>
    <xf numFmtId="0" fontId="50" fillId="0" borderId="0" xfId="89" applyFont="1" applyBorder="1" applyAlignment="1">
      <alignment horizontal="center"/>
    </xf>
    <xf numFmtId="0" fontId="102" fillId="0" borderId="3" xfId="89" applyFont="1" applyBorder="1" applyAlignment="1">
      <alignment horizontal="center" vertical="center" wrapText="1"/>
    </xf>
    <xf numFmtId="0" fontId="102" fillId="0" borderId="3" xfId="89" applyFont="1" applyBorder="1" applyAlignment="1">
      <alignment horizontal="center" vertical="center"/>
    </xf>
    <xf numFmtId="0" fontId="104" fillId="0" borderId="3" xfId="89" applyFont="1" applyBorder="1" applyAlignment="1">
      <alignment horizontal="center" vertical="center" wrapText="1"/>
    </xf>
    <xf numFmtId="0" fontId="104" fillId="0" borderId="3" xfId="89" applyFont="1" applyBorder="1" applyAlignment="1">
      <alignment horizontal="center" vertical="center"/>
    </xf>
    <xf numFmtId="0" fontId="72" fillId="6" borderId="1" xfId="90" applyFont="1" applyFill="1" applyBorder="1" applyAlignment="1" applyProtection="1">
      <alignment horizontal="center" vertical="center" wrapText="1"/>
      <protection locked="0"/>
    </xf>
    <xf numFmtId="0" fontId="99" fillId="6" borderId="1" xfId="90" applyFont="1" applyFill="1" applyBorder="1" applyAlignment="1" applyProtection="1">
      <alignment horizontal="center" vertical="center" wrapText="1"/>
      <protection locked="0"/>
    </xf>
    <xf numFmtId="0" fontId="48" fillId="6" borderId="1" xfId="90" applyFont="1" applyFill="1" applyBorder="1" applyAlignment="1" applyProtection="1">
      <alignment horizontal="center" vertical="center" wrapText="1"/>
      <protection locked="0"/>
    </xf>
    <xf numFmtId="0" fontId="48" fillId="0" borderId="0" xfId="90" applyFont="1" applyAlignment="1" applyProtection="1">
      <alignment horizontal="center"/>
      <protection locked="0"/>
    </xf>
    <xf numFmtId="0" fontId="48" fillId="0" borderId="22" xfId="90" applyFont="1" applyBorder="1" applyAlignment="1" applyProtection="1">
      <alignment horizontal="center"/>
      <protection locked="0"/>
    </xf>
    <xf numFmtId="0" fontId="51" fillId="0" borderId="3" xfId="91" applyFont="1" applyBorder="1" applyAlignment="1">
      <alignment horizontal="center" vertical="center" wrapText="1"/>
    </xf>
    <xf numFmtId="0" fontId="51" fillId="0" borderId="3" xfId="91" applyFont="1" applyBorder="1" applyAlignment="1">
      <alignment horizontal="center" vertical="center"/>
    </xf>
    <xf numFmtId="0" fontId="48" fillId="0" borderId="10" xfId="90" applyFont="1" applyFill="1" applyBorder="1" applyAlignment="1" applyProtection="1">
      <alignment horizontal="center" vertical="center" wrapText="1"/>
    </xf>
    <xf numFmtId="0" fontId="48" fillId="0" borderId="12" xfId="90" applyFont="1" applyFill="1" applyBorder="1" applyAlignment="1" applyProtection="1">
      <alignment horizontal="center" vertical="center" wrapText="1"/>
    </xf>
    <xf numFmtId="0" fontId="73" fillId="0" borderId="10" xfId="90" applyFont="1" applyFill="1" applyBorder="1" applyAlignment="1" applyProtection="1">
      <alignment horizontal="center" vertical="center" wrapText="1"/>
    </xf>
    <xf numFmtId="0" fontId="73" fillId="0" borderId="12" xfId="90" applyFont="1" applyFill="1" applyBorder="1" applyAlignment="1" applyProtection="1">
      <alignment horizontal="center" vertical="center" wrapText="1"/>
    </xf>
    <xf numFmtId="0" fontId="73" fillId="0" borderId="11" xfId="90" applyFont="1" applyFill="1" applyBorder="1" applyAlignment="1" applyProtection="1">
      <alignment horizontal="center" vertical="center" wrapText="1"/>
    </xf>
    <xf numFmtId="0" fontId="73" fillId="0" borderId="23" xfId="90" applyFont="1" applyFill="1" applyBorder="1" applyAlignment="1" applyProtection="1">
      <alignment horizontal="center" vertical="center" wrapText="1"/>
    </xf>
    <xf numFmtId="0" fontId="73" fillId="0" borderId="15" xfId="90" applyFont="1" applyFill="1" applyBorder="1" applyAlignment="1" applyProtection="1">
      <alignment horizontal="center" vertical="center" wrapText="1"/>
    </xf>
    <xf numFmtId="0" fontId="73" fillId="0" borderId="25" xfId="90" applyFont="1" applyFill="1" applyBorder="1" applyAlignment="1" applyProtection="1">
      <alignment horizontal="center" vertical="center" wrapText="1"/>
    </xf>
    <xf numFmtId="0" fontId="73" fillId="0" borderId="10" xfId="90" applyFont="1" applyFill="1" applyBorder="1" applyAlignment="1" applyProtection="1">
      <alignment horizontal="center" vertical="top" wrapText="1"/>
    </xf>
    <xf numFmtId="0" fontId="73" fillId="0" borderId="12" xfId="90" applyFont="1" applyFill="1" applyBorder="1" applyAlignment="1" applyProtection="1">
      <alignment horizontal="center" vertical="top" wrapText="1"/>
    </xf>
    <xf numFmtId="0" fontId="73" fillId="0" borderId="1" xfId="90" applyFont="1" applyFill="1" applyBorder="1" applyAlignment="1" applyProtection="1">
      <alignment horizontal="center" vertical="center" wrapText="1"/>
    </xf>
    <xf numFmtId="0" fontId="73" fillId="7" borderId="6" xfId="90" applyFont="1" applyFill="1" applyBorder="1" applyAlignment="1" applyProtection="1">
      <alignment horizontal="center" vertical="center" wrapText="1"/>
    </xf>
    <xf numFmtId="0" fontId="73" fillId="7" borderId="11" xfId="90" applyFont="1" applyFill="1" applyBorder="1" applyAlignment="1" applyProtection="1">
      <alignment horizontal="center" vertical="center" wrapText="1"/>
    </xf>
    <xf numFmtId="0" fontId="73" fillId="7" borderId="15" xfId="90" applyFont="1" applyFill="1" applyBorder="1" applyAlignment="1" applyProtection="1">
      <alignment horizontal="center" vertical="center" wrapText="1"/>
    </xf>
    <xf numFmtId="0" fontId="48" fillId="0" borderId="1" xfId="90" applyFont="1" applyFill="1" applyBorder="1" applyAlignment="1" applyProtection="1">
      <alignment horizontal="center" vertical="center" wrapText="1"/>
    </xf>
    <xf numFmtId="0" fontId="73" fillId="6" borderId="6" xfId="90" applyFont="1" applyFill="1" applyBorder="1" applyAlignment="1" applyProtection="1">
      <alignment horizontal="center" vertical="center" wrapText="1"/>
    </xf>
    <xf numFmtId="3" fontId="73" fillId="2" borderId="11" xfId="90" applyNumberFormat="1" applyFont="1" applyFill="1" applyBorder="1" applyAlignment="1" applyProtection="1">
      <alignment horizontal="center" vertical="center" wrapText="1"/>
    </xf>
    <xf numFmtId="3" fontId="73" fillId="2" borderId="15" xfId="90" applyNumberFormat="1" applyFont="1" applyFill="1" applyBorder="1" applyAlignment="1" applyProtection="1">
      <alignment horizontal="center" vertical="center" wrapText="1"/>
    </xf>
    <xf numFmtId="0" fontId="48" fillId="6" borderId="5" xfId="90" applyFont="1" applyFill="1" applyBorder="1" applyAlignment="1" applyProtection="1">
      <alignment horizontal="center" vertical="center" wrapText="1"/>
      <protection locked="0"/>
    </xf>
    <xf numFmtId="0" fontId="48" fillId="6" borderId="2" xfId="90" applyFont="1" applyFill="1" applyBorder="1" applyAlignment="1" applyProtection="1">
      <alignment horizontal="center" vertical="center" wrapText="1"/>
      <protection locked="0"/>
    </xf>
    <xf numFmtId="0" fontId="48" fillId="6" borderId="9" xfId="90" applyFont="1" applyFill="1" applyBorder="1" applyAlignment="1" applyProtection="1">
      <alignment horizontal="center" vertical="center" wrapText="1"/>
      <protection locked="0"/>
    </xf>
    <xf numFmtId="0" fontId="72" fillId="6" borderId="5" xfId="90" applyFont="1" applyFill="1" applyBorder="1" applyAlignment="1" applyProtection="1">
      <alignment horizontal="center" vertical="center" wrapText="1"/>
      <protection locked="0"/>
    </xf>
    <xf numFmtId="0" fontId="72" fillId="6" borderId="2" xfId="90" applyFont="1" applyFill="1" applyBorder="1" applyAlignment="1" applyProtection="1">
      <alignment horizontal="center" vertical="center" wrapText="1"/>
      <protection locked="0"/>
    </xf>
    <xf numFmtId="0" fontId="72" fillId="6" borderId="9" xfId="90" applyFont="1" applyFill="1" applyBorder="1" applyAlignment="1" applyProtection="1">
      <alignment horizontal="center" vertical="center" wrapText="1"/>
      <protection locked="0"/>
    </xf>
    <xf numFmtId="0" fontId="99" fillId="6" borderId="5" xfId="90" applyFont="1" applyFill="1" applyBorder="1" applyAlignment="1" applyProtection="1">
      <alignment horizontal="center" vertical="center" wrapText="1"/>
      <protection locked="0"/>
    </xf>
    <xf numFmtId="0" fontId="99" fillId="6" borderId="2" xfId="90" applyFont="1" applyFill="1" applyBorder="1" applyAlignment="1" applyProtection="1">
      <alignment horizontal="center" vertical="center" wrapText="1"/>
      <protection locked="0"/>
    </xf>
    <xf numFmtId="0" fontId="99" fillId="6" borderId="9" xfId="90" applyFont="1" applyFill="1" applyBorder="1" applyAlignment="1" applyProtection="1">
      <alignment horizontal="center" vertical="center" wrapText="1"/>
      <protection locked="0"/>
    </xf>
    <xf numFmtId="3" fontId="73" fillId="5" borderId="11" xfId="90" applyNumberFormat="1" applyFont="1" applyFill="1" applyBorder="1" applyAlignment="1" applyProtection="1">
      <alignment horizontal="center" vertical="center" wrapText="1"/>
    </xf>
    <xf numFmtId="3" fontId="73" fillId="5" borderId="15" xfId="90" applyNumberFormat="1" applyFont="1" applyFill="1" applyBorder="1" applyAlignment="1" applyProtection="1">
      <alignment horizontal="center" vertical="center" wrapText="1"/>
    </xf>
    <xf numFmtId="3" fontId="73" fillId="5" borderId="6" xfId="90" applyNumberFormat="1" applyFont="1" applyFill="1" applyBorder="1" applyAlignment="1" applyProtection="1">
      <alignment horizontal="center" vertical="center" wrapText="1"/>
    </xf>
    <xf numFmtId="0" fontId="73" fillId="7" borderId="21" xfId="90" applyFont="1" applyFill="1" applyBorder="1" applyAlignment="1" applyProtection="1">
      <alignment horizontal="center" vertical="center" wrapText="1"/>
    </xf>
    <xf numFmtId="0" fontId="73" fillId="7" borderId="20" xfId="90" applyFont="1" applyFill="1" applyBorder="1" applyAlignment="1" applyProtection="1">
      <alignment horizontal="center" vertical="center" wrapText="1"/>
    </xf>
    <xf numFmtId="0" fontId="73" fillId="6" borderId="21" xfId="90" applyFont="1" applyFill="1" applyBorder="1" applyAlignment="1" applyProtection="1">
      <alignment horizontal="center" vertical="center" wrapText="1"/>
    </xf>
    <xf numFmtId="0" fontId="73" fillId="6" borderId="20" xfId="90" applyFont="1" applyFill="1" applyBorder="1" applyAlignment="1" applyProtection="1">
      <alignment horizontal="center" vertical="center" wrapText="1"/>
    </xf>
    <xf numFmtId="0" fontId="73" fillId="0" borderId="1" xfId="90" applyFont="1" applyFill="1" applyBorder="1" applyAlignment="1" applyProtection="1">
      <alignment horizontal="center" vertical="top" wrapText="1"/>
    </xf>
    <xf numFmtId="0" fontId="73" fillId="2" borderId="21" xfId="90" applyFont="1" applyFill="1" applyBorder="1" applyAlignment="1" applyProtection="1">
      <alignment horizontal="center" vertical="center" wrapText="1"/>
    </xf>
    <xf numFmtId="0" fontId="73" fillId="2" borderId="20" xfId="90" applyFont="1" applyFill="1" applyBorder="1" applyAlignment="1" applyProtection="1">
      <alignment horizontal="center" vertical="center" wrapText="1"/>
    </xf>
    <xf numFmtId="0" fontId="73" fillId="0" borderId="14" xfId="90" applyFont="1" applyFill="1" applyBorder="1" applyAlignment="1" applyProtection="1">
      <alignment horizontal="center" vertical="center" wrapText="1"/>
    </xf>
    <xf numFmtId="0" fontId="72" fillId="32" borderId="5" xfId="90" applyFont="1" applyFill="1" applyBorder="1" applyAlignment="1" applyProtection="1">
      <alignment horizontal="center" vertical="center" wrapText="1"/>
      <protection locked="0"/>
    </xf>
    <xf numFmtId="0" fontId="72" fillId="32" borderId="2" xfId="90" applyFont="1" applyFill="1" applyBorder="1" applyAlignment="1" applyProtection="1">
      <alignment horizontal="center" vertical="center" wrapText="1"/>
      <protection locked="0"/>
    </xf>
    <xf numFmtId="0" fontId="72" fillId="32" borderId="9" xfId="90" applyFont="1" applyFill="1" applyBorder="1" applyAlignment="1" applyProtection="1">
      <alignment horizontal="center" vertical="center" wrapText="1"/>
      <protection locked="0"/>
    </xf>
    <xf numFmtId="0" fontId="48" fillId="32" borderId="5" xfId="90" applyFont="1" applyFill="1" applyBorder="1" applyAlignment="1" applyProtection="1">
      <alignment horizontal="center" vertical="center" wrapText="1"/>
      <protection locked="0"/>
    </xf>
    <xf numFmtId="0" fontId="48" fillId="32" borderId="2" xfId="90" applyFont="1" applyFill="1" applyBorder="1" applyAlignment="1" applyProtection="1">
      <alignment horizontal="center" vertical="center" wrapText="1"/>
      <protection locked="0"/>
    </xf>
    <xf numFmtId="0" fontId="48" fillId="32" borderId="9" xfId="90" applyFont="1" applyFill="1" applyBorder="1" applyAlignment="1" applyProtection="1">
      <alignment horizontal="center" vertical="center" wrapText="1"/>
      <protection locked="0"/>
    </xf>
    <xf numFmtId="0" fontId="99" fillId="32" borderId="5" xfId="90" applyFont="1" applyFill="1" applyBorder="1" applyAlignment="1" applyProtection="1">
      <alignment horizontal="center" vertical="center" wrapText="1"/>
      <protection locked="0"/>
    </xf>
    <xf numFmtId="0" fontId="99" fillId="32" borderId="2" xfId="90" applyFont="1" applyFill="1" applyBorder="1" applyAlignment="1" applyProtection="1">
      <alignment horizontal="center" vertical="center" wrapText="1"/>
      <protection locked="0"/>
    </xf>
    <xf numFmtId="0" fontId="99" fillId="32" borderId="9" xfId="90" applyFont="1" applyFill="1" applyBorder="1" applyAlignment="1" applyProtection="1">
      <alignment horizontal="center" vertical="center" wrapText="1"/>
      <protection locked="0"/>
    </xf>
    <xf numFmtId="0" fontId="43" fillId="6" borderId="5" xfId="90" applyFont="1" applyFill="1" applyBorder="1" applyAlignment="1" applyProtection="1">
      <alignment horizontal="center" vertical="center" wrapText="1"/>
      <protection locked="0"/>
    </xf>
    <xf numFmtId="0" fontId="43" fillId="6" borderId="2" xfId="90" applyFont="1" applyFill="1" applyBorder="1" applyAlignment="1" applyProtection="1">
      <alignment horizontal="center" vertical="center" wrapText="1"/>
      <protection locked="0"/>
    </xf>
    <xf numFmtId="0" fontId="43" fillId="6" borderId="9" xfId="90" applyFont="1" applyFill="1" applyBorder="1" applyAlignment="1" applyProtection="1">
      <alignment horizontal="center" vertical="center" wrapText="1"/>
      <protection locked="0"/>
    </xf>
    <xf numFmtId="0" fontId="73" fillId="5" borderId="21" xfId="90" applyFont="1" applyFill="1" applyBorder="1" applyAlignment="1" applyProtection="1">
      <alignment horizontal="center" vertical="center" wrapText="1"/>
    </xf>
    <xf numFmtId="0" fontId="73" fillId="5" borderId="20" xfId="90" applyFont="1" applyFill="1" applyBorder="1" applyAlignment="1" applyProtection="1">
      <alignment horizontal="center" vertical="center" wrapText="1"/>
    </xf>
    <xf numFmtId="0" fontId="70" fillId="6" borderId="5" xfId="90" applyFont="1" applyFill="1" applyBorder="1" applyAlignment="1" applyProtection="1">
      <alignment horizontal="center" vertical="center" wrapText="1"/>
      <protection locked="0"/>
    </xf>
    <xf numFmtId="0" fontId="70" fillId="6" borderId="2" xfId="90" applyFont="1" applyFill="1" applyBorder="1" applyAlignment="1" applyProtection="1">
      <alignment horizontal="center" vertical="center" wrapText="1"/>
      <protection locked="0"/>
    </xf>
    <xf numFmtId="0" fontId="70" fillId="6" borderId="9" xfId="90" applyFont="1" applyFill="1" applyBorder="1" applyAlignment="1" applyProtection="1">
      <alignment horizontal="center" vertical="center" wrapText="1"/>
      <protection locked="0"/>
    </xf>
    <xf numFmtId="0" fontId="45" fillId="6" borderId="5" xfId="90" applyFont="1" applyFill="1" applyBorder="1" applyAlignment="1" applyProtection="1">
      <alignment horizontal="center" vertical="center" wrapText="1"/>
      <protection locked="0"/>
    </xf>
    <xf numFmtId="0" fontId="45" fillId="6" borderId="2" xfId="90" applyFont="1" applyFill="1" applyBorder="1" applyAlignment="1" applyProtection="1">
      <alignment horizontal="center" vertical="center" wrapText="1"/>
      <protection locked="0"/>
    </xf>
    <xf numFmtId="0" fontId="45" fillId="6" borderId="9" xfId="90" applyFont="1" applyFill="1" applyBorder="1" applyAlignment="1" applyProtection="1">
      <alignment horizontal="center" vertical="center" wrapText="1"/>
      <protection locked="0"/>
    </xf>
    <xf numFmtId="0" fontId="48" fillId="9" borderId="1" xfId="90" applyFont="1" applyFill="1" applyBorder="1" applyAlignment="1" applyProtection="1">
      <alignment horizontal="center" vertical="center" wrapText="1"/>
    </xf>
    <xf numFmtId="0" fontId="73" fillId="9" borderId="1" xfId="90" applyFont="1" applyFill="1" applyBorder="1" applyAlignment="1" applyProtection="1">
      <alignment horizontal="center" vertical="center" wrapText="1"/>
    </xf>
    <xf numFmtId="0" fontId="73" fillId="9" borderId="1" xfId="90" applyFont="1" applyFill="1" applyBorder="1" applyAlignment="1" applyProtection="1">
      <alignment horizontal="center" vertical="top" wrapText="1"/>
    </xf>
    <xf numFmtId="3" fontId="73" fillId="9" borderId="1" xfId="90" applyNumberFormat="1" applyFont="1" applyFill="1" applyBorder="1" applyAlignment="1" applyProtection="1">
      <alignment horizontal="center" vertical="center" wrapText="1"/>
    </xf>
    <xf numFmtId="0" fontId="73" fillId="9" borderId="10" xfId="90" applyFont="1" applyFill="1" applyBorder="1" applyAlignment="1" applyProtection="1">
      <alignment horizontal="center" vertical="top" wrapText="1"/>
    </xf>
    <xf numFmtId="0" fontId="73" fillId="9" borderId="12" xfId="90" applyFont="1" applyFill="1" applyBorder="1" applyAlignment="1" applyProtection="1">
      <alignment horizontal="center" vertical="top" wrapText="1"/>
    </xf>
    <xf numFmtId="3" fontId="73" fillId="2" borderId="21" xfId="90" applyNumberFormat="1" applyFont="1" applyFill="1" applyBorder="1" applyAlignment="1" applyProtection="1">
      <alignment horizontal="center" vertical="center" wrapText="1"/>
    </xf>
    <xf numFmtId="0" fontId="48" fillId="9" borderId="10" xfId="90" applyFont="1" applyFill="1" applyBorder="1" applyAlignment="1" applyProtection="1">
      <alignment horizontal="center" vertical="center" wrapText="1"/>
    </xf>
    <xf numFmtId="0" fontId="48" fillId="9" borderId="12" xfId="90" applyFont="1" applyFill="1" applyBorder="1" applyAlignment="1" applyProtection="1">
      <alignment horizontal="center" vertical="center" wrapText="1"/>
    </xf>
    <xf numFmtId="0" fontId="73" fillId="9" borderId="10" xfId="90" applyFont="1" applyFill="1" applyBorder="1" applyAlignment="1" applyProtection="1">
      <alignment horizontal="center" vertical="center" wrapText="1"/>
    </xf>
    <xf numFmtId="0" fontId="73" fillId="9" borderId="12" xfId="90" applyFont="1" applyFill="1" applyBorder="1" applyAlignment="1" applyProtection="1">
      <alignment horizontal="center" vertical="center" wrapText="1"/>
    </xf>
    <xf numFmtId="0" fontId="73" fillId="9" borderId="11" xfId="90" applyFont="1" applyFill="1" applyBorder="1" applyAlignment="1" applyProtection="1">
      <alignment horizontal="center" vertical="center" wrapText="1"/>
    </xf>
    <xf numFmtId="0" fontId="73" fillId="9" borderId="23" xfId="90" applyFont="1" applyFill="1" applyBorder="1" applyAlignment="1" applyProtection="1">
      <alignment horizontal="center" vertical="center" wrapText="1"/>
    </xf>
    <xf numFmtId="0" fontId="73" fillId="9" borderId="15" xfId="90" applyFont="1" applyFill="1" applyBorder="1" applyAlignment="1" applyProtection="1">
      <alignment horizontal="center" vertical="center" wrapText="1"/>
    </xf>
    <xf numFmtId="0" fontId="73" fillId="9" borderId="25" xfId="90" applyFont="1" applyFill="1" applyBorder="1" applyAlignment="1" applyProtection="1">
      <alignment horizontal="center" vertical="center" wrapText="1"/>
    </xf>
    <xf numFmtId="0" fontId="70" fillId="32" borderId="5" xfId="90" applyFont="1" applyFill="1" applyBorder="1" applyAlignment="1" applyProtection="1">
      <alignment horizontal="center" vertical="center" wrapText="1"/>
      <protection locked="0"/>
    </xf>
    <xf numFmtId="0" fontId="70" fillId="32" borderId="2" xfId="90" applyFont="1" applyFill="1" applyBorder="1" applyAlignment="1" applyProtection="1">
      <alignment horizontal="center" vertical="center" wrapText="1"/>
      <protection locked="0"/>
    </xf>
    <xf numFmtId="0" fontId="70" fillId="32" borderId="9" xfId="90" applyFont="1" applyFill="1" applyBorder="1" applyAlignment="1" applyProtection="1">
      <alignment horizontal="center" vertical="center" wrapText="1"/>
      <protection locked="0"/>
    </xf>
    <xf numFmtId="0" fontId="45" fillId="32" borderId="5" xfId="90" applyFont="1" applyFill="1" applyBorder="1" applyAlignment="1" applyProtection="1">
      <alignment horizontal="center" vertical="center" wrapText="1"/>
      <protection locked="0"/>
    </xf>
    <xf numFmtId="0" fontId="45" fillId="32" borderId="2" xfId="90" applyFont="1" applyFill="1" applyBorder="1" applyAlignment="1" applyProtection="1">
      <alignment horizontal="center" vertical="center" wrapText="1"/>
      <protection locked="0"/>
    </xf>
    <xf numFmtId="0" fontId="45" fillId="32" borderId="9" xfId="90" applyFont="1" applyFill="1" applyBorder="1" applyAlignment="1" applyProtection="1">
      <alignment horizontal="center" vertical="center" wrapText="1"/>
      <protection locked="0"/>
    </xf>
    <xf numFmtId="0" fontId="73" fillId="6" borderId="15" xfId="90" applyFont="1" applyFill="1" applyBorder="1" applyAlignment="1" applyProtection="1">
      <alignment horizontal="center" vertical="center" wrapText="1"/>
    </xf>
    <xf numFmtId="0" fontId="43" fillId="32" borderId="5" xfId="90" applyFont="1" applyFill="1" applyBorder="1" applyAlignment="1" applyProtection="1">
      <alignment horizontal="center" vertical="center" wrapText="1"/>
      <protection locked="0"/>
    </xf>
    <xf numFmtId="0" fontId="43" fillId="32" borderId="2" xfId="90" applyFont="1" applyFill="1" applyBorder="1" applyAlignment="1" applyProtection="1">
      <alignment horizontal="center" vertical="center" wrapText="1"/>
      <protection locked="0"/>
    </xf>
    <xf numFmtId="0" fontId="43" fillId="32" borderId="9" xfId="90" applyFont="1" applyFill="1" applyBorder="1" applyAlignment="1" applyProtection="1">
      <alignment horizontal="center" vertical="center" wrapText="1"/>
      <protection locked="0"/>
    </xf>
    <xf numFmtId="0" fontId="73" fillId="5" borderId="6" xfId="90" applyFont="1" applyFill="1" applyBorder="1" applyAlignment="1" applyProtection="1">
      <alignment horizontal="center" vertical="center" wrapText="1"/>
    </xf>
    <xf numFmtId="3" fontId="73" fillId="0" borderId="1" xfId="90" applyNumberFormat="1" applyFont="1" applyFill="1" applyBorder="1" applyAlignment="1" applyProtection="1">
      <alignment horizontal="center" vertical="center" wrapText="1"/>
    </xf>
    <xf numFmtId="0" fontId="45" fillId="11" borderId="11" xfId="90" applyFont="1" applyFill="1" applyBorder="1" applyAlignment="1" applyProtection="1">
      <alignment horizontal="center" vertical="center" wrapText="1"/>
      <protection locked="0"/>
    </xf>
    <xf numFmtId="0" fontId="45" fillId="11" borderId="3" xfId="90" applyFont="1" applyFill="1" applyBorder="1" applyAlignment="1" applyProtection="1">
      <alignment horizontal="center" vertical="center" wrapText="1"/>
      <protection locked="0"/>
    </xf>
    <xf numFmtId="0" fontId="45" fillId="11" borderId="23" xfId="90" applyFont="1" applyFill="1" applyBorder="1" applyAlignment="1" applyProtection="1">
      <alignment horizontal="center" vertical="center" wrapText="1"/>
      <protection locked="0"/>
    </xf>
    <xf numFmtId="0" fontId="45" fillId="11" borderId="13" xfId="90" applyFont="1" applyFill="1" applyBorder="1" applyAlignment="1" applyProtection="1">
      <alignment horizontal="center" vertical="center" wrapText="1"/>
      <protection locked="0"/>
    </xf>
    <xf numFmtId="0" fontId="45" fillId="11" borderId="0" xfId="90" applyFont="1" applyFill="1" applyBorder="1" applyAlignment="1" applyProtection="1">
      <alignment horizontal="center" vertical="center" wrapText="1"/>
      <protection locked="0"/>
    </xf>
    <xf numFmtId="0" fontId="45" fillId="11" borderId="24" xfId="90" applyFont="1" applyFill="1" applyBorder="1" applyAlignment="1" applyProtection="1">
      <alignment horizontal="center" vertical="center" wrapText="1"/>
      <protection locked="0"/>
    </xf>
    <xf numFmtId="0" fontId="45" fillId="11" borderId="15" xfId="90" applyFont="1" applyFill="1" applyBorder="1" applyAlignment="1" applyProtection="1">
      <alignment horizontal="center" vertical="center" wrapText="1"/>
      <protection locked="0"/>
    </xf>
    <xf numFmtId="0" fontId="45" fillId="11" borderId="22" xfId="90" applyFont="1" applyFill="1" applyBorder="1" applyAlignment="1" applyProtection="1">
      <alignment horizontal="center" vertical="center" wrapText="1"/>
      <protection locked="0"/>
    </xf>
    <xf numFmtId="0" fontId="45" fillId="11" borderId="25" xfId="90" applyFont="1" applyFill="1" applyBorder="1" applyAlignment="1" applyProtection="1">
      <alignment horizontal="center" vertical="center" wrapText="1"/>
      <protection locked="0"/>
    </xf>
    <xf numFmtId="0" fontId="43" fillId="3" borderId="1" xfId="90" applyFont="1" applyFill="1" applyBorder="1" applyAlignment="1" applyProtection="1">
      <alignment horizontal="center" vertical="center" wrapText="1"/>
      <protection locked="0"/>
    </xf>
    <xf numFmtId="0" fontId="32" fillId="9" borderId="0" xfId="90" applyFont="1" applyFill="1" applyAlignment="1" applyProtection="1">
      <alignment horizontal="center"/>
      <protection locked="0"/>
    </xf>
    <xf numFmtId="0" fontId="65" fillId="0" borderId="22" xfId="5" applyFont="1" applyFill="1" applyBorder="1" applyAlignment="1">
      <alignment horizontal="left" vertical="center" wrapText="1"/>
    </xf>
    <xf numFmtId="0" fontId="42" fillId="10" borderId="0" xfId="90" applyFont="1" applyFill="1" applyAlignment="1" applyProtection="1">
      <alignment horizontal="center" vertical="center" wrapText="1"/>
      <protection locked="0"/>
    </xf>
    <xf numFmtId="0" fontId="42" fillId="10" borderId="22" xfId="90" applyFont="1" applyFill="1" applyBorder="1" applyAlignment="1" applyProtection="1">
      <alignment horizontal="center" vertical="center" wrapText="1"/>
      <protection locked="0"/>
    </xf>
    <xf numFmtId="0" fontId="43" fillId="3" borderId="1" xfId="90" applyFont="1" applyFill="1" applyBorder="1" applyAlignment="1" applyProtection="1">
      <alignment horizontal="center" vertical="center" wrapText="1"/>
    </xf>
    <xf numFmtId="0" fontId="43" fillId="3" borderId="1" xfId="90" applyFont="1" applyFill="1" applyBorder="1" applyAlignment="1" applyProtection="1">
      <alignment horizontal="center" vertical="center"/>
      <protection locked="0"/>
    </xf>
    <xf numFmtId="0" fontId="44" fillId="3" borderId="1" xfId="90" applyFont="1" applyFill="1" applyBorder="1" applyAlignment="1" applyProtection="1">
      <alignment horizontal="center" vertical="center" wrapText="1"/>
    </xf>
    <xf numFmtId="0" fontId="70" fillId="5" borderId="10" xfId="90" applyFont="1" applyFill="1" applyBorder="1" applyAlignment="1" applyProtection="1">
      <alignment horizontal="center" vertical="center" wrapText="1"/>
      <protection locked="0"/>
    </xf>
    <xf numFmtId="0" fontId="70" fillId="5" borderId="14" xfId="90" applyFont="1" applyFill="1" applyBorder="1" applyAlignment="1" applyProtection="1">
      <alignment horizontal="center" vertical="center" wrapText="1"/>
      <protection locked="0"/>
    </xf>
    <xf numFmtId="0" fontId="70" fillId="5" borderId="12" xfId="90" applyFont="1" applyFill="1" applyBorder="1" applyAlignment="1" applyProtection="1">
      <alignment horizontal="center" vertical="center" wrapText="1"/>
      <protection locked="0"/>
    </xf>
    <xf numFmtId="0" fontId="46" fillId="11" borderId="10" xfId="90" applyFont="1" applyFill="1" applyBorder="1" applyAlignment="1" applyProtection="1">
      <alignment horizontal="center" vertical="center" wrapText="1"/>
      <protection locked="0"/>
    </xf>
    <xf numFmtId="0" fontId="46" fillId="11" borderId="14" xfId="90" applyFont="1" applyFill="1" applyBorder="1" applyAlignment="1" applyProtection="1">
      <alignment horizontal="center" vertical="center" wrapText="1"/>
      <protection locked="0"/>
    </xf>
    <xf numFmtId="0" fontId="46" fillId="11" borderId="12" xfId="90" applyFont="1" applyFill="1" applyBorder="1" applyAlignment="1" applyProtection="1">
      <alignment horizontal="center" vertical="center" wrapText="1"/>
      <protection locked="0"/>
    </xf>
    <xf numFmtId="0" fontId="45" fillId="11" borderId="1" xfId="90" applyFont="1" applyFill="1" applyBorder="1" applyAlignment="1" applyProtection="1">
      <alignment horizontal="center" vertical="center" wrapText="1"/>
      <protection locked="0"/>
    </xf>
    <xf numFmtId="0" fontId="45" fillId="11" borderId="10" xfId="90" applyFont="1" applyFill="1" applyBorder="1" applyAlignment="1" applyProtection="1">
      <alignment horizontal="center" vertical="center" wrapText="1"/>
      <protection locked="0"/>
    </xf>
    <xf numFmtId="0" fontId="42" fillId="11" borderId="11" xfId="90" applyFont="1" applyFill="1" applyBorder="1" applyAlignment="1" applyProtection="1">
      <alignment horizontal="center" vertical="center" wrapText="1"/>
      <protection locked="0"/>
    </xf>
    <xf numFmtId="0" fontId="42" fillId="11" borderId="3" xfId="90" applyFont="1" applyFill="1" applyBorder="1" applyAlignment="1" applyProtection="1">
      <alignment horizontal="center" vertical="center" wrapText="1"/>
      <protection locked="0"/>
    </xf>
    <xf numFmtId="0" fontId="42" fillId="11" borderId="23" xfId="90" applyFont="1" applyFill="1" applyBorder="1" applyAlignment="1" applyProtection="1">
      <alignment horizontal="center" vertical="center" wrapText="1"/>
      <protection locked="0"/>
    </xf>
    <xf numFmtId="0" fontId="42" fillId="11" borderId="13" xfId="90" applyFont="1" applyFill="1" applyBorder="1" applyAlignment="1" applyProtection="1">
      <alignment horizontal="center" vertical="center" wrapText="1"/>
      <protection locked="0"/>
    </xf>
    <xf numFmtId="0" fontId="42" fillId="11" borderId="0" xfId="90" applyFont="1" applyFill="1" applyBorder="1" applyAlignment="1" applyProtection="1">
      <alignment horizontal="center" vertical="center" wrapText="1"/>
      <protection locked="0"/>
    </xf>
    <xf numFmtId="0" fontId="42" fillId="11" borderId="24" xfId="90" applyFont="1" applyFill="1" applyBorder="1" applyAlignment="1" applyProtection="1">
      <alignment horizontal="center" vertical="center" wrapText="1"/>
      <protection locked="0"/>
    </xf>
    <xf numFmtId="0" fontId="42" fillId="11" borderId="15" xfId="90" applyFont="1" applyFill="1" applyBorder="1" applyAlignment="1" applyProtection="1">
      <alignment horizontal="center" vertical="center" wrapText="1"/>
      <protection locked="0"/>
    </xf>
    <xf numFmtId="0" fontId="42" fillId="11" borderId="22" xfId="90" applyFont="1" applyFill="1" applyBorder="1" applyAlignment="1" applyProtection="1">
      <alignment horizontal="center" vertical="center" wrapText="1"/>
      <protection locked="0"/>
    </xf>
    <xf numFmtId="0" fontId="42" fillId="11" borderId="25" xfId="90" applyFont="1" applyFill="1" applyBorder="1" applyAlignment="1" applyProtection="1">
      <alignment horizontal="center" vertical="center" wrapText="1"/>
      <protection locked="0"/>
    </xf>
    <xf numFmtId="0" fontId="76" fillId="0" borderId="42" xfId="7" applyFont="1" applyBorder="1" applyAlignment="1">
      <alignment horizontal="center" vertical="center" wrapText="1"/>
    </xf>
    <xf numFmtId="0" fontId="65" fillId="0" borderId="37" xfId="7" applyFont="1" applyBorder="1"/>
    <xf numFmtId="0" fontId="54" fillId="15" borderId="0" xfId="7" applyFont="1" applyFill="1" applyBorder="1" applyAlignment="1">
      <alignment horizontal="center"/>
    </xf>
    <xf numFmtId="0" fontId="55" fillId="0" borderId="0" xfId="7" applyFont="1" applyBorder="1"/>
    <xf numFmtId="0" fontId="74" fillId="0" borderId="26" xfId="7" applyFont="1" applyBorder="1" applyAlignment="1">
      <alignment horizontal="left" vertical="center" wrapText="1"/>
    </xf>
    <xf numFmtId="0" fontId="33" fillId="0" borderId="26" xfId="7" applyFont="1" applyBorder="1"/>
    <xf numFmtId="0" fontId="68" fillId="0" borderId="27" xfId="7" applyFont="1" applyBorder="1" applyAlignment="1">
      <alignment horizontal="left" vertical="center"/>
    </xf>
    <xf numFmtId="0" fontId="63" fillId="0" borderId="27" xfId="7" applyFont="1" applyBorder="1"/>
    <xf numFmtId="0" fontId="60" fillId="16" borderId="0" xfId="7" applyFont="1" applyFill="1" applyBorder="1" applyAlignment="1">
      <alignment horizontal="center" vertical="center" wrapText="1"/>
    </xf>
    <xf numFmtId="0" fontId="55" fillId="0" borderId="26" xfId="7" applyFont="1" applyBorder="1"/>
    <xf numFmtId="0" fontId="61" fillId="17" borderId="28" xfId="7" applyFont="1" applyFill="1" applyBorder="1" applyAlignment="1">
      <alignment horizontal="center" vertical="center" wrapText="1"/>
    </xf>
    <xf numFmtId="0" fontId="55" fillId="0" borderId="33" xfId="7" applyFont="1" applyBorder="1"/>
    <xf numFmtId="0" fontId="61" fillId="17" borderId="29" xfId="7" applyFont="1" applyFill="1" applyBorder="1" applyAlignment="1">
      <alignment horizontal="center" vertical="center" wrapText="1"/>
    </xf>
    <xf numFmtId="0" fontId="55" fillId="0" borderId="30" xfId="7" applyFont="1" applyBorder="1"/>
    <xf numFmtId="0" fontId="55" fillId="0" borderId="34" xfId="7" applyFont="1" applyBorder="1"/>
    <xf numFmtId="0" fontId="55" fillId="0" borderId="35" xfId="7" applyFont="1" applyBorder="1"/>
    <xf numFmtId="0" fontId="61" fillId="17" borderId="31" xfId="7" applyFont="1" applyFill="1" applyBorder="1" applyAlignment="1">
      <alignment horizontal="center" vertical="center"/>
    </xf>
    <xf numFmtId="0" fontId="55" fillId="0" borderId="32" xfId="7" applyFont="1" applyBorder="1"/>
    <xf numFmtId="0" fontId="55" fillId="0" borderId="36" xfId="7" applyFont="1" applyBorder="1"/>
    <xf numFmtId="0" fontId="64" fillId="19" borderId="28" xfId="7" applyFont="1" applyFill="1" applyBorder="1" applyAlignment="1">
      <alignment horizontal="center" vertical="center" wrapText="1"/>
    </xf>
    <xf numFmtId="0" fontId="75" fillId="0" borderId="33" xfId="7" applyFont="1" applyBorder="1"/>
    <xf numFmtId="0" fontId="46" fillId="18" borderId="28" xfId="7" applyFont="1" applyFill="1" applyBorder="1" applyAlignment="1">
      <alignment horizontal="center" vertical="center" wrapText="1"/>
    </xf>
    <xf numFmtId="0" fontId="46" fillId="18" borderId="29" xfId="7" applyFont="1" applyFill="1" applyBorder="1" applyAlignment="1">
      <alignment horizontal="center" vertical="center" wrapText="1"/>
    </xf>
    <xf numFmtId="0" fontId="55" fillId="0" borderId="27" xfId="7" applyFont="1" applyBorder="1"/>
    <xf numFmtId="0" fontId="30" fillId="0" borderId="0" xfId="7" applyFont="1" applyAlignment="1"/>
    <xf numFmtId="0" fontId="55" fillId="0" borderId="37" xfId="7" applyFont="1" applyBorder="1"/>
    <xf numFmtId="0" fontId="55" fillId="0" borderId="38" xfId="7" applyFont="1" applyBorder="1"/>
    <xf numFmtId="0" fontId="76" fillId="0" borderId="28" xfId="7" applyFont="1" applyBorder="1" applyAlignment="1">
      <alignment horizontal="center" vertical="top" wrapText="1"/>
    </xf>
    <xf numFmtId="0" fontId="65" fillId="0" borderId="36" xfId="7" applyFont="1" applyBorder="1" applyAlignment="1">
      <alignment vertical="top"/>
    </xf>
    <xf numFmtId="0" fontId="76" fillId="0" borderId="29" xfId="7" applyFont="1" applyBorder="1" applyAlignment="1">
      <alignment horizontal="center" vertical="center" wrapText="1"/>
    </xf>
    <xf numFmtId="0" fontId="65" fillId="0" borderId="27" xfId="7" applyFont="1" applyBorder="1" applyAlignment="1">
      <alignment vertical="center"/>
    </xf>
    <xf numFmtId="0" fontId="65" fillId="0" borderId="37" xfId="7" applyFont="1" applyBorder="1" applyAlignment="1">
      <alignment vertical="center"/>
    </xf>
    <xf numFmtId="0" fontId="65" fillId="0" borderId="26" xfId="7" applyFont="1" applyBorder="1" applyAlignment="1">
      <alignment vertical="center"/>
    </xf>
    <xf numFmtId="0" fontId="76" fillId="0" borderId="1" xfId="7" applyFont="1" applyFill="1" applyBorder="1" applyAlignment="1">
      <alignment horizontal="center" vertical="top" wrapText="1"/>
    </xf>
    <xf numFmtId="0" fontId="65" fillId="0" borderId="1" xfId="7" applyFont="1" applyFill="1" applyBorder="1" applyAlignment="1">
      <alignment vertical="top"/>
    </xf>
    <xf numFmtId="0" fontId="76" fillId="0" borderId="30" xfId="7" applyFont="1" applyBorder="1" applyAlignment="1">
      <alignment horizontal="center" vertical="top" wrapText="1"/>
    </xf>
    <xf numFmtId="0" fontId="65" fillId="0" borderId="38" xfId="7" applyFont="1" applyBorder="1" applyAlignment="1">
      <alignment vertical="top"/>
    </xf>
    <xf numFmtId="0" fontId="76" fillId="0" borderId="45" xfId="7" applyFont="1" applyBorder="1" applyAlignment="1">
      <alignment horizontal="center" vertical="center" wrapText="1"/>
    </xf>
    <xf numFmtId="0" fontId="65" fillId="0" borderId="46" xfId="7" applyFont="1" applyBorder="1"/>
    <xf numFmtId="3" fontId="76" fillId="0" borderId="29" xfId="7" applyNumberFormat="1" applyFont="1" applyBorder="1" applyAlignment="1">
      <alignment horizontal="center" vertical="center" wrapText="1"/>
    </xf>
    <xf numFmtId="0" fontId="76" fillId="0" borderId="40" xfId="7" applyFont="1" applyBorder="1" applyAlignment="1">
      <alignment horizontal="center" vertical="top" wrapText="1"/>
    </xf>
    <xf numFmtId="0" fontId="76" fillId="0" borderId="41" xfId="7" applyFont="1" applyFill="1" applyBorder="1" applyAlignment="1">
      <alignment horizontal="center" vertical="top" wrapText="1"/>
    </xf>
    <xf numFmtId="0" fontId="65" fillId="0" borderId="36" xfId="7" applyFont="1" applyFill="1" applyBorder="1" applyAlignment="1">
      <alignment vertical="top"/>
    </xf>
    <xf numFmtId="0" fontId="65" fillId="0" borderId="30" xfId="7" applyFont="1" applyBorder="1" applyAlignment="1">
      <alignment vertical="center"/>
    </xf>
    <xf numFmtId="0" fontId="65" fillId="0" borderId="38" xfId="7" applyFont="1" applyBorder="1" applyAlignment="1">
      <alignment vertical="center"/>
    </xf>
    <xf numFmtId="0" fontId="76" fillId="0" borderId="33" xfId="7" applyFont="1" applyFill="1" applyBorder="1" applyAlignment="1">
      <alignment horizontal="center" vertical="top" wrapText="1"/>
    </xf>
    <xf numFmtId="3" fontId="76" fillId="0" borderId="30" xfId="7" applyNumberFormat="1" applyFont="1" applyBorder="1" applyAlignment="1">
      <alignment horizontal="center" vertical="top" wrapText="1"/>
    </xf>
    <xf numFmtId="0" fontId="76" fillId="0" borderId="28" xfId="7" applyFont="1" applyFill="1" applyBorder="1" applyAlignment="1">
      <alignment horizontal="center" vertical="top" wrapText="1"/>
    </xf>
    <xf numFmtId="0" fontId="66" fillId="0" borderId="0" xfId="7" applyFont="1" applyAlignment="1">
      <alignment horizontal="center" vertical="center" wrapText="1"/>
    </xf>
    <xf numFmtId="0" fontId="67" fillId="0" borderId="0" xfId="7" applyFont="1" applyAlignment="1">
      <alignment horizontal="center"/>
    </xf>
    <xf numFmtId="0" fontId="68" fillId="0" borderId="27" xfId="7" applyFont="1" applyBorder="1" applyAlignment="1">
      <alignment horizontal="center" vertical="center" wrapText="1"/>
    </xf>
    <xf numFmtId="0" fontId="76" fillId="0" borderId="48" xfId="7" applyFont="1" applyBorder="1" applyAlignment="1">
      <alignment horizontal="center" vertical="top" wrapText="1"/>
    </xf>
    <xf numFmtId="0" fontId="65" fillId="0" borderId="50" xfId="7" applyFont="1" applyBorder="1" applyAlignment="1">
      <alignment vertical="top"/>
    </xf>
    <xf numFmtId="0" fontId="54" fillId="15" borderId="0" xfId="19" applyFont="1" applyFill="1" applyBorder="1" applyAlignment="1">
      <alignment horizontal="center"/>
    </xf>
    <xf numFmtId="0" fontId="55" fillId="0" borderId="0" xfId="19" applyFont="1" applyBorder="1"/>
    <xf numFmtId="0" fontId="79" fillId="0" borderId="26" xfId="19" applyFont="1" applyBorder="1" applyAlignment="1">
      <alignment horizontal="left" vertical="center" wrapText="1"/>
    </xf>
    <xf numFmtId="0" fontId="55" fillId="0" borderId="26" xfId="19" applyFont="1" applyBorder="1"/>
    <xf numFmtId="0" fontId="80" fillId="0" borderId="27" xfId="19" applyFont="1" applyBorder="1" applyAlignment="1">
      <alignment horizontal="left" vertical="center"/>
    </xf>
    <xf numFmtId="0" fontId="81" fillId="0" borderId="27" xfId="19" applyFont="1" applyBorder="1"/>
    <xf numFmtId="0" fontId="82" fillId="0" borderId="26" xfId="19" applyFont="1" applyBorder="1" applyAlignment="1">
      <alignment horizontal="left" vertical="center" wrapText="1"/>
    </xf>
    <xf numFmtId="0" fontId="83" fillId="0" borderId="27" xfId="19" applyFont="1" applyBorder="1" applyAlignment="1">
      <alignment horizontal="left" vertical="center"/>
    </xf>
    <xf numFmtId="0" fontId="55" fillId="0" borderId="27" xfId="19" applyFont="1" applyBorder="1"/>
    <xf numFmtId="0" fontId="60" fillId="16" borderId="0" xfId="19" applyFont="1" applyFill="1" applyBorder="1" applyAlignment="1">
      <alignment horizontal="center" vertical="center" wrapText="1"/>
    </xf>
    <xf numFmtId="0" fontId="61" fillId="17" borderId="28" xfId="19" applyFont="1" applyFill="1" applyBorder="1" applyAlignment="1">
      <alignment horizontal="center" vertical="center" wrapText="1"/>
    </xf>
    <xf numFmtId="0" fontId="55" fillId="0" borderId="33" xfId="19" applyFont="1" applyBorder="1"/>
    <xf numFmtId="0" fontId="61" fillId="17" borderId="29" xfId="19" applyFont="1" applyFill="1" applyBorder="1" applyAlignment="1">
      <alignment horizontal="center" vertical="center" wrapText="1"/>
    </xf>
    <xf numFmtId="0" fontId="55" fillId="0" borderId="30" xfId="19" applyFont="1" applyBorder="1"/>
    <xf numFmtId="0" fontId="55" fillId="0" borderId="34" xfId="19" applyFont="1" applyBorder="1"/>
    <xf numFmtId="0" fontId="55" fillId="0" borderId="35" xfId="19" applyFont="1" applyBorder="1"/>
    <xf numFmtId="0" fontId="61" fillId="17" borderId="31" xfId="19" applyFont="1" applyFill="1" applyBorder="1" applyAlignment="1">
      <alignment horizontal="center" vertical="center"/>
    </xf>
    <xf numFmtId="0" fontId="55" fillId="0" borderId="32" xfId="19" applyFont="1" applyBorder="1"/>
    <xf numFmtId="0" fontId="55" fillId="0" borderId="36" xfId="19" applyFont="1" applyBorder="1"/>
    <xf numFmtId="0" fontId="46" fillId="19" borderId="28" xfId="19" applyFont="1" applyFill="1" applyBorder="1" applyAlignment="1">
      <alignment horizontal="center" vertical="center" wrapText="1"/>
    </xf>
    <xf numFmtId="0" fontId="46" fillId="18" borderId="28" xfId="19" applyFont="1" applyFill="1" applyBorder="1" applyAlignment="1">
      <alignment horizontal="center" vertical="center" wrapText="1"/>
    </xf>
    <xf numFmtId="0" fontId="46" fillId="18" borderId="29" xfId="19" applyFont="1" applyFill="1" applyBorder="1" applyAlignment="1">
      <alignment horizontal="center" vertical="center" wrapText="1"/>
    </xf>
    <xf numFmtId="0" fontId="30" fillId="0" borderId="0" xfId="19" applyFont="1" applyAlignment="1"/>
    <xf numFmtId="0" fontId="55" fillId="0" borderId="37" xfId="19" applyFont="1" applyBorder="1"/>
    <xf numFmtId="0" fontId="55" fillId="0" borderId="38" xfId="19" applyFont="1" applyBorder="1"/>
    <xf numFmtId="0" fontId="85" fillId="0" borderId="28" xfId="19" applyFont="1" applyBorder="1" applyAlignment="1">
      <alignment horizontal="center" vertical="center" wrapText="1"/>
    </xf>
    <xf numFmtId="0" fontId="69" fillId="0" borderId="36" xfId="19" applyFont="1" applyBorder="1"/>
    <xf numFmtId="0" fontId="85" fillId="0" borderId="29" xfId="19" applyFont="1" applyBorder="1" applyAlignment="1">
      <alignment horizontal="center" vertical="center" wrapText="1"/>
    </xf>
    <xf numFmtId="0" fontId="69" fillId="0" borderId="30" xfId="19" applyFont="1" applyBorder="1"/>
    <xf numFmtId="0" fontId="69" fillId="0" borderId="37" xfId="19" applyFont="1" applyBorder="1"/>
    <xf numFmtId="0" fontId="69" fillId="0" borderId="38" xfId="19" applyFont="1" applyBorder="1"/>
    <xf numFmtId="0" fontId="86" fillId="22" borderId="31" xfId="19" applyFont="1" applyFill="1" applyBorder="1" applyAlignment="1">
      <alignment horizontal="center" vertical="center" wrapText="1"/>
    </xf>
    <xf numFmtId="0" fontId="69" fillId="0" borderId="52" xfId="19" applyFont="1" applyBorder="1"/>
    <xf numFmtId="0" fontId="69" fillId="0" borderId="32" xfId="19" applyFont="1" applyBorder="1"/>
    <xf numFmtId="0" fontId="87" fillId="22" borderId="31" xfId="19" applyFont="1" applyFill="1" applyBorder="1" applyAlignment="1">
      <alignment horizontal="center" vertical="center" wrapText="1"/>
    </xf>
    <xf numFmtId="0" fontId="85" fillId="0" borderId="28" xfId="19" applyFont="1" applyBorder="1" applyAlignment="1">
      <alignment horizontal="center" vertical="top" wrapText="1"/>
    </xf>
    <xf numFmtId="0" fontId="69" fillId="0" borderId="36" xfId="19" applyFont="1" applyBorder="1" applyAlignment="1">
      <alignment vertical="top"/>
    </xf>
    <xf numFmtId="0" fontId="61" fillId="22" borderId="31" xfId="19" applyFont="1" applyFill="1" applyBorder="1" applyAlignment="1">
      <alignment horizontal="center" vertical="center" wrapText="1"/>
    </xf>
    <xf numFmtId="0" fontId="65" fillId="0" borderId="52" xfId="19" applyFont="1" applyBorder="1"/>
    <xf numFmtId="0" fontId="65" fillId="0" borderId="32" xfId="19" applyFont="1" applyBorder="1"/>
    <xf numFmtId="0" fontId="69" fillId="0" borderId="36" xfId="19" applyFont="1" applyBorder="1" applyAlignment="1">
      <alignment vertical="center"/>
    </xf>
    <xf numFmtId="0" fontId="86" fillId="22" borderId="52" xfId="19" applyFont="1" applyFill="1" applyBorder="1" applyAlignment="1">
      <alignment horizontal="center" vertical="center" wrapText="1"/>
    </xf>
    <xf numFmtId="0" fontId="86" fillId="22" borderId="32" xfId="19" applyFont="1" applyFill="1" applyBorder="1" applyAlignment="1">
      <alignment horizontal="center" vertical="center" wrapText="1"/>
    </xf>
    <xf numFmtId="0" fontId="86" fillId="22" borderId="29" xfId="19" applyFont="1" applyFill="1" applyBorder="1" applyAlignment="1">
      <alignment horizontal="center" vertical="center" wrapText="1"/>
    </xf>
    <xf numFmtId="0" fontId="69" fillId="0" borderId="27" xfId="19" applyFont="1" applyBorder="1"/>
    <xf numFmtId="0" fontId="86" fillId="22" borderId="34" xfId="19" applyFont="1" applyFill="1" applyBorder="1" applyAlignment="1">
      <alignment horizontal="center" vertical="center" wrapText="1"/>
    </xf>
    <xf numFmtId="0" fontId="69" fillId="0" borderId="0" xfId="19" applyFont="1" applyBorder="1"/>
    <xf numFmtId="0" fontId="69" fillId="0" borderId="35" xfId="19" applyFont="1" applyBorder="1"/>
    <xf numFmtId="3" fontId="85" fillId="0" borderId="28" xfId="19" applyNumberFormat="1" applyFont="1" applyBorder="1" applyAlignment="1">
      <alignment horizontal="center" vertical="center" wrapText="1"/>
    </xf>
    <xf numFmtId="0" fontId="86" fillId="22" borderId="1" xfId="19" applyFont="1" applyFill="1" applyBorder="1" applyAlignment="1">
      <alignment horizontal="center" vertical="center" wrapText="1"/>
    </xf>
    <xf numFmtId="0" fontId="69" fillId="0" borderId="1" xfId="19" applyFont="1" applyBorder="1"/>
    <xf numFmtId="0" fontId="61" fillId="22" borderId="29" xfId="19" applyFont="1" applyFill="1" applyBorder="1" applyAlignment="1">
      <alignment horizontal="center" vertical="center" wrapText="1"/>
    </xf>
    <xf numFmtId="0" fontId="65" fillId="0" borderId="27" xfId="19" applyFont="1" applyBorder="1"/>
    <xf numFmtId="0" fontId="65" fillId="0" borderId="30" xfId="19" applyFont="1" applyBorder="1"/>
    <xf numFmtId="0" fontId="86" fillId="22" borderId="10" xfId="19" applyFont="1" applyFill="1" applyBorder="1" applyAlignment="1">
      <alignment horizontal="center" vertical="center" wrapText="1"/>
    </xf>
    <xf numFmtId="0" fontId="69" fillId="0" borderId="10" xfId="19" applyFont="1" applyBorder="1"/>
    <xf numFmtId="0" fontId="61" fillId="22" borderId="10" xfId="19" applyFont="1" applyFill="1" applyBorder="1" applyAlignment="1">
      <alignment horizontal="center" vertical="center" wrapText="1"/>
    </xf>
    <xf numFmtId="0" fontId="65" fillId="0" borderId="10" xfId="19" applyFont="1" applyBorder="1"/>
    <xf numFmtId="0" fontId="66" fillId="0" borderId="0" xfId="19" applyFont="1" applyAlignment="1">
      <alignment horizontal="center" vertical="center" wrapText="1"/>
    </xf>
    <xf numFmtId="0" fontId="67" fillId="0" borderId="0" xfId="19" applyFont="1" applyAlignment="1">
      <alignment horizontal="center"/>
    </xf>
    <xf numFmtId="0" fontId="60" fillId="0" borderId="0" xfId="19" applyFont="1" applyFill="1" applyBorder="1" applyAlignment="1">
      <alignment horizontal="center" vertical="center" wrapText="1"/>
    </xf>
    <xf numFmtId="0" fontId="89" fillId="0" borderId="0" xfId="19" applyFont="1" applyFill="1" applyBorder="1"/>
    <xf numFmtId="0" fontId="68" fillId="0" borderId="27" xfId="19" applyFont="1" applyBorder="1" applyAlignment="1">
      <alignment horizontal="center" vertical="center" wrapText="1"/>
    </xf>
  </cellXfs>
  <cellStyles count="92">
    <cellStyle name="Normal" xfId="0" builtinId="0"/>
    <cellStyle name="Normal 2" xfId="2"/>
    <cellStyle name="Normal 2 2 2" xfId="5"/>
    <cellStyle name="Normal 3" xfId="1"/>
    <cellStyle name="Normal 4" xfId="4"/>
    <cellStyle name="Normal 4 2" xfId="13"/>
    <cellStyle name="Normal 4 3" xfId="15"/>
    <cellStyle name="Normal 4 4" xfId="20"/>
    <cellStyle name="Normal 4 5" xfId="28"/>
    <cellStyle name="Normal 4 6" xfId="31"/>
    <cellStyle name="Normal 4 7" xfId="37"/>
    <cellStyle name="Normal 4 7 2" xfId="44"/>
    <cellStyle name="Normal 4 7 2 2" xfId="54"/>
    <cellStyle name="Normal 4 7 2 3" xfId="58"/>
    <cellStyle name="Normal 4 7 2 3 2" xfId="65"/>
    <cellStyle name="Normal 4 7 2 3 2 2" xfId="76"/>
    <cellStyle name="Normal 4 7 2 3 2 2 2" xfId="86"/>
    <cellStyle name="Normal 4 8" xfId="41"/>
    <cellStyle name="Normal 4 8 2" xfId="48"/>
    <cellStyle name="Normal 4 8 2 2" xfId="51"/>
    <cellStyle name="Normal 4 8 2 2 2" xfId="64"/>
    <cellStyle name="Normal 4 8 2 2 2 2" xfId="73"/>
    <cellStyle name="Normal 4 8 2 2 2 2 2" xfId="82"/>
    <cellStyle name="Normal 5" xfId="7"/>
    <cellStyle name="Normal 6" xfId="8"/>
    <cellStyle name="Normal 6 2" xfId="17"/>
    <cellStyle name="Normal 6 3" xfId="22"/>
    <cellStyle name="Normal 6 4" xfId="29"/>
    <cellStyle name="Normal 6 5" xfId="33"/>
    <cellStyle name="Normal 6 6" xfId="39"/>
    <cellStyle name="Normal 6 6 2" xfId="50"/>
    <cellStyle name="Normal 6 6 2 2" xfId="53"/>
    <cellStyle name="Normal 6 6 2 2 2" xfId="62"/>
    <cellStyle name="Normal 6 6 2 2 2 2" xfId="71"/>
    <cellStyle name="Normal 6 6 2 2 2 2 2" xfId="84"/>
    <cellStyle name="Normal 6 6 2 3" xfId="56"/>
    <cellStyle name="Normal 6 6 2 3 2" xfId="67"/>
    <cellStyle name="Normal 6 6 2 3 2 2" xfId="80"/>
    <cellStyle name="Normal 6 6 2 3 2 2 2" xfId="90"/>
    <cellStyle name="Normal 7" xfId="10"/>
    <cellStyle name="Normal 7 2" xfId="19"/>
    <cellStyle name="Normal 8" xfId="11"/>
    <cellStyle name="Normal 8 2" xfId="24"/>
    <cellStyle name="Normal 8 3" xfId="26"/>
    <cellStyle name="Normal 8 4" xfId="35"/>
    <cellStyle name="Normal 8 5" xfId="42"/>
    <cellStyle name="Normal 8 5 2" xfId="46"/>
    <cellStyle name="Normal 8 5 2 2" xfId="60"/>
    <cellStyle name="Normal 8 5 2 2 2" xfId="69"/>
    <cellStyle name="Normal 8 5 2 2 2 2" xfId="74"/>
    <cellStyle name="Normal 8 5 2 2 2 2 2" xfId="88"/>
    <cellStyle name="Normal 8 5 2 2 2 3" xfId="78"/>
    <cellStyle name="Normal 9 2 3 6 2" xfId="6"/>
    <cellStyle name="Normal 9 2 3 6 2 2" xfId="9"/>
    <cellStyle name="Normal 9 2 3 6 2 2 2" xfId="18"/>
    <cellStyle name="Normal 9 2 3 6 2 2 3" xfId="23"/>
    <cellStyle name="Normal 9 2 3 6 2 2 4" xfId="30"/>
    <cellStyle name="Normal 9 2 3 6 2 2 5" xfId="34"/>
    <cellStyle name="Normal 9 2 3 6 2 2 6" xfId="40"/>
    <cellStyle name="Normal 9 2 3 6 2 2 6 2" xfId="49"/>
    <cellStyle name="Normal 9 2 3 6 2 2 6 2 2" xfId="52"/>
    <cellStyle name="Normal 9 2 3 6 2 2 6 2 2 2" xfId="63"/>
    <cellStyle name="Normal 9 2 3 6 2 2 6 2 2 2 2" xfId="72"/>
    <cellStyle name="Normal 9 2 3 6 2 2 6 2 2 2 2 2" xfId="83"/>
    <cellStyle name="Normal 9 2 3 6 2 2 6 2 2 2 2 3" xfId="85"/>
    <cellStyle name="Normal 9 2 3 6 2 2 6 2 3" xfId="57"/>
    <cellStyle name="Normal 9 2 3 6 2 2 6 2 3 2" xfId="68"/>
    <cellStyle name="Normal 9 2 3 6 2 2 6 2 3 2 2" xfId="81"/>
    <cellStyle name="Normal 9 2 3 6 2 2 6 2 3 2 2 2" xfId="91"/>
    <cellStyle name="Normal 9 2 3 6 2 3" xfId="12"/>
    <cellStyle name="Normal 9 2 3 6 2 3 2" xfId="25"/>
    <cellStyle name="Normal 9 2 3 6 2 3 3" xfId="27"/>
    <cellStyle name="Normal 9 2 3 6 2 3 4" xfId="36"/>
    <cellStyle name="Normal 9 2 3 6 2 3 5" xfId="43"/>
    <cellStyle name="Normal 9 2 3 6 2 3 5 2" xfId="47"/>
    <cellStyle name="Normal 9 2 3 6 2 3 5 2 2" xfId="61"/>
    <cellStyle name="Normal 9 2 3 6 2 3 5 2 2 2" xfId="70"/>
    <cellStyle name="Normal 9 2 3 6 2 3 5 2 2 2 2" xfId="75"/>
    <cellStyle name="Normal 9 2 3 6 2 3 5 2 2 2 2 2" xfId="89"/>
    <cellStyle name="Normal 9 2 3 6 2 3 5 2 2 2 3" xfId="79"/>
    <cellStyle name="Normal 9 2 3 6 2 4" xfId="14"/>
    <cellStyle name="Normal 9 2 3 6 2 5" xfId="16"/>
    <cellStyle name="Normal 9 2 3 6 2 6" xfId="21"/>
    <cellStyle name="Normal 9 2 3 6 2 7" xfId="32"/>
    <cellStyle name="Normal 9 2 3 6 2 8" xfId="38"/>
    <cellStyle name="Normal 9 2 3 6 2 8 2" xfId="45"/>
    <cellStyle name="Normal 9 2 3 6 2 8 2 2" xfId="55"/>
    <cellStyle name="Normal 9 2 3 6 2 8 2 3" xfId="59"/>
    <cellStyle name="Normal 9 2 3 6 2 8 2 3 2" xfId="66"/>
    <cellStyle name="Normal 9 2 3 6 2 8 2 3 2 2" xfId="77"/>
    <cellStyle name="Normal 9 2 3 6 2 8 2 3 2 2 2" xfId="87"/>
    <cellStyle name="Porcentaje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168BBA"/>
      <rgbColor rgb="00A6D4A7"/>
      <rgbColor rgb="00808080"/>
      <rgbColor rgb="00FAE2E5"/>
      <rgbColor rgb="00993366"/>
      <rgbColor rgb="00FFF0C9"/>
      <rgbColor rgb="00DFF0F5"/>
      <rgbColor rgb="00660066"/>
      <rgbColor rgb="00FF8080"/>
      <rgbColor rgb="000066CC"/>
      <rgbColor rgb="00BFE1EB"/>
      <rgbColor rgb="00000080"/>
      <rgbColor rgb="00FF00FF"/>
      <rgbColor rgb="00FAE7DC"/>
      <rgbColor rgb="0000FFFF"/>
      <rgbColor rgb="00800080"/>
      <rgbColor rgb="00800000"/>
      <rgbColor rgb="00008080"/>
      <rgbColor rgb="000000FF"/>
      <rgbColor rgb="0000CCFF"/>
      <rgbColor rgb="00C4E2C5"/>
      <rgbColor rgb="00E1F1E2"/>
      <rgbColor rgb="00FFE193"/>
      <rgbColor rgb="00A0D3E0"/>
      <rgbColor rgb="00F1B697"/>
      <rgbColor rgb="00F4DADA"/>
      <rgbColor rgb="00F6CFB9"/>
      <rgbColor rgb="003366FF"/>
      <rgbColor rgb="0033CCCC"/>
      <rgbColor rgb="0099CC00"/>
      <rgbColor rgb="00FFD25D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118</xdr:col>
      <xdr:colOff>1365250</xdr:colOff>
      <xdr:row>4</xdr:row>
      <xdr:rowOff>1003299</xdr:rowOff>
    </xdr:from>
    <xdr:to>
      <xdr:col>119</xdr:col>
      <xdr:colOff>2965931</xdr:colOff>
      <xdr:row>7</xdr:row>
      <xdr:rowOff>241970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855600" y="4457699"/>
          <a:ext cx="5639281" cy="37344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118</xdr:col>
      <xdr:colOff>1571625</xdr:colOff>
      <xdr:row>2</xdr:row>
      <xdr:rowOff>952499</xdr:rowOff>
    </xdr:from>
    <xdr:to>
      <xdr:col>119</xdr:col>
      <xdr:colOff>4388936</xdr:colOff>
      <xdr:row>6</xdr:row>
      <xdr:rowOff>349248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07075" y="1333499"/>
          <a:ext cx="6322511" cy="4473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118</xdr:col>
      <xdr:colOff>222250</xdr:colOff>
      <xdr:row>3</xdr:row>
      <xdr:rowOff>0</xdr:rowOff>
    </xdr:from>
    <xdr:to>
      <xdr:col>119</xdr:col>
      <xdr:colOff>2486902</xdr:colOff>
      <xdr:row>6</xdr:row>
      <xdr:rowOff>873124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45800" y="1835150"/>
          <a:ext cx="6804902" cy="44862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119</xdr:col>
      <xdr:colOff>1709615</xdr:colOff>
      <xdr:row>2</xdr:row>
      <xdr:rowOff>1381124</xdr:rowOff>
    </xdr:from>
    <xdr:to>
      <xdr:col>119</xdr:col>
      <xdr:colOff>9316846</xdr:colOff>
      <xdr:row>6</xdr:row>
      <xdr:rowOff>400766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07765" y="1749424"/>
          <a:ext cx="7607231" cy="54140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118</xdr:col>
      <xdr:colOff>1746250</xdr:colOff>
      <xdr:row>3</xdr:row>
      <xdr:rowOff>1009650</xdr:rowOff>
    </xdr:from>
    <xdr:to>
      <xdr:col>119</xdr:col>
      <xdr:colOff>5168900</xdr:colOff>
      <xdr:row>7</xdr:row>
      <xdr:rowOff>342900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589950" y="2844800"/>
          <a:ext cx="7315200" cy="481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118</xdr:col>
      <xdr:colOff>3429000</xdr:colOff>
      <xdr:row>2</xdr:row>
      <xdr:rowOff>469899</xdr:rowOff>
    </xdr:from>
    <xdr:ext cx="5672666" cy="4186767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009000" y="1955799"/>
          <a:ext cx="5672666" cy="4186767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118</xdr:col>
      <xdr:colOff>609600</xdr:colOff>
      <xdr:row>2</xdr:row>
      <xdr:rowOff>180975</xdr:rowOff>
    </xdr:from>
    <xdr:ext cx="6810375" cy="47815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261500" y="542925"/>
          <a:ext cx="6810375" cy="47815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15240</xdr:colOff>
      <xdr:row>2</xdr:row>
      <xdr:rowOff>0</xdr:rowOff>
    </xdr:from>
    <xdr:to>
      <xdr:col>4</xdr:col>
      <xdr:colOff>142272</xdr:colOff>
      <xdr:row>6</xdr:row>
      <xdr:rowOff>134050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8840" y="381000"/>
          <a:ext cx="838200" cy="895985"/>
        </a:xfrm>
        <a:prstGeom prst="rect">
          <a:avLst/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absolute">
    <xdr:from>
      <xdr:col>4</xdr:col>
      <xdr:colOff>208080</xdr:colOff>
      <xdr:row>2</xdr:row>
      <xdr:rowOff>163740</xdr:rowOff>
    </xdr:from>
    <xdr:to>
      <xdr:col>5</xdr:col>
      <xdr:colOff>158715</xdr:colOff>
      <xdr:row>6</xdr:row>
      <xdr:rowOff>112983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2445" y="544195"/>
          <a:ext cx="661670" cy="711200"/>
        </a:xfrm>
        <a:prstGeom prst="rect">
          <a:avLst/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Q58"/>
  <sheetViews>
    <sheetView topLeftCell="D8" zoomScale="20" zoomScaleNormal="20" zoomScaleSheetLayoutView="20" zoomScalePageLayoutView="25" workbookViewId="0">
      <selection activeCell="DF26" sqref="DF26:DM26"/>
    </sheetView>
  </sheetViews>
  <sheetFormatPr baseColWidth="10" defaultColWidth="10.85546875" defaultRowHeight="15"/>
  <cols>
    <col min="1" max="1" width="6.42578125" style="176" customWidth="1"/>
    <col min="2" max="2" width="144.140625" style="186" customWidth="1"/>
    <col min="3" max="3" width="99.140625" style="186" customWidth="1"/>
    <col min="4" max="4" width="34.85546875" style="186" customWidth="1"/>
    <col min="5" max="5" width="34.140625" style="186" customWidth="1"/>
    <col min="6" max="6" width="71.42578125" style="186" customWidth="1"/>
    <col min="7" max="7" width="46.85546875" style="186" customWidth="1"/>
    <col min="8" max="8" width="66.5703125" style="186" customWidth="1"/>
    <col min="9" max="9" width="47.28515625" style="186" customWidth="1"/>
    <col min="10" max="10" width="67.140625" style="186" customWidth="1"/>
    <col min="11" max="12" width="30.7109375" style="177" hidden="1" customWidth="1"/>
    <col min="13" max="19" width="30.7109375" style="178" hidden="1" customWidth="1"/>
    <col min="20" max="82" width="30.7109375" style="176" hidden="1" customWidth="1"/>
    <col min="83" max="83" width="19.85546875" style="176" hidden="1" customWidth="1"/>
    <col min="84" max="84" width="19.140625" style="176" hidden="1" customWidth="1"/>
    <col min="85" max="86" width="16.85546875" style="176" hidden="1" customWidth="1"/>
    <col min="87" max="88" width="19.42578125" style="176" hidden="1" customWidth="1"/>
    <col min="89" max="89" width="20.5703125" style="176" hidden="1" customWidth="1"/>
    <col min="90" max="90" width="21.5703125" style="176" hidden="1" customWidth="1"/>
    <col min="91" max="109" width="30.7109375" style="176" hidden="1" customWidth="1"/>
    <col min="110" max="118" width="30.7109375" style="176" customWidth="1"/>
    <col min="119" max="119" width="57.85546875" style="176" customWidth="1"/>
    <col min="120" max="120" width="118.85546875" style="176" customWidth="1"/>
    <col min="121" max="16384" width="10.85546875" style="176"/>
  </cols>
  <sheetData>
    <row r="2" spans="2:121">
      <c r="B2" s="337" t="s">
        <v>26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337"/>
      <c r="AJ2" s="337"/>
      <c r="AK2" s="337"/>
      <c r="AL2" s="337"/>
      <c r="AM2" s="337"/>
      <c r="AN2" s="337"/>
      <c r="AO2" s="337"/>
      <c r="AP2" s="337"/>
      <c r="AQ2" s="337"/>
      <c r="AR2" s="337"/>
      <c r="AS2" s="337"/>
      <c r="AT2" s="337"/>
      <c r="AU2" s="337"/>
      <c r="AV2" s="337"/>
      <c r="AW2" s="337"/>
      <c r="AX2" s="337"/>
      <c r="AY2" s="337"/>
      <c r="AZ2" s="337"/>
      <c r="BA2" s="337"/>
      <c r="BB2" s="337"/>
      <c r="BC2" s="337"/>
      <c r="BD2" s="337"/>
      <c r="BE2" s="337"/>
      <c r="BF2" s="337"/>
      <c r="BG2" s="337"/>
      <c r="BH2" s="337"/>
      <c r="BI2" s="337"/>
      <c r="BJ2" s="337"/>
      <c r="BK2" s="337"/>
      <c r="BL2" s="337"/>
      <c r="BM2" s="337"/>
      <c r="BN2" s="337"/>
      <c r="BO2" s="337"/>
      <c r="BP2" s="337"/>
      <c r="BQ2" s="337"/>
      <c r="BR2" s="337"/>
      <c r="BS2" s="337"/>
      <c r="BT2" s="337"/>
      <c r="BU2" s="337"/>
      <c r="BV2" s="337"/>
      <c r="BW2" s="337"/>
      <c r="BX2" s="337"/>
      <c r="BY2" s="337"/>
      <c r="BZ2" s="337"/>
      <c r="CA2" s="337"/>
      <c r="CB2" s="337"/>
      <c r="CC2" s="337"/>
      <c r="CD2" s="337"/>
      <c r="CE2" s="337"/>
      <c r="CF2" s="337"/>
      <c r="CG2" s="337"/>
      <c r="CH2" s="337"/>
      <c r="CI2" s="337"/>
      <c r="CJ2" s="337"/>
      <c r="CK2" s="337"/>
      <c r="CL2" s="337"/>
      <c r="CM2" s="337"/>
      <c r="CN2" s="337"/>
      <c r="CO2" s="337"/>
      <c r="CP2" s="337"/>
      <c r="CQ2" s="337"/>
      <c r="CR2" s="337"/>
      <c r="CS2" s="337"/>
      <c r="CT2" s="337"/>
      <c r="CU2" s="337"/>
      <c r="CV2" s="337"/>
      <c r="CW2" s="337"/>
      <c r="CX2" s="337"/>
      <c r="CY2" s="337"/>
      <c r="CZ2" s="337"/>
      <c r="DA2" s="337"/>
      <c r="DB2" s="337"/>
      <c r="DC2" s="337"/>
      <c r="DD2" s="337"/>
      <c r="DE2" s="337"/>
      <c r="DF2" s="337"/>
      <c r="DG2" s="337"/>
      <c r="DH2" s="337"/>
      <c r="DI2" s="337"/>
      <c r="DJ2" s="337"/>
      <c r="DK2" s="337"/>
      <c r="DL2" s="337"/>
      <c r="DM2" s="337"/>
      <c r="DN2" s="337"/>
      <c r="DO2" s="337"/>
      <c r="DP2" s="337"/>
    </row>
    <row r="3" spans="2:121" ht="115.5" customHeight="1"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7"/>
      <c r="AM3" s="337"/>
      <c r="AN3" s="337"/>
      <c r="AO3" s="337"/>
      <c r="AP3" s="337"/>
      <c r="AQ3" s="337"/>
      <c r="AR3" s="337"/>
      <c r="AS3" s="337"/>
      <c r="AT3" s="337"/>
      <c r="AU3" s="337"/>
      <c r="AV3" s="337"/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337"/>
      <c r="CA3" s="337"/>
      <c r="CB3" s="337"/>
      <c r="CC3" s="337"/>
      <c r="CD3" s="337"/>
      <c r="CE3" s="337"/>
      <c r="CF3" s="337"/>
      <c r="CG3" s="337"/>
      <c r="CH3" s="337"/>
      <c r="CI3" s="337"/>
      <c r="CJ3" s="337"/>
      <c r="CK3" s="337"/>
      <c r="CL3" s="337"/>
      <c r="CM3" s="337"/>
      <c r="CN3" s="337"/>
      <c r="CO3" s="337"/>
      <c r="CP3" s="337"/>
      <c r="CQ3" s="337"/>
      <c r="CR3" s="337"/>
      <c r="CS3" s="337"/>
      <c r="CT3" s="337"/>
      <c r="CU3" s="337"/>
      <c r="CV3" s="337"/>
      <c r="CW3" s="337"/>
      <c r="CX3" s="337"/>
      <c r="CY3" s="337"/>
      <c r="CZ3" s="337"/>
      <c r="DA3" s="337"/>
      <c r="DB3" s="337"/>
      <c r="DC3" s="337"/>
      <c r="DD3" s="337"/>
      <c r="DE3" s="337"/>
      <c r="DF3" s="337"/>
      <c r="DG3" s="337"/>
      <c r="DH3" s="337"/>
      <c r="DI3" s="337"/>
      <c r="DJ3" s="337"/>
      <c r="DK3" s="337"/>
      <c r="DL3" s="337"/>
      <c r="DM3" s="337"/>
      <c r="DN3" s="337"/>
      <c r="DO3" s="337"/>
      <c r="DP3" s="337"/>
    </row>
    <row r="4" spans="2:121" ht="127.5" customHeight="1">
      <c r="B4" s="338" t="s">
        <v>176</v>
      </c>
      <c r="C4" s="338"/>
      <c r="D4" s="338"/>
      <c r="E4" s="338"/>
      <c r="F4" s="1"/>
      <c r="G4" s="339" t="s">
        <v>177</v>
      </c>
      <c r="H4" s="340"/>
      <c r="I4" s="340"/>
      <c r="J4" s="340"/>
      <c r="K4" s="340"/>
    </row>
    <row r="5" spans="2:121" ht="189.95" customHeight="1">
      <c r="B5" s="341" t="s">
        <v>27</v>
      </c>
      <c r="C5" s="341"/>
      <c r="D5" s="341"/>
      <c r="E5" s="341"/>
      <c r="F5" s="2"/>
      <c r="G5" s="179" t="s">
        <v>178</v>
      </c>
      <c r="H5" s="179" t="s">
        <v>179</v>
      </c>
      <c r="I5" s="179" t="s">
        <v>56</v>
      </c>
      <c r="J5" s="179" t="s">
        <v>57</v>
      </c>
      <c r="K5" s="179" t="s">
        <v>180</v>
      </c>
      <c r="L5" s="180"/>
      <c r="P5" s="181"/>
      <c r="Q5" s="181"/>
      <c r="R5" s="181"/>
      <c r="S5" s="181"/>
      <c r="T5" s="182"/>
      <c r="U5" s="182"/>
    </row>
    <row r="6" spans="2:121" ht="87" customHeight="1">
      <c r="B6" s="338" t="s">
        <v>19</v>
      </c>
      <c r="C6" s="338"/>
      <c r="D6" s="338"/>
      <c r="E6" s="338"/>
      <c r="F6" s="1"/>
      <c r="G6" s="183">
        <v>2</v>
      </c>
      <c r="H6" s="183">
        <v>1</v>
      </c>
      <c r="I6" s="183">
        <f>K18+T18</f>
        <v>21</v>
      </c>
      <c r="J6" s="183">
        <f>L18+U18</f>
        <v>17</v>
      </c>
      <c r="K6" s="183">
        <f>N18+O18+V18+W18</f>
        <v>46</v>
      </c>
      <c r="L6" s="184"/>
      <c r="P6" s="181"/>
      <c r="Q6" s="181"/>
      <c r="R6" s="181"/>
      <c r="S6" s="181"/>
      <c r="T6" s="185"/>
      <c r="U6" s="185"/>
    </row>
    <row r="7" spans="2:121" ht="77.25" customHeight="1">
      <c r="B7" s="341" t="s">
        <v>28</v>
      </c>
      <c r="C7" s="341"/>
      <c r="D7" s="341"/>
      <c r="E7" s="341"/>
      <c r="F7" s="2"/>
      <c r="P7" s="181"/>
      <c r="Q7" s="181"/>
      <c r="R7" s="181"/>
      <c r="S7" s="181"/>
      <c r="T7" s="182"/>
      <c r="U7" s="182"/>
    </row>
    <row r="8" spans="2:121" ht="77.45" customHeight="1">
      <c r="B8" s="338" t="s">
        <v>29</v>
      </c>
      <c r="C8" s="338"/>
      <c r="D8" s="338"/>
      <c r="E8" s="338"/>
      <c r="F8" s="1"/>
      <c r="P8" s="181"/>
      <c r="Q8" s="181"/>
      <c r="R8" s="181"/>
      <c r="S8" s="181"/>
      <c r="T8" s="182"/>
      <c r="U8" s="182"/>
    </row>
    <row r="9" spans="2:121" ht="103.5" customHeight="1">
      <c r="B9" s="341" t="s">
        <v>30</v>
      </c>
      <c r="C9" s="341"/>
      <c r="D9" s="341"/>
      <c r="E9" s="341"/>
      <c r="F9" s="2"/>
      <c r="K9" s="342" t="s">
        <v>181</v>
      </c>
      <c r="L9" s="342"/>
      <c r="M9" s="342"/>
      <c r="N9" s="342"/>
      <c r="O9" s="342"/>
      <c r="P9" s="342"/>
      <c r="Q9" s="342"/>
      <c r="R9" s="342"/>
      <c r="S9" s="342"/>
      <c r="T9" s="342"/>
      <c r="U9" s="342"/>
      <c r="V9" s="342"/>
      <c r="W9" s="342"/>
      <c r="X9" s="342"/>
      <c r="Y9" s="342"/>
      <c r="Z9" s="342"/>
      <c r="AA9" s="342"/>
      <c r="AB9" s="342"/>
      <c r="AC9" s="342"/>
      <c r="AD9" s="342"/>
      <c r="AE9" s="342"/>
      <c r="AF9" s="342"/>
      <c r="AG9" s="342"/>
      <c r="AH9" s="342"/>
      <c r="AI9" s="342"/>
      <c r="AJ9" s="342"/>
      <c r="AK9" s="342"/>
      <c r="AL9" s="342"/>
      <c r="AM9" s="342"/>
      <c r="AN9" s="342"/>
      <c r="AO9" s="342"/>
      <c r="AP9" s="342"/>
      <c r="AQ9" s="342"/>
      <c r="AR9" s="342"/>
      <c r="AS9" s="342"/>
      <c r="AT9" s="342"/>
      <c r="AU9" s="342"/>
      <c r="AV9" s="342"/>
      <c r="AW9" s="342"/>
      <c r="AX9" s="342"/>
      <c r="AY9" s="342"/>
      <c r="AZ9" s="342"/>
      <c r="BA9" s="342"/>
      <c r="BB9" s="342"/>
      <c r="BC9" s="342"/>
      <c r="BD9" s="342"/>
      <c r="BE9" s="342"/>
      <c r="BF9" s="342"/>
      <c r="BG9" s="342"/>
      <c r="BH9" s="342"/>
      <c r="BI9" s="342"/>
      <c r="BJ9" s="342"/>
      <c r="BK9" s="342"/>
      <c r="BL9" s="342"/>
      <c r="BM9" s="342"/>
      <c r="BN9" s="342"/>
      <c r="BO9" s="342"/>
      <c r="BP9" s="342"/>
      <c r="BQ9" s="342"/>
      <c r="BR9" s="342"/>
      <c r="BS9" s="342"/>
      <c r="BT9" s="342"/>
      <c r="BU9" s="342"/>
      <c r="BV9" s="342"/>
      <c r="BW9" s="342"/>
      <c r="BX9" s="342"/>
      <c r="BY9" s="342"/>
      <c r="BZ9" s="342"/>
      <c r="CA9" s="342"/>
      <c r="CB9" s="342"/>
      <c r="CC9" s="342"/>
      <c r="CD9" s="342"/>
      <c r="CE9" s="342"/>
      <c r="CF9" s="342"/>
      <c r="CG9" s="342"/>
      <c r="CH9" s="342"/>
      <c r="CI9" s="342"/>
      <c r="CJ9" s="342"/>
      <c r="CK9" s="342"/>
      <c r="CL9" s="342"/>
      <c r="CM9" s="342"/>
      <c r="CN9" s="342"/>
      <c r="CO9" s="342"/>
      <c r="CP9" s="342"/>
      <c r="CQ9" s="342"/>
      <c r="CR9" s="342"/>
      <c r="CS9" s="342"/>
      <c r="CT9" s="342"/>
      <c r="CU9" s="342"/>
      <c r="CV9" s="342"/>
      <c r="CW9" s="342"/>
      <c r="CX9" s="342"/>
      <c r="CY9" s="342"/>
      <c r="CZ9" s="342"/>
      <c r="DA9" s="342"/>
      <c r="DB9" s="342"/>
      <c r="DC9" s="342"/>
      <c r="DD9" s="342"/>
      <c r="DE9" s="342"/>
      <c r="DF9" s="342"/>
      <c r="DG9" s="342"/>
      <c r="DH9" s="342"/>
      <c r="DI9" s="342"/>
      <c r="DJ9" s="342"/>
      <c r="DK9" s="342"/>
      <c r="DL9" s="342"/>
      <c r="DM9" s="342"/>
      <c r="DN9" s="342"/>
      <c r="DO9" s="342"/>
      <c r="DP9" s="342"/>
    </row>
    <row r="10" spans="2:121" ht="90" customHeight="1">
      <c r="B10" s="344" t="s">
        <v>32</v>
      </c>
      <c r="C10" s="344" t="s">
        <v>33</v>
      </c>
      <c r="D10" s="344" t="s">
        <v>34</v>
      </c>
      <c r="E10" s="344"/>
      <c r="F10" s="346" t="s">
        <v>35</v>
      </c>
      <c r="G10" s="346" t="s">
        <v>36</v>
      </c>
      <c r="H10" s="348" t="s">
        <v>37</v>
      </c>
      <c r="I10" s="348"/>
      <c r="J10" s="349" t="s">
        <v>38</v>
      </c>
      <c r="K10" s="343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3"/>
      <c r="W10" s="343"/>
      <c r="X10" s="343"/>
      <c r="Y10" s="343"/>
      <c r="Z10" s="343"/>
      <c r="AA10" s="343"/>
      <c r="AB10" s="343"/>
      <c r="AC10" s="343"/>
      <c r="AD10" s="343"/>
      <c r="AE10" s="343"/>
      <c r="AF10" s="343"/>
      <c r="AG10" s="343"/>
      <c r="AH10" s="343"/>
      <c r="AI10" s="343"/>
      <c r="AJ10" s="343"/>
      <c r="AK10" s="343"/>
      <c r="AL10" s="343"/>
      <c r="AM10" s="343"/>
      <c r="AN10" s="343"/>
      <c r="AO10" s="343"/>
      <c r="AP10" s="343"/>
      <c r="AQ10" s="343"/>
      <c r="AR10" s="343"/>
      <c r="AS10" s="343"/>
      <c r="AT10" s="343"/>
      <c r="AU10" s="343"/>
      <c r="AV10" s="343"/>
      <c r="AW10" s="343"/>
      <c r="AX10" s="343"/>
      <c r="AY10" s="343"/>
      <c r="AZ10" s="343"/>
      <c r="BA10" s="343"/>
      <c r="BB10" s="343"/>
      <c r="BC10" s="343"/>
      <c r="BD10" s="343"/>
      <c r="BE10" s="343"/>
      <c r="BF10" s="343"/>
      <c r="BG10" s="343"/>
      <c r="BH10" s="343"/>
      <c r="BI10" s="343"/>
      <c r="BJ10" s="343"/>
      <c r="BK10" s="343"/>
      <c r="BL10" s="343"/>
      <c r="BM10" s="343"/>
      <c r="BN10" s="343"/>
      <c r="BO10" s="343"/>
      <c r="BP10" s="343"/>
      <c r="BQ10" s="343"/>
      <c r="BR10" s="343"/>
      <c r="BS10" s="343"/>
      <c r="BT10" s="343"/>
      <c r="BU10" s="343"/>
      <c r="BV10" s="343"/>
      <c r="BW10" s="343"/>
      <c r="BX10" s="343"/>
      <c r="BY10" s="343"/>
      <c r="BZ10" s="343"/>
      <c r="CA10" s="343"/>
      <c r="CB10" s="343"/>
      <c r="CC10" s="343"/>
      <c r="CD10" s="343"/>
      <c r="CE10" s="343"/>
      <c r="CF10" s="343"/>
      <c r="CG10" s="343"/>
      <c r="CH10" s="343"/>
      <c r="CI10" s="343"/>
      <c r="CJ10" s="343"/>
      <c r="CK10" s="343"/>
      <c r="CL10" s="343"/>
      <c r="CM10" s="343"/>
      <c r="CN10" s="343"/>
      <c r="CO10" s="343"/>
      <c r="CP10" s="343"/>
      <c r="CQ10" s="343"/>
      <c r="CR10" s="343"/>
      <c r="CS10" s="343"/>
      <c r="CT10" s="343"/>
      <c r="CU10" s="343"/>
      <c r="CV10" s="343"/>
      <c r="CW10" s="343"/>
      <c r="CX10" s="343"/>
      <c r="CY10" s="343"/>
      <c r="CZ10" s="343"/>
      <c r="DA10" s="343"/>
      <c r="DB10" s="343"/>
      <c r="DC10" s="343"/>
      <c r="DD10" s="343"/>
      <c r="DE10" s="343"/>
      <c r="DF10" s="343"/>
      <c r="DG10" s="343"/>
      <c r="DH10" s="343"/>
      <c r="DI10" s="343"/>
      <c r="DJ10" s="343"/>
      <c r="DK10" s="343"/>
      <c r="DL10" s="343"/>
      <c r="DM10" s="343"/>
      <c r="DN10" s="343"/>
      <c r="DO10" s="343"/>
      <c r="DP10" s="343"/>
    </row>
    <row r="11" spans="2:121" ht="24.95" customHeight="1">
      <c r="B11" s="344"/>
      <c r="C11" s="344"/>
      <c r="D11" s="344"/>
      <c r="E11" s="344"/>
      <c r="F11" s="346"/>
      <c r="G11" s="346"/>
      <c r="H11" s="346" t="s">
        <v>39</v>
      </c>
      <c r="I11" s="346" t="s">
        <v>40</v>
      </c>
      <c r="J11" s="349"/>
      <c r="K11" s="350" t="s">
        <v>41</v>
      </c>
      <c r="L11" s="351"/>
      <c r="M11" s="351"/>
      <c r="N11" s="351"/>
      <c r="O11" s="351"/>
      <c r="P11" s="351"/>
      <c r="Q11" s="351"/>
      <c r="R11" s="351"/>
      <c r="S11" s="352"/>
      <c r="T11" s="350" t="s">
        <v>42</v>
      </c>
      <c r="U11" s="351"/>
      <c r="V11" s="351"/>
      <c r="W11" s="351"/>
      <c r="X11" s="351"/>
      <c r="Y11" s="351"/>
      <c r="Z11" s="351"/>
      <c r="AA11" s="351"/>
      <c r="AB11" s="352"/>
      <c r="AC11" s="350" t="s">
        <v>43</v>
      </c>
      <c r="AD11" s="351"/>
      <c r="AE11" s="351"/>
      <c r="AF11" s="351"/>
      <c r="AG11" s="351"/>
      <c r="AH11" s="351"/>
      <c r="AI11" s="351"/>
      <c r="AJ11" s="351"/>
      <c r="AK11" s="352"/>
      <c r="AL11" s="350" t="s">
        <v>44</v>
      </c>
      <c r="AM11" s="351"/>
      <c r="AN11" s="351"/>
      <c r="AO11" s="351"/>
      <c r="AP11" s="351"/>
      <c r="AQ11" s="351"/>
      <c r="AR11" s="351"/>
      <c r="AS11" s="351"/>
      <c r="AT11" s="352"/>
      <c r="AU11" s="350" t="s">
        <v>45</v>
      </c>
      <c r="AV11" s="351"/>
      <c r="AW11" s="351"/>
      <c r="AX11" s="351"/>
      <c r="AY11" s="351"/>
      <c r="AZ11" s="351"/>
      <c r="BA11" s="351"/>
      <c r="BB11" s="351"/>
      <c r="BC11" s="352"/>
      <c r="BD11" s="350" t="s">
        <v>46</v>
      </c>
      <c r="BE11" s="351"/>
      <c r="BF11" s="351"/>
      <c r="BG11" s="351"/>
      <c r="BH11" s="351"/>
      <c r="BI11" s="351"/>
      <c r="BJ11" s="351"/>
      <c r="BK11" s="351"/>
      <c r="BL11" s="352"/>
      <c r="BM11" s="350" t="s">
        <v>47</v>
      </c>
      <c r="BN11" s="351"/>
      <c r="BO11" s="351"/>
      <c r="BP11" s="351"/>
      <c r="BQ11" s="351"/>
      <c r="BR11" s="351"/>
      <c r="BS11" s="351"/>
      <c r="BT11" s="351"/>
      <c r="BU11" s="352"/>
      <c r="BV11" s="350" t="s">
        <v>48</v>
      </c>
      <c r="BW11" s="351"/>
      <c r="BX11" s="351"/>
      <c r="BY11" s="351"/>
      <c r="BZ11" s="351"/>
      <c r="CA11" s="351"/>
      <c r="CB11" s="351"/>
      <c r="CC11" s="351"/>
      <c r="CD11" s="352"/>
      <c r="CE11" s="350" t="s">
        <v>49</v>
      </c>
      <c r="CF11" s="351"/>
      <c r="CG11" s="351"/>
      <c r="CH11" s="351"/>
      <c r="CI11" s="351"/>
      <c r="CJ11" s="351"/>
      <c r="CK11" s="351"/>
      <c r="CL11" s="351"/>
      <c r="CM11" s="352"/>
      <c r="CN11" s="350" t="s">
        <v>50</v>
      </c>
      <c r="CO11" s="351"/>
      <c r="CP11" s="351"/>
      <c r="CQ11" s="351"/>
      <c r="CR11" s="351"/>
      <c r="CS11" s="351"/>
      <c r="CT11" s="351"/>
      <c r="CU11" s="351"/>
      <c r="CV11" s="352"/>
      <c r="CW11" s="350" t="s">
        <v>51</v>
      </c>
      <c r="CX11" s="351"/>
      <c r="CY11" s="351"/>
      <c r="CZ11" s="351"/>
      <c r="DA11" s="351"/>
      <c r="DB11" s="351"/>
      <c r="DC11" s="351"/>
      <c r="DD11" s="351"/>
      <c r="DE11" s="352"/>
      <c r="DF11" s="350" t="s">
        <v>52</v>
      </c>
      <c r="DG11" s="351"/>
      <c r="DH11" s="351"/>
      <c r="DI11" s="351"/>
      <c r="DJ11" s="351"/>
      <c r="DK11" s="351"/>
      <c r="DL11" s="351"/>
      <c r="DM11" s="351"/>
      <c r="DN11" s="352"/>
      <c r="DO11" s="359" t="s">
        <v>53</v>
      </c>
      <c r="DP11" s="362" t="s">
        <v>54</v>
      </c>
    </row>
    <row r="12" spans="2:121" ht="48" customHeight="1">
      <c r="B12" s="344"/>
      <c r="C12" s="344"/>
      <c r="D12" s="344"/>
      <c r="E12" s="344"/>
      <c r="F12" s="346"/>
      <c r="G12" s="346"/>
      <c r="H12" s="346"/>
      <c r="I12" s="346"/>
      <c r="J12" s="349"/>
      <c r="K12" s="353"/>
      <c r="L12" s="354"/>
      <c r="M12" s="354"/>
      <c r="N12" s="354"/>
      <c r="O12" s="354"/>
      <c r="P12" s="354"/>
      <c r="Q12" s="354"/>
      <c r="R12" s="354"/>
      <c r="S12" s="355"/>
      <c r="T12" s="353"/>
      <c r="U12" s="354"/>
      <c r="V12" s="354"/>
      <c r="W12" s="354"/>
      <c r="X12" s="354"/>
      <c r="Y12" s="354"/>
      <c r="Z12" s="354"/>
      <c r="AA12" s="354"/>
      <c r="AB12" s="355"/>
      <c r="AC12" s="353"/>
      <c r="AD12" s="354"/>
      <c r="AE12" s="354"/>
      <c r="AF12" s="354"/>
      <c r="AG12" s="354"/>
      <c r="AH12" s="354"/>
      <c r="AI12" s="354"/>
      <c r="AJ12" s="354"/>
      <c r="AK12" s="355"/>
      <c r="AL12" s="353"/>
      <c r="AM12" s="354"/>
      <c r="AN12" s="354"/>
      <c r="AO12" s="354"/>
      <c r="AP12" s="354"/>
      <c r="AQ12" s="354"/>
      <c r="AR12" s="354"/>
      <c r="AS12" s="354"/>
      <c r="AT12" s="355"/>
      <c r="AU12" s="353"/>
      <c r="AV12" s="354"/>
      <c r="AW12" s="354"/>
      <c r="AX12" s="354"/>
      <c r="AY12" s="354"/>
      <c r="AZ12" s="354"/>
      <c r="BA12" s="354"/>
      <c r="BB12" s="354"/>
      <c r="BC12" s="355"/>
      <c r="BD12" s="353"/>
      <c r="BE12" s="354"/>
      <c r="BF12" s="354"/>
      <c r="BG12" s="354"/>
      <c r="BH12" s="354"/>
      <c r="BI12" s="354"/>
      <c r="BJ12" s="354"/>
      <c r="BK12" s="354"/>
      <c r="BL12" s="355"/>
      <c r="BM12" s="353"/>
      <c r="BN12" s="354"/>
      <c r="BO12" s="354"/>
      <c r="BP12" s="354"/>
      <c r="BQ12" s="354"/>
      <c r="BR12" s="354"/>
      <c r="BS12" s="354"/>
      <c r="BT12" s="354"/>
      <c r="BU12" s="355"/>
      <c r="BV12" s="353"/>
      <c r="BW12" s="354"/>
      <c r="BX12" s="354"/>
      <c r="BY12" s="354"/>
      <c r="BZ12" s="354"/>
      <c r="CA12" s="354"/>
      <c r="CB12" s="354"/>
      <c r="CC12" s="354"/>
      <c r="CD12" s="355"/>
      <c r="CE12" s="353"/>
      <c r="CF12" s="354"/>
      <c r="CG12" s="354"/>
      <c r="CH12" s="354"/>
      <c r="CI12" s="354"/>
      <c r="CJ12" s="354"/>
      <c r="CK12" s="354"/>
      <c r="CL12" s="354"/>
      <c r="CM12" s="355"/>
      <c r="CN12" s="353"/>
      <c r="CO12" s="354"/>
      <c r="CP12" s="354"/>
      <c r="CQ12" s="354"/>
      <c r="CR12" s="354"/>
      <c r="CS12" s="354"/>
      <c r="CT12" s="354"/>
      <c r="CU12" s="354"/>
      <c r="CV12" s="355"/>
      <c r="CW12" s="353"/>
      <c r="CX12" s="354"/>
      <c r="CY12" s="354"/>
      <c r="CZ12" s="354"/>
      <c r="DA12" s="354"/>
      <c r="DB12" s="354"/>
      <c r="DC12" s="354"/>
      <c r="DD12" s="354"/>
      <c r="DE12" s="355"/>
      <c r="DF12" s="353"/>
      <c r="DG12" s="354"/>
      <c r="DH12" s="354"/>
      <c r="DI12" s="354"/>
      <c r="DJ12" s="354"/>
      <c r="DK12" s="354"/>
      <c r="DL12" s="354"/>
      <c r="DM12" s="354"/>
      <c r="DN12" s="355"/>
      <c r="DO12" s="360"/>
      <c r="DP12" s="363"/>
    </row>
    <row r="13" spans="2:121" ht="78" customHeight="1">
      <c r="B13" s="344"/>
      <c r="C13" s="344"/>
      <c r="D13" s="344"/>
      <c r="E13" s="344"/>
      <c r="F13" s="346"/>
      <c r="G13" s="346"/>
      <c r="H13" s="346"/>
      <c r="I13" s="346"/>
      <c r="J13" s="365" t="s">
        <v>55</v>
      </c>
      <c r="K13" s="356"/>
      <c r="L13" s="357"/>
      <c r="M13" s="357"/>
      <c r="N13" s="357"/>
      <c r="O13" s="357"/>
      <c r="P13" s="357"/>
      <c r="Q13" s="357"/>
      <c r="R13" s="357"/>
      <c r="S13" s="358"/>
      <c r="T13" s="356"/>
      <c r="U13" s="357"/>
      <c r="V13" s="357"/>
      <c r="W13" s="357"/>
      <c r="X13" s="357"/>
      <c r="Y13" s="357"/>
      <c r="Z13" s="357"/>
      <c r="AA13" s="357"/>
      <c r="AB13" s="358"/>
      <c r="AC13" s="356"/>
      <c r="AD13" s="357"/>
      <c r="AE13" s="357"/>
      <c r="AF13" s="357"/>
      <c r="AG13" s="357"/>
      <c r="AH13" s="357"/>
      <c r="AI13" s="357"/>
      <c r="AJ13" s="357"/>
      <c r="AK13" s="358"/>
      <c r="AL13" s="356"/>
      <c r="AM13" s="357"/>
      <c r="AN13" s="357"/>
      <c r="AO13" s="357"/>
      <c r="AP13" s="357"/>
      <c r="AQ13" s="357"/>
      <c r="AR13" s="357"/>
      <c r="AS13" s="357"/>
      <c r="AT13" s="358"/>
      <c r="AU13" s="356"/>
      <c r="AV13" s="357"/>
      <c r="AW13" s="357"/>
      <c r="AX13" s="357"/>
      <c r="AY13" s="357"/>
      <c r="AZ13" s="357"/>
      <c r="BA13" s="357"/>
      <c r="BB13" s="357"/>
      <c r="BC13" s="358"/>
      <c r="BD13" s="356"/>
      <c r="BE13" s="357"/>
      <c r="BF13" s="357"/>
      <c r="BG13" s="357"/>
      <c r="BH13" s="357"/>
      <c r="BI13" s="357"/>
      <c r="BJ13" s="357"/>
      <c r="BK13" s="357"/>
      <c r="BL13" s="358"/>
      <c r="BM13" s="356"/>
      <c r="BN13" s="357"/>
      <c r="BO13" s="357"/>
      <c r="BP13" s="357"/>
      <c r="BQ13" s="357"/>
      <c r="BR13" s="357"/>
      <c r="BS13" s="357"/>
      <c r="BT13" s="357"/>
      <c r="BU13" s="358"/>
      <c r="BV13" s="356"/>
      <c r="BW13" s="357"/>
      <c r="BX13" s="357"/>
      <c r="BY13" s="357"/>
      <c r="BZ13" s="357"/>
      <c r="CA13" s="357"/>
      <c r="CB13" s="357"/>
      <c r="CC13" s="357"/>
      <c r="CD13" s="358"/>
      <c r="CE13" s="356"/>
      <c r="CF13" s="357"/>
      <c r="CG13" s="357"/>
      <c r="CH13" s="357"/>
      <c r="CI13" s="357"/>
      <c r="CJ13" s="357"/>
      <c r="CK13" s="357"/>
      <c r="CL13" s="357"/>
      <c r="CM13" s="358"/>
      <c r="CN13" s="356"/>
      <c r="CO13" s="357"/>
      <c r="CP13" s="357"/>
      <c r="CQ13" s="357"/>
      <c r="CR13" s="357"/>
      <c r="CS13" s="357"/>
      <c r="CT13" s="357"/>
      <c r="CU13" s="357"/>
      <c r="CV13" s="358"/>
      <c r="CW13" s="356"/>
      <c r="CX13" s="357"/>
      <c r="CY13" s="357"/>
      <c r="CZ13" s="357"/>
      <c r="DA13" s="357"/>
      <c r="DB13" s="357"/>
      <c r="DC13" s="357"/>
      <c r="DD13" s="357"/>
      <c r="DE13" s="358"/>
      <c r="DF13" s="356"/>
      <c r="DG13" s="357"/>
      <c r="DH13" s="357"/>
      <c r="DI13" s="357"/>
      <c r="DJ13" s="357"/>
      <c r="DK13" s="357"/>
      <c r="DL13" s="357"/>
      <c r="DM13" s="357"/>
      <c r="DN13" s="358"/>
      <c r="DO13" s="360"/>
      <c r="DP13" s="363"/>
    </row>
    <row r="14" spans="2:121" ht="99.95" customHeight="1" thickBot="1">
      <c r="B14" s="345"/>
      <c r="C14" s="345"/>
      <c r="D14" s="345"/>
      <c r="E14" s="345"/>
      <c r="F14" s="347"/>
      <c r="G14" s="347"/>
      <c r="H14" s="347"/>
      <c r="I14" s="347"/>
      <c r="J14" s="365"/>
      <c r="K14" s="187" t="s">
        <v>56</v>
      </c>
      <c r="L14" s="187" t="s">
        <v>57</v>
      </c>
      <c r="M14" s="187" t="s">
        <v>58</v>
      </c>
      <c r="N14" s="187" t="s">
        <v>59</v>
      </c>
      <c r="O14" s="187" t="s">
        <v>60</v>
      </c>
      <c r="P14" s="187" t="s">
        <v>61</v>
      </c>
      <c r="Q14" s="187" t="s">
        <v>62</v>
      </c>
      <c r="R14" s="187" t="s">
        <v>63</v>
      </c>
      <c r="S14" s="187" t="s">
        <v>64</v>
      </c>
      <c r="T14" s="187" t="s">
        <v>56</v>
      </c>
      <c r="U14" s="187" t="s">
        <v>57</v>
      </c>
      <c r="V14" s="187" t="s">
        <v>58</v>
      </c>
      <c r="W14" s="187" t="s">
        <v>59</v>
      </c>
      <c r="X14" s="187" t="s">
        <v>60</v>
      </c>
      <c r="Y14" s="187" t="s">
        <v>61</v>
      </c>
      <c r="Z14" s="187" t="s">
        <v>62</v>
      </c>
      <c r="AA14" s="187" t="s">
        <v>63</v>
      </c>
      <c r="AB14" s="187" t="s">
        <v>64</v>
      </c>
      <c r="AC14" s="187" t="s">
        <v>56</v>
      </c>
      <c r="AD14" s="187" t="s">
        <v>57</v>
      </c>
      <c r="AE14" s="187" t="s">
        <v>58</v>
      </c>
      <c r="AF14" s="187" t="s">
        <v>59</v>
      </c>
      <c r="AG14" s="187" t="s">
        <v>60</v>
      </c>
      <c r="AH14" s="187" t="s">
        <v>61</v>
      </c>
      <c r="AI14" s="187" t="s">
        <v>62</v>
      </c>
      <c r="AJ14" s="187" t="s">
        <v>63</v>
      </c>
      <c r="AK14" s="187" t="s">
        <v>64</v>
      </c>
      <c r="AL14" s="187" t="s">
        <v>56</v>
      </c>
      <c r="AM14" s="187" t="s">
        <v>57</v>
      </c>
      <c r="AN14" s="187" t="s">
        <v>58</v>
      </c>
      <c r="AO14" s="187" t="s">
        <v>59</v>
      </c>
      <c r="AP14" s="187" t="s">
        <v>60</v>
      </c>
      <c r="AQ14" s="187" t="s">
        <v>61</v>
      </c>
      <c r="AR14" s="187" t="s">
        <v>62</v>
      </c>
      <c r="AS14" s="187" t="s">
        <v>63</v>
      </c>
      <c r="AT14" s="187" t="s">
        <v>64</v>
      </c>
      <c r="AU14" s="187" t="s">
        <v>56</v>
      </c>
      <c r="AV14" s="187" t="s">
        <v>57</v>
      </c>
      <c r="AW14" s="187" t="s">
        <v>58</v>
      </c>
      <c r="AX14" s="187" t="s">
        <v>59</v>
      </c>
      <c r="AY14" s="187" t="s">
        <v>60</v>
      </c>
      <c r="AZ14" s="187" t="s">
        <v>61</v>
      </c>
      <c r="BA14" s="187" t="s">
        <v>62</v>
      </c>
      <c r="BB14" s="187" t="s">
        <v>63</v>
      </c>
      <c r="BC14" s="187" t="s">
        <v>64</v>
      </c>
      <c r="BD14" s="187" t="s">
        <v>56</v>
      </c>
      <c r="BE14" s="187" t="s">
        <v>57</v>
      </c>
      <c r="BF14" s="187" t="s">
        <v>58</v>
      </c>
      <c r="BG14" s="187" t="s">
        <v>59</v>
      </c>
      <c r="BH14" s="187" t="s">
        <v>60</v>
      </c>
      <c r="BI14" s="187" t="s">
        <v>61</v>
      </c>
      <c r="BJ14" s="187" t="s">
        <v>62</v>
      </c>
      <c r="BK14" s="187" t="s">
        <v>63</v>
      </c>
      <c r="BL14" s="187" t="s">
        <v>64</v>
      </c>
      <c r="BM14" s="187" t="s">
        <v>56</v>
      </c>
      <c r="BN14" s="187" t="s">
        <v>57</v>
      </c>
      <c r="BO14" s="187" t="s">
        <v>58</v>
      </c>
      <c r="BP14" s="187" t="s">
        <v>59</v>
      </c>
      <c r="BQ14" s="187" t="s">
        <v>60</v>
      </c>
      <c r="BR14" s="187" t="s">
        <v>61</v>
      </c>
      <c r="BS14" s="187" t="s">
        <v>62</v>
      </c>
      <c r="BT14" s="187" t="s">
        <v>63</v>
      </c>
      <c r="BU14" s="187" t="s">
        <v>64</v>
      </c>
      <c r="BV14" s="187" t="s">
        <v>56</v>
      </c>
      <c r="BW14" s="187" t="s">
        <v>57</v>
      </c>
      <c r="BX14" s="187" t="s">
        <v>58</v>
      </c>
      <c r="BY14" s="187" t="s">
        <v>59</v>
      </c>
      <c r="BZ14" s="187" t="s">
        <v>60</v>
      </c>
      <c r="CA14" s="187" t="s">
        <v>61</v>
      </c>
      <c r="CB14" s="187" t="s">
        <v>62</v>
      </c>
      <c r="CC14" s="187" t="s">
        <v>63</v>
      </c>
      <c r="CD14" s="187" t="s">
        <v>64</v>
      </c>
      <c r="CE14" s="187" t="s">
        <v>56</v>
      </c>
      <c r="CF14" s="187" t="s">
        <v>57</v>
      </c>
      <c r="CG14" s="187" t="s">
        <v>58</v>
      </c>
      <c r="CH14" s="187" t="s">
        <v>59</v>
      </c>
      <c r="CI14" s="187" t="s">
        <v>60</v>
      </c>
      <c r="CJ14" s="187" t="s">
        <v>61</v>
      </c>
      <c r="CK14" s="187" t="s">
        <v>62</v>
      </c>
      <c r="CL14" s="187" t="s">
        <v>63</v>
      </c>
      <c r="CM14" s="187" t="s">
        <v>64</v>
      </c>
      <c r="CN14" s="187" t="s">
        <v>56</v>
      </c>
      <c r="CO14" s="187" t="s">
        <v>57</v>
      </c>
      <c r="CP14" s="187" t="s">
        <v>58</v>
      </c>
      <c r="CQ14" s="187" t="s">
        <v>59</v>
      </c>
      <c r="CR14" s="187" t="s">
        <v>60</v>
      </c>
      <c r="CS14" s="187" t="s">
        <v>61</v>
      </c>
      <c r="CT14" s="187" t="s">
        <v>62</v>
      </c>
      <c r="CU14" s="187" t="s">
        <v>63</v>
      </c>
      <c r="CV14" s="187" t="s">
        <v>64</v>
      </c>
      <c r="CW14" s="187" t="s">
        <v>56</v>
      </c>
      <c r="CX14" s="187" t="s">
        <v>57</v>
      </c>
      <c r="CY14" s="187" t="s">
        <v>58</v>
      </c>
      <c r="CZ14" s="187" t="s">
        <v>59</v>
      </c>
      <c r="DA14" s="187" t="s">
        <v>60</v>
      </c>
      <c r="DB14" s="187" t="s">
        <v>61</v>
      </c>
      <c r="DC14" s="187" t="s">
        <v>62</v>
      </c>
      <c r="DD14" s="187" t="s">
        <v>63</v>
      </c>
      <c r="DE14" s="187" t="s">
        <v>64</v>
      </c>
      <c r="DF14" s="187" t="s">
        <v>56</v>
      </c>
      <c r="DG14" s="187" t="s">
        <v>57</v>
      </c>
      <c r="DH14" s="187" t="s">
        <v>58</v>
      </c>
      <c r="DI14" s="187" t="s">
        <v>59</v>
      </c>
      <c r="DJ14" s="187" t="s">
        <v>60</v>
      </c>
      <c r="DK14" s="187" t="s">
        <v>61</v>
      </c>
      <c r="DL14" s="187" t="s">
        <v>62</v>
      </c>
      <c r="DM14" s="187" t="s">
        <v>63</v>
      </c>
      <c r="DN14" s="187" t="s">
        <v>64</v>
      </c>
      <c r="DO14" s="361"/>
      <c r="DP14" s="364"/>
    </row>
    <row r="15" spans="2:121" ht="182.25" hidden="1" customHeight="1" thickBot="1">
      <c r="B15" s="366" t="s">
        <v>121</v>
      </c>
      <c r="C15" s="368" t="s">
        <v>122</v>
      </c>
      <c r="D15" s="370" t="s">
        <v>73</v>
      </c>
      <c r="E15" s="371"/>
      <c r="F15" s="368" t="s">
        <v>16</v>
      </c>
      <c r="G15" s="374">
        <v>136</v>
      </c>
      <c r="H15" s="384" t="s">
        <v>182</v>
      </c>
      <c r="I15" s="385">
        <v>136</v>
      </c>
      <c r="J15" s="188" t="s">
        <v>65</v>
      </c>
      <c r="K15" s="376">
        <v>71</v>
      </c>
      <c r="L15" s="377"/>
      <c r="M15" s="377"/>
      <c r="N15" s="377"/>
      <c r="O15" s="377"/>
      <c r="P15" s="377"/>
      <c r="Q15" s="377"/>
      <c r="R15" s="378"/>
      <c r="S15" s="189">
        <f>SUM(K15:R15)</f>
        <v>71</v>
      </c>
      <c r="T15" s="376">
        <v>5</v>
      </c>
      <c r="U15" s="377"/>
      <c r="V15" s="377"/>
      <c r="W15" s="377"/>
      <c r="X15" s="377"/>
      <c r="Y15" s="377"/>
      <c r="Z15" s="377"/>
      <c r="AA15" s="378"/>
      <c r="AB15" s="189">
        <f>SUM(T15:AA15)</f>
        <v>5</v>
      </c>
      <c r="AC15" s="376">
        <v>5</v>
      </c>
      <c r="AD15" s="377"/>
      <c r="AE15" s="377"/>
      <c r="AF15" s="377"/>
      <c r="AG15" s="377"/>
      <c r="AH15" s="377"/>
      <c r="AI15" s="377"/>
      <c r="AJ15" s="378"/>
      <c r="AK15" s="189">
        <f t="shared" ref="AK15:AK20" si="0">SUM(AC15:AJ15)</f>
        <v>5</v>
      </c>
      <c r="AL15" s="376">
        <v>5</v>
      </c>
      <c r="AM15" s="377"/>
      <c r="AN15" s="377"/>
      <c r="AO15" s="377"/>
      <c r="AP15" s="377"/>
      <c r="AQ15" s="377"/>
      <c r="AR15" s="377"/>
      <c r="AS15" s="378"/>
      <c r="AT15" s="189">
        <f>SUM(AL15:AS15)</f>
        <v>5</v>
      </c>
      <c r="AU15" s="376">
        <v>5</v>
      </c>
      <c r="AV15" s="377"/>
      <c r="AW15" s="377"/>
      <c r="AX15" s="377"/>
      <c r="AY15" s="377"/>
      <c r="AZ15" s="377"/>
      <c r="BA15" s="377"/>
      <c r="BB15" s="378"/>
      <c r="BC15" s="189">
        <f>SUM(AU15)</f>
        <v>5</v>
      </c>
      <c r="BD15" s="376">
        <v>7</v>
      </c>
      <c r="BE15" s="377"/>
      <c r="BF15" s="377"/>
      <c r="BG15" s="377"/>
      <c r="BH15" s="377"/>
      <c r="BI15" s="377"/>
      <c r="BJ15" s="377"/>
      <c r="BK15" s="378"/>
      <c r="BL15" s="190">
        <f>SUM(BD15:BK15)</f>
        <v>7</v>
      </c>
      <c r="BM15" s="376">
        <v>7</v>
      </c>
      <c r="BN15" s="377"/>
      <c r="BO15" s="377"/>
      <c r="BP15" s="377"/>
      <c r="BQ15" s="377"/>
      <c r="BR15" s="377"/>
      <c r="BS15" s="377"/>
      <c r="BT15" s="378"/>
      <c r="BU15" s="189">
        <f>SUM(BM15:BT15)</f>
        <v>7</v>
      </c>
      <c r="BV15" s="376">
        <v>7</v>
      </c>
      <c r="BW15" s="377"/>
      <c r="BX15" s="377"/>
      <c r="BY15" s="377"/>
      <c r="BZ15" s="377"/>
      <c r="CA15" s="377"/>
      <c r="CB15" s="377"/>
      <c r="CC15" s="378"/>
      <c r="CD15" s="190">
        <f>SUM(BV15:CC15)</f>
        <v>7</v>
      </c>
      <c r="CE15" s="376">
        <v>7</v>
      </c>
      <c r="CF15" s="377"/>
      <c r="CG15" s="377"/>
      <c r="CH15" s="377"/>
      <c r="CI15" s="377"/>
      <c r="CJ15" s="377"/>
      <c r="CK15" s="377"/>
      <c r="CL15" s="378"/>
      <c r="CM15" s="190">
        <f>SUM(CE15)</f>
        <v>7</v>
      </c>
      <c r="CN15" s="376">
        <v>7</v>
      </c>
      <c r="CO15" s="377"/>
      <c r="CP15" s="377"/>
      <c r="CQ15" s="377"/>
      <c r="CR15" s="377"/>
      <c r="CS15" s="377"/>
      <c r="CT15" s="377"/>
      <c r="CU15" s="378"/>
      <c r="CV15" s="190">
        <f>SUM(CN15:CU15)</f>
        <v>7</v>
      </c>
      <c r="CW15" s="376">
        <v>5</v>
      </c>
      <c r="CX15" s="377"/>
      <c r="CY15" s="377"/>
      <c r="CZ15" s="377"/>
      <c r="DA15" s="377"/>
      <c r="DB15" s="377"/>
      <c r="DC15" s="377"/>
      <c r="DD15" s="378"/>
      <c r="DE15" s="190">
        <f>SUM(CW15:DD15)</f>
        <v>5</v>
      </c>
      <c r="DF15" s="376">
        <v>5</v>
      </c>
      <c r="DG15" s="377"/>
      <c r="DH15" s="377"/>
      <c r="DI15" s="377"/>
      <c r="DJ15" s="377"/>
      <c r="DK15" s="377"/>
      <c r="DL15" s="377"/>
      <c r="DM15" s="378"/>
      <c r="DN15" s="189">
        <f>SUM(DF15:DM15)</f>
        <v>5</v>
      </c>
      <c r="DO15" s="191">
        <f>S15+AB15+AK15+AT15+BC15+BL15+BU15+CD15+CM15+CV15+DE15+DN15</f>
        <v>136</v>
      </c>
      <c r="DP15" s="192"/>
      <c r="DQ15" s="193"/>
    </row>
    <row r="16" spans="2:121" ht="189.6" customHeight="1">
      <c r="B16" s="367"/>
      <c r="C16" s="369"/>
      <c r="D16" s="372"/>
      <c r="E16" s="373"/>
      <c r="F16" s="369"/>
      <c r="G16" s="375"/>
      <c r="H16" s="381"/>
      <c r="I16" s="383"/>
      <c r="J16" s="194" t="s">
        <v>66</v>
      </c>
      <c r="K16" s="195">
        <v>10</v>
      </c>
      <c r="L16" s="196">
        <v>10</v>
      </c>
      <c r="M16" s="196">
        <v>7</v>
      </c>
      <c r="N16" s="196">
        <v>4</v>
      </c>
      <c r="O16" s="196">
        <v>39</v>
      </c>
      <c r="P16" s="196">
        <v>1</v>
      </c>
      <c r="Q16" s="196"/>
      <c r="R16" s="196"/>
      <c r="S16" s="196">
        <f>SUM(K16:R16)</f>
        <v>71</v>
      </c>
      <c r="T16" s="196">
        <v>11</v>
      </c>
      <c r="U16" s="196">
        <v>7</v>
      </c>
      <c r="V16" s="196">
        <v>2</v>
      </c>
      <c r="W16" s="196">
        <v>1</v>
      </c>
      <c r="X16" s="196">
        <v>5</v>
      </c>
      <c r="Y16" s="196">
        <v>1</v>
      </c>
      <c r="Z16" s="196"/>
      <c r="AA16" s="196"/>
      <c r="AB16" s="196">
        <f>SUM(T16:AA16)</f>
        <v>27</v>
      </c>
      <c r="AC16" s="196"/>
      <c r="AD16" s="196"/>
      <c r="AE16" s="196"/>
      <c r="AF16" s="196"/>
      <c r="AG16" s="196"/>
      <c r="AH16" s="196"/>
      <c r="AI16" s="196"/>
      <c r="AJ16" s="196"/>
      <c r="AK16" s="196">
        <f t="shared" si="0"/>
        <v>0</v>
      </c>
      <c r="AL16" s="196"/>
      <c r="AM16" s="196"/>
      <c r="AN16" s="196"/>
      <c r="AO16" s="196"/>
      <c r="AP16" s="196"/>
      <c r="AQ16" s="196"/>
      <c r="AR16" s="196"/>
      <c r="AS16" s="196"/>
      <c r="AT16" s="196">
        <f t="shared" ref="AT16:AT18" si="1">SUM(AL16:AS16)</f>
        <v>0</v>
      </c>
      <c r="AU16" s="196"/>
      <c r="AV16" s="196"/>
      <c r="AW16" s="196"/>
      <c r="AX16" s="196"/>
      <c r="AY16" s="196"/>
      <c r="AZ16" s="196"/>
      <c r="BA16" s="196"/>
      <c r="BB16" s="196"/>
      <c r="BC16" s="189">
        <f t="shared" ref="BC16:BC29" si="2">SUM(AU16)</f>
        <v>0</v>
      </c>
      <c r="BD16" s="196"/>
      <c r="BE16" s="196"/>
      <c r="BF16" s="196"/>
      <c r="BG16" s="196"/>
      <c r="BH16" s="196">
        <v>40</v>
      </c>
      <c r="BI16" s="196"/>
      <c r="BJ16" s="196"/>
      <c r="BK16" s="196"/>
      <c r="BL16" s="196">
        <f>SUM(BD16:BK16)</f>
        <v>40</v>
      </c>
      <c r="BM16" s="196"/>
      <c r="BN16" s="196"/>
      <c r="BO16" s="196"/>
      <c r="BP16" s="196"/>
      <c r="BQ16" s="196"/>
      <c r="BR16" s="196"/>
      <c r="BS16" s="196"/>
      <c r="BT16" s="196"/>
      <c r="BU16" s="196">
        <f t="shared" ref="BU16:BU18" si="3">SUM(BM16:BT16)</f>
        <v>0</v>
      </c>
      <c r="BV16" s="196"/>
      <c r="BW16" s="196"/>
      <c r="BX16" s="196"/>
      <c r="BY16" s="196"/>
      <c r="BZ16" s="196">
        <v>0</v>
      </c>
      <c r="CA16" s="196"/>
      <c r="CB16" s="196"/>
      <c r="CC16" s="196"/>
      <c r="CD16" s="196">
        <f t="shared" ref="CD16:CD18" si="4">SUM(BV16:CC16)</f>
        <v>0</v>
      </c>
      <c r="CE16" s="196"/>
      <c r="CF16" s="196"/>
      <c r="CG16" s="196"/>
      <c r="CH16" s="196"/>
      <c r="CI16" s="196">
        <v>0</v>
      </c>
      <c r="CJ16" s="196"/>
      <c r="CK16" s="196"/>
      <c r="CL16" s="196"/>
      <c r="CM16" s="190">
        <f>SUM(CE16:CL16)</f>
        <v>0</v>
      </c>
      <c r="CN16" s="197">
        <v>2</v>
      </c>
      <c r="CO16" s="197">
        <v>1</v>
      </c>
      <c r="CP16" s="197"/>
      <c r="CQ16" s="197"/>
      <c r="CR16" s="197">
        <v>3</v>
      </c>
      <c r="CS16" s="197">
        <v>1</v>
      </c>
      <c r="CT16" s="197"/>
      <c r="CU16" s="197"/>
      <c r="CV16" s="197">
        <f>SUM(CN16:CU16)</f>
        <v>7</v>
      </c>
      <c r="CW16" s="197"/>
      <c r="CX16" s="197"/>
      <c r="CY16" s="197"/>
      <c r="CZ16" s="197"/>
      <c r="DA16" s="197"/>
      <c r="DB16" s="197"/>
      <c r="DC16" s="197"/>
      <c r="DD16" s="197"/>
      <c r="DE16" s="197">
        <f t="shared" ref="DE16:DE18" si="5">SUM(CW16:DD16)</f>
        <v>0</v>
      </c>
      <c r="DF16" s="198"/>
      <c r="DG16" s="198"/>
      <c r="DH16" s="198"/>
      <c r="DI16" s="198"/>
      <c r="DJ16" s="198"/>
      <c r="DK16" s="198"/>
      <c r="DL16" s="198"/>
      <c r="DM16" s="198"/>
      <c r="DN16" s="198">
        <f t="shared" ref="DN16:DN18" si="6">SUM(DF16:DM16)</f>
        <v>0</v>
      </c>
      <c r="DO16" s="199">
        <f>S16+AB16+AK16+AT16+BC16+BL16+BU16+CD16+CM16+CV16+DE16+DN16</f>
        <v>145</v>
      </c>
      <c r="DP16" s="192"/>
      <c r="DQ16" s="193"/>
    </row>
    <row r="17" spans="2:121" ht="167.25" hidden="1" customHeight="1">
      <c r="B17" s="379" t="s">
        <v>67</v>
      </c>
      <c r="C17" s="375" t="s">
        <v>68</v>
      </c>
      <c r="D17" s="375" t="s">
        <v>73</v>
      </c>
      <c r="E17" s="375"/>
      <c r="F17" s="375" t="s">
        <v>1</v>
      </c>
      <c r="G17" s="380">
        <v>136</v>
      </c>
      <c r="H17" s="381" t="s">
        <v>183</v>
      </c>
      <c r="I17" s="382">
        <v>136</v>
      </c>
      <c r="J17" s="200" t="s">
        <v>65</v>
      </c>
      <c r="K17" s="377">
        <v>71</v>
      </c>
      <c r="L17" s="377"/>
      <c r="M17" s="377"/>
      <c r="N17" s="377"/>
      <c r="O17" s="377"/>
      <c r="P17" s="377"/>
      <c r="Q17" s="377"/>
      <c r="R17" s="378"/>
      <c r="S17" s="189">
        <f>SUM(K17:R17)</f>
        <v>71</v>
      </c>
      <c r="T17" s="376">
        <v>5</v>
      </c>
      <c r="U17" s="377"/>
      <c r="V17" s="377"/>
      <c r="W17" s="377"/>
      <c r="X17" s="377"/>
      <c r="Y17" s="377"/>
      <c r="Z17" s="377"/>
      <c r="AA17" s="378"/>
      <c r="AB17" s="189">
        <f>SUM(T17:AA17)</f>
        <v>5</v>
      </c>
      <c r="AC17" s="376">
        <v>5</v>
      </c>
      <c r="AD17" s="377"/>
      <c r="AE17" s="377"/>
      <c r="AF17" s="377"/>
      <c r="AG17" s="377"/>
      <c r="AH17" s="377"/>
      <c r="AI17" s="377"/>
      <c r="AJ17" s="378"/>
      <c r="AK17" s="189">
        <f t="shared" si="0"/>
        <v>5</v>
      </c>
      <c r="AL17" s="376">
        <v>5</v>
      </c>
      <c r="AM17" s="377"/>
      <c r="AN17" s="377"/>
      <c r="AO17" s="377"/>
      <c r="AP17" s="377"/>
      <c r="AQ17" s="377"/>
      <c r="AR17" s="377"/>
      <c r="AS17" s="378"/>
      <c r="AT17" s="189">
        <f>SUM(AL17:AS17)</f>
        <v>5</v>
      </c>
      <c r="AU17" s="376">
        <v>5</v>
      </c>
      <c r="AV17" s="377"/>
      <c r="AW17" s="377"/>
      <c r="AX17" s="377"/>
      <c r="AY17" s="377"/>
      <c r="AZ17" s="377"/>
      <c r="BA17" s="377"/>
      <c r="BB17" s="378"/>
      <c r="BC17" s="189">
        <f t="shared" si="2"/>
        <v>5</v>
      </c>
      <c r="BD17" s="376">
        <v>7</v>
      </c>
      <c r="BE17" s="377"/>
      <c r="BF17" s="377"/>
      <c r="BG17" s="377"/>
      <c r="BH17" s="377"/>
      <c r="BI17" s="377"/>
      <c r="BJ17" s="377"/>
      <c r="BK17" s="378"/>
      <c r="BL17" s="196">
        <f t="shared" ref="BL17:BL30" si="7">SUM(BD17:BK17)</f>
        <v>7</v>
      </c>
      <c r="BM17" s="376">
        <v>7</v>
      </c>
      <c r="BN17" s="377"/>
      <c r="BO17" s="377"/>
      <c r="BP17" s="377"/>
      <c r="BQ17" s="377"/>
      <c r="BR17" s="377"/>
      <c r="BS17" s="377"/>
      <c r="BT17" s="378"/>
      <c r="BU17" s="189">
        <f>SUM(BM17:BT17)</f>
        <v>7</v>
      </c>
      <c r="BV17" s="376">
        <v>7</v>
      </c>
      <c r="BW17" s="377"/>
      <c r="BX17" s="377"/>
      <c r="BY17" s="377"/>
      <c r="BZ17" s="377"/>
      <c r="CA17" s="377"/>
      <c r="CB17" s="377"/>
      <c r="CC17" s="378"/>
      <c r="CD17" s="190">
        <f>SUM(BV17:CC17)</f>
        <v>7</v>
      </c>
      <c r="CE17" s="376">
        <v>7</v>
      </c>
      <c r="CF17" s="377"/>
      <c r="CG17" s="377"/>
      <c r="CH17" s="377"/>
      <c r="CI17" s="377"/>
      <c r="CJ17" s="377"/>
      <c r="CK17" s="377"/>
      <c r="CL17" s="378"/>
      <c r="CM17" s="190">
        <f t="shared" ref="CM17:CM30" si="8">SUM(CE17:CL17)</f>
        <v>7</v>
      </c>
      <c r="CN17" s="386">
        <v>7</v>
      </c>
      <c r="CO17" s="387"/>
      <c r="CP17" s="387"/>
      <c r="CQ17" s="387"/>
      <c r="CR17" s="387"/>
      <c r="CS17" s="387"/>
      <c r="CT17" s="387"/>
      <c r="CU17" s="388"/>
      <c r="CV17" s="197">
        <f t="shared" ref="CV17:CV30" si="9">SUM(CN17:CU17)</f>
        <v>7</v>
      </c>
      <c r="CW17" s="386">
        <v>5</v>
      </c>
      <c r="CX17" s="387"/>
      <c r="CY17" s="387"/>
      <c r="CZ17" s="387"/>
      <c r="DA17" s="387"/>
      <c r="DB17" s="387"/>
      <c r="DC17" s="387"/>
      <c r="DD17" s="388"/>
      <c r="DE17" s="198">
        <f>SUM(CW17:DD17)</f>
        <v>5</v>
      </c>
      <c r="DF17" s="386">
        <v>5</v>
      </c>
      <c r="DG17" s="387"/>
      <c r="DH17" s="387"/>
      <c r="DI17" s="387"/>
      <c r="DJ17" s="387"/>
      <c r="DK17" s="387"/>
      <c r="DL17" s="387"/>
      <c r="DM17" s="388"/>
      <c r="DN17" s="201">
        <f>SUM(DF17:DM17)</f>
        <v>5</v>
      </c>
      <c r="DO17" s="199">
        <f t="shared" ref="DO17:DO30" si="10">S17+AB17+AK17+AT17+BC17+BL17+BU17+CD17+CM17+CV17+DE17+DN17</f>
        <v>136</v>
      </c>
      <c r="DP17" s="192"/>
      <c r="DQ17" s="193"/>
    </row>
    <row r="18" spans="2:121" ht="194.45" customHeight="1">
      <c r="B18" s="379"/>
      <c r="C18" s="375"/>
      <c r="D18" s="375"/>
      <c r="E18" s="375"/>
      <c r="F18" s="375"/>
      <c r="G18" s="375"/>
      <c r="H18" s="381"/>
      <c r="I18" s="383"/>
      <c r="J18" s="202" t="s">
        <v>66</v>
      </c>
      <c r="K18" s="195">
        <v>10</v>
      </c>
      <c r="L18" s="196">
        <v>10</v>
      </c>
      <c r="M18" s="196">
        <v>7</v>
      </c>
      <c r="N18" s="196">
        <v>4</v>
      </c>
      <c r="O18" s="196">
        <v>39</v>
      </c>
      <c r="P18" s="196">
        <v>1</v>
      </c>
      <c r="Q18" s="196"/>
      <c r="R18" s="196"/>
      <c r="S18" s="203">
        <f t="shared" ref="S18:S30" si="11">SUM(K18:R18)</f>
        <v>71</v>
      </c>
      <c r="T18" s="196">
        <v>11</v>
      </c>
      <c r="U18" s="196">
        <v>7</v>
      </c>
      <c r="V18" s="196">
        <v>2</v>
      </c>
      <c r="W18" s="196">
        <v>1</v>
      </c>
      <c r="X18" s="196">
        <v>5</v>
      </c>
      <c r="Y18" s="196">
        <v>1</v>
      </c>
      <c r="Z18" s="196"/>
      <c r="AA18" s="196"/>
      <c r="AB18" s="203">
        <f t="shared" ref="AB18:AB30" si="12">SUM(T18:AA18)</f>
        <v>27</v>
      </c>
      <c r="AC18" s="196"/>
      <c r="AD18" s="196"/>
      <c r="AE18" s="196"/>
      <c r="AF18" s="196"/>
      <c r="AG18" s="196"/>
      <c r="AH18" s="196"/>
      <c r="AI18" s="196"/>
      <c r="AJ18" s="196"/>
      <c r="AK18" s="203">
        <f t="shared" si="0"/>
        <v>0</v>
      </c>
      <c r="AL18" s="196"/>
      <c r="AM18" s="196"/>
      <c r="AN18" s="196"/>
      <c r="AO18" s="196"/>
      <c r="AP18" s="196"/>
      <c r="AQ18" s="196"/>
      <c r="AR18" s="196"/>
      <c r="AS18" s="196"/>
      <c r="AT18" s="196">
        <f t="shared" si="1"/>
        <v>0</v>
      </c>
      <c r="AU18" s="196"/>
      <c r="AV18" s="196"/>
      <c r="AW18" s="196"/>
      <c r="AX18" s="196"/>
      <c r="AY18" s="196"/>
      <c r="AZ18" s="196"/>
      <c r="BA18" s="196"/>
      <c r="BB18" s="196"/>
      <c r="BC18" s="189">
        <f>SUM(AU18)</f>
        <v>0</v>
      </c>
      <c r="BD18" s="196"/>
      <c r="BE18" s="196"/>
      <c r="BF18" s="196"/>
      <c r="BG18" s="196"/>
      <c r="BH18" s="196"/>
      <c r="BI18" s="196"/>
      <c r="BJ18" s="196"/>
      <c r="BK18" s="196"/>
      <c r="BL18" s="196">
        <f t="shared" si="7"/>
        <v>0</v>
      </c>
      <c r="BM18" s="196"/>
      <c r="BN18" s="196"/>
      <c r="BO18" s="196"/>
      <c r="BP18" s="196"/>
      <c r="BQ18" s="196"/>
      <c r="BR18" s="196"/>
      <c r="BS18" s="196"/>
      <c r="BT18" s="196"/>
      <c r="BU18" s="196">
        <f t="shared" si="3"/>
        <v>0</v>
      </c>
      <c r="BV18" s="196"/>
      <c r="BW18" s="196"/>
      <c r="BX18" s="196"/>
      <c r="BY18" s="196"/>
      <c r="BZ18" s="196">
        <v>2</v>
      </c>
      <c r="CA18" s="196"/>
      <c r="CB18" s="196"/>
      <c r="CC18" s="196"/>
      <c r="CD18" s="196">
        <f t="shared" si="4"/>
        <v>2</v>
      </c>
      <c r="CE18" s="196"/>
      <c r="CF18" s="196"/>
      <c r="CG18" s="196"/>
      <c r="CH18" s="196"/>
      <c r="CI18" s="196">
        <v>2</v>
      </c>
      <c r="CJ18" s="196"/>
      <c r="CK18" s="196"/>
      <c r="CL18" s="196"/>
      <c r="CM18" s="190">
        <f t="shared" si="8"/>
        <v>2</v>
      </c>
      <c r="CN18" s="197"/>
      <c r="CO18" s="197"/>
      <c r="CP18" s="197"/>
      <c r="CQ18" s="197"/>
      <c r="CR18" s="197">
        <v>0</v>
      </c>
      <c r="CS18" s="197"/>
      <c r="CT18" s="197"/>
      <c r="CU18" s="197"/>
      <c r="CV18" s="197">
        <f t="shared" si="9"/>
        <v>0</v>
      </c>
      <c r="CW18" s="197"/>
      <c r="CX18" s="197"/>
      <c r="CY18" s="197"/>
      <c r="CZ18" s="197"/>
      <c r="DA18" s="197"/>
      <c r="DB18" s="197"/>
      <c r="DC18" s="197"/>
      <c r="DD18" s="197"/>
      <c r="DE18" s="197">
        <f t="shared" si="5"/>
        <v>0</v>
      </c>
      <c r="DF18" s="198"/>
      <c r="DG18" s="198"/>
      <c r="DH18" s="198"/>
      <c r="DI18" s="198"/>
      <c r="DJ18" s="198"/>
      <c r="DK18" s="198"/>
      <c r="DL18" s="198"/>
      <c r="DM18" s="198"/>
      <c r="DN18" s="198">
        <f t="shared" si="6"/>
        <v>0</v>
      </c>
      <c r="DO18" s="199">
        <f t="shared" si="10"/>
        <v>102</v>
      </c>
      <c r="DP18" s="204"/>
      <c r="DQ18" s="193"/>
    </row>
    <row r="19" spans="2:121" ht="189.75" hidden="1" customHeight="1">
      <c r="B19" s="366" t="s">
        <v>121</v>
      </c>
      <c r="C19" s="375" t="s">
        <v>168</v>
      </c>
      <c r="D19" s="375" t="s">
        <v>135</v>
      </c>
      <c r="E19" s="375"/>
      <c r="F19" s="375" t="s">
        <v>16</v>
      </c>
      <c r="G19" s="375">
        <v>464</v>
      </c>
      <c r="H19" s="381" t="s">
        <v>184</v>
      </c>
      <c r="I19" s="383">
        <v>464</v>
      </c>
      <c r="J19" s="200" t="s">
        <v>65</v>
      </c>
      <c r="K19" s="377">
        <v>39</v>
      </c>
      <c r="L19" s="377"/>
      <c r="M19" s="377"/>
      <c r="N19" s="377"/>
      <c r="O19" s="377"/>
      <c r="P19" s="377"/>
      <c r="Q19" s="377"/>
      <c r="R19" s="378"/>
      <c r="S19" s="189">
        <f>SUM(K19:R19)</f>
        <v>39</v>
      </c>
      <c r="T19" s="376">
        <v>40</v>
      </c>
      <c r="U19" s="377"/>
      <c r="V19" s="377"/>
      <c r="W19" s="377"/>
      <c r="X19" s="377"/>
      <c r="Y19" s="377"/>
      <c r="Z19" s="377"/>
      <c r="AA19" s="378"/>
      <c r="AB19" s="189">
        <f>SUM(T19:AA19)</f>
        <v>40</v>
      </c>
      <c r="AC19" s="376">
        <v>25</v>
      </c>
      <c r="AD19" s="377"/>
      <c r="AE19" s="377"/>
      <c r="AF19" s="377"/>
      <c r="AG19" s="377"/>
      <c r="AH19" s="377"/>
      <c r="AI19" s="377"/>
      <c r="AJ19" s="378"/>
      <c r="AK19" s="189">
        <f t="shared" si="0"/>
        <v>25</v>
      </c>
      <c r="AL19" s="376">
        <v>20</v>
      </c>
      <c r="AM19" s="377"/>
      <c r="AN19" s="377"/>
      <c r="AO19" s="377"/>
      <c r="AP19" s="377"/>
      <c r="AQ19" s="377"/>
      <c r="AR19" s="377"/>
      <c r="AS19" s="378"/>
      <c r="AT19" s="189">
        <f>SUM(AL19:AS19)</f>
        <v>20</v>
      </c>
      <c r="AU19" s="376">
        <v>40</v>
      </c>
      <c r="AV19" s="377"/>
      <c r="AW19" s="377"/>
      <c r="AX19" s="377"/>
      <c r="AY19" s="377"/>
      <c r="AZ19" s="377"/>
      <c r="BA19" s="377"/>
      <c r="BB19" s="378"/>
      <c r="BC19" s="189">
        <f t="shared" si="2"/>
        <v>40</v>
      </c>
      <c r="BD19" s="376">
        <v>40</v>
      </c>
      <c r="BE19" s="377"/>
      <c r="BF19" s="377"/>
      <c r="BG19" s="377"/>
      <c r="BH19" s="377"/>
      <c r="BI19" s="377"/>
      <c r="BJ19" s="377"/>
      <c r="BK19" s="378"/>
      <c r="BL19" s="196">
        <f t="shared" si="7"/>
        <v>40</v>
      </c>
      <c r="BM19" s="376">
        <v>40</v>
      </c>
      <c r="BN19" s="377"/>
      <c r="BO19" s="377"/>
      <c r="BP19" s="377"/>
      <c r="BQ19" s="377"/>
      <c r="BR19" s="377"/>
      <c r="BS19" s="377"/>
      <c r="BT19" s="378"/>
      <c r="BU19" s="189">
        <f>SUM(BM19:BT19)</f>
        <v>40</v>
      </c>
      <c r="BV19" s="376">
        <v>40</v>
      </c>
      <c r="BW19" s="377"/>
      <c r="BX19" s="377"/>
      <c r="BY19" s="377"/>
      <c r="BZ19" s="377"/>
      <c r="CA19" s="377"/>
      <c r="CB19" s="377"/>
      <c r="CC19" s="378"/>
      <c r="CD19" s="190">
        <f>SUM(BV19:CC19)</f>
        <v>40</v>
      </c>
      <c r="CE19" s="376">
        <v>40</v>
      </c>
      <c r="CF19" s="377"/>
      <c r="CG19" s="377"/>
      <c r="CH19" s="377"/>
      <c r="CI19" s="377"/>
      <c r="CJ19" s="377"/>
      <c r="CK19" s="377"/>
      <c r="CL19" s="378"/>
      <c r="CM19" s="190">
        <f t="shared" si="8"/>
        <v>40</v>
      </c>
      <c r="CN19" s="386">
        <v>45</v>
      </c>
      <c r="CO19" s="387"/>
      <c r="CP19" s="387"/>
      <c r="CQ19" s="387"/>
      <c r="CR19" s="387"/>
      <c r="CS19" s="387"/>
      <c r="CT19" s="387"/>
      <c r="CU19" s="388"/>
      <c r="CV19" s="197">
        <f t="shared" si="9"/>
        <v>45</v>
      </c>
      <c r="CW19" s="386">
        <v>40</v>
      </c>
      <c r="CX19" s="387"/>
      <c r="CY19" s="387"/>
      <c r="CZ19" s="387"/>
      <c r="DA19" s="387"/>
      <c r="DB19" s="387"/>
      <c r="DC19" s="387"/>
      <c r="DD19" s="388"/>
      <c r="DE19" s="198">
        <f>SUM(CW19:DD19)</f>
        <v>40</v>
      </c>
      <c r="DF19" s="386">
        <v>55</v>
      </c>
      <c r="DG19" s="387"/>
      <c r="DH19" s="387"/>
      <c r="DI19" s="387"/>
      <c r="DJ19" s="387"/>
      <c r="DK19" s="387"/>
      <c r="DL19" s="387"/>
      <c r="DM19" s="388"/>
      <c r="DN19" s="201">
        <f>SUM(DF19:DM19)</f>
        <v>55</v>
      </c>
      <c r="DO19" s="199">
        <f t="shared" si="10"/>
        <v>464</v>
      </c>
      <c r="DP19" s="192"/>
      <c r="DQ19" s="193"/>
    </row>
    <row r="20" spans="2:121" ht="159.75" customHeight="1">
      <c r="B20" s="367"/>
      <c r="C20" s="375"/>
      <c r="D20" s="375"/>
      <c r="E20" s="375"/>
      <c r="F20" s="375"/>
      <c r="G20" s="375"/>
      <c r="H20" s="381"/>
      <c r="I20" s="383"/>
      <c r="J20" s="202" t="s">
        <v>66</v>
      </c>
      <c r="K20" s="195"/>
      <c r="L20" s="196"/>
      <c r="M20" s="196"/>
      <c r="N20" s="196"/>
      <c r="O20" s="196">
        <v>39</v>
      </c>
      <c r="P20" s="196"/>
      <c r="Q20" s="196"/>
      <c r="R20" s="196"/>
      <c r="S20" s="196">
        <f>SUM(K20:R20)</f>
        <v>39</v>
      </c>
      <c r="T20" s="196"/>
      <c r="U20" s="196"/>
      <c r="V20" s="196"/>
      <c r="W20" s="196"/>
      <c r="X20" s="196">
        <v>40</v>
      </c>
      <c r="Y20" s="196"/>
      <c r="Z20" s="196"/>
      <c r="AA20" s="196"/>
      <c r="AB20" s="196">
        <f>SUM(T20:AA20)</f>
        <v>40</v>
      </c>
      <c r="AC20" s="196"/>
      <c r="AD20" s="196"/>
      <c r="AE20" s="196"/>
      <c r="AF20" s="196"/>
      <c r="AG20" s="196"/>
      <c r="AH20" s="196"/>
      <c r="AI20" s="196"/>
      <c r="AJ20" s="196"/>
      <c r="AK20" s="196">
        <f t="shared" si="0"/>
        <v>0</v>
      </c>
      <c r="AL20" s="196"/>
      <c r="AM20" s="196"/>
      <c r="AN20" s="196"/>
      <c r="AO20" s="196"/>
      <c r="AP20" s="196"/>
      <c r="AQ20" s="196"/>
      <c r="AR20" s="196"/>
      <c r="AS20" s="196"/>
      <c r="AT20" s="196">
        <f>SUM(AL20:AS20)</f>
        <v>0</v>
      </c>
      <c r="AU20" s="196"/>
      <c r="AV20" s="196"/>
      <c r="AW20" s="196"/>
      <c r="AX20" s="196"/>
      <c r="AY20" s="196">
        <v>40</v>
      </c>
      <c r="AZ20" s="196"/>
      <c r="BA20" s="196"/>
      <c r="BB20" s="196"/>
      <c r="BC20" s="189">
        <f>SUM(AU20:BB20)</f>
        <v>40</v>
      </c>
      <c r="BD20" s="196"/>
      <c r="BE20" s="196"/>
      <c r="BF20" s="196"/>
      <c r="BG20" s="196"/>
      <c r="BH20" s="196">
        <v>40</v>
      </c>
      <c r="BI20" s="196"/>
      <c r="BJ20" s="196"/>
      <c r="BK20" s="196"/>
      <c r="BL20" s="196">
        <f>SUM(BD20:BK20)</f>
        <v>40</v>
      </c>
      <c r="BM20" s="196"/>
      <c r="BN20" s="196"/>
      <c r="BO20" s="196"/>
      <c r="BP20" s="196"/>
      <c r="BQ20" s="196">
        <v>40</v>
      </c>
      <c r="BR20" s="196"/>
      <c r="BS20" s="196"/>
      <c r="BT20" s="196"/>
      <c r="BU20" s="196">
        <f>SUM(BM20:BT20)</f>
        <v>40</v>
      </c>
      <c r="BV20" s="196"/>
      <c r="BW20" s="196"/>
      <c r="BX20" s="196"/>
      <c r="BY20" s="196"/>
      <c r="BZ20" s="196">
        <v>40</v>
      </c>
      <c r="CA20" s="196"/>
      <c r="CB20" s="196"/>
      <c r="CC20" s="196"/>
      <c r="CD20" s="196">
        <f>SUM(BV20:CC20)</f>
        <v>40</v>
      </c>
      <c r="CE20" s="196"/>
      <c r="CF20" s="196"/>
      <c r="CG20" s="196"/>
      <c r="CH20" s="196"/>
      <c r="CI20" s="196">
        <v>40</v>
      </c>
      <c r="CJ20" s="196"/>
      <c r="CK20" s="196"/>
      <c r="CL20" s="196"/>
      <c r="CM20" s="190">
        <f t="shared" si="8"/>
        <v>40</v>
      </c>
      <c r="CN20" s="197"/>
      <c r="CO20" s="197"/>
      <c r="CP20" s="197"/>
      <c r="CQ20" s="197"/>
      <c r="CR20" s="197">
        <v>40</v>
      </c>
      <c r="CS20" s="197"/>
      <c r="CT20" s="197"/>
      <c r="CU20" s="197"/>
      <c r="CV20" s="197">
        <f t="shared" si="9"/>
        <v>40</v>
      </c>
      <c r="CW20" s="197"/>
      <c r="CX20" s="197"/>
      <c r="CY20" s="197"/>
      <c r="CZ20" s="197"/>
      <c r="DA20" s="197">
        <v>40</v>
      </c>
      <c r="DB20" s="197"/>
      <c r="DC20" s="197"/>
      <c r="DD20" s="197"/>
      <c r="DE20" s="197">
        <f>SUM(CW20:DD20)</f>
        <v>40</v>
      </c>
      <c r="DF20" s="198"/>
      <c r="DG20" s="198"/>
      <c r="DH20" s="198"/>
      <c r="DI20" s="198"/>
      <c r="DJ20" s="198">
        <v>40</v>
      </c>
      <c r="DK20" s="198"/>
      <c r="DL20" s="198"/>
      <c r="DM20" s="198"/>
      <c r="DN20" s="198">
        <f>SUM(DF20:DM20)</f>
        <v>40</v>
      </c>
      <c r="DO20" s="199">
        <f t="shared" si="10"/>
        <v>399</v>
      </c>
      <c r="DP20" s="205"/>
      <c r="DQ20" s="193"/>
    </row>
    <row r="21" spans="2:121" ht="187.5" hidden="1" customHeight="1">
      <c r="B21" s="389" t="s">
        <v>67</v>
      </c>
      <c r="C21" s="389" t="s">
        <v>68</v>
      </c>
      <c r="D21" s="390" t="s">
        <v>69</v>
      </c>
      <c r="E21" s="391"/>
      <c r="F21" s="389" t="s">
        <v>14</v>
      </c>
      <c r="G21" s="375">
        <v>153</v>
      </c>
      <c r="H21" s="381" t="s">
        <v>185</v>
      </c>
      <c r="I21" s="383">
        <v>153</v>
      </c>
      <c r="J21" s="200" t="s">
        <v>65</v>
      </c>
      <c r="K21" s="377">
        <v>6</v>
      </c>
      <c r="L21" s="377"/>
      <c r="M21" s="377"/>
      <c r="N21" s="377"/>
      <c r="O21" s="377"/>
      <c r="P21" s="377"/>
      <c r="Q21" s="377"/>
      <c r="R21" s="378"/>
      <c r="S21" s="189">
        <f>SUM(K21)</f>
        <v>6</v>
      </c>
      <c r="T21" s="376">
        <v>6</v>
      </c>
      <c r="U21" s="377"/>
      <c r="V21" s="377"/>
      <c r="W21" s="377"/>
      <c r="X21" s="377"/>
      <c r="Y21" s="377"/>
      <c r="Z21" s="377"/>
      <c r="AA21" s="378"/>
      <c r="AB21" s="189">
        <f>SUM(T21)</f>
        <v>6</v>
      </c>
      <c r="AC21" s="376">
        <v>4</v>
      </c>
      <c r="AD21" s="377"/>
      <c r="AE21" s="377"/>
      <c r="AF21" s="377"/>
      <c r="AG21" s="377"/>
      <c r="AH21" s="377"/>
      <c r="AI21" s="377"/>
      <c r="AJ21" s="378"/>
      <c r="AK21" s="189">
        <f>SUM(AC21)</f>
        <v>4</v>
      </c>
      <c r="AL21" s="376">
        <v>4</v>
      </c>
      <c r="AM21" s="377"/>
      <c r="AN21" s="377"/>
      <c r="AO21" s="377"/>
      <c r="AP21" s="377"/>
      <c r="AQ21" s="377"/>
      <c r="AR21" s="377"/>
      <c r="AS21" s="378"/>
      <c r="AT21" s="189">
        <f>SUM(AL21)</f>
        <v>4</v>
      </c>
      <c r="AU21" s="376">
        <v>4</v>
      </c>
      <c r="AV21" s="377"/>
      <c r="AW21" s="377"/>
      <c r="AX21" s="377"/>
      <c r="AY21" s="377"/>
      <c r="AZ21" s="377"/>
      <c r="BA21" s="377"/>
      <c r="BB21" s="378"/>
      <c r="BC21" s="189">
        <f>SUM(AU21)</f>
        <v>4</v>
      </c>
      <c r="BD21" s="376">
        <v>4</v>
      </c>
      <c r="BE21" s="377"/>
      <c r="BF21" s="377"/>
      <c r="BG21" s="377"/>
      <c r="BH21" s="377"/>
      <c r="BI21" s="377"/>
      <c r="BJ21" s="377"/>
      <c r="BK21" s="378"/>
      <c r="BL21" s="196">
        <f t="shared" si="7"/>
        <v>4</v>
      </c>
      <c r="BM21" s="376">
        <v>4</v>
      </c>
      <c r="BN21" s="377"/>
      <c r="BO21" s="377"/>
      <c r="BP21" s="377"/>
      <c r="BQ21" s="377"/>
      <c r="BR21" s="377"/>
      <c r="BS21" s="377"/>
      <c r="BT21" s="378"/>
      <c r="BU21" s="189">
        <f>SUM(BM21:BT21)</f>
        <v>4</v>
      </c>
      <c r="BV21" s="376">
        <v>4</v>
      </c>
      <c r="BW21" s="377"/>
      <c r="BX21" s="377"/>
      <c r="BY21" s="377"/>
      <c r="BZ21" s="377"/>
      <c r="CA21" s="377"/>
      <c r="CB21" s="377"/>
      <c r="CC21" s="378"/>
      <c r="CD21" s="190">
        <f>SUM(BV21)</f>
        <v>4</v>
      </c>
      <c r="CE21" s="376">
        <v>4</v>
      </c>
      <c r="CF21" s="377"/>
      <c r="CG21" s="377"/>
      <c r="CH21" s="377"/>
      <c r="CI21" s="377"/>
      <c r="CJ21" s="377"/>
      <c r="CK21" s="377"/>
      <c r="CL21" s="378"/>
      <c r="CM21" s="190">
        <f t="shared" si="8"/>
        <v>4</v>
      </c>
      <c r="CN21" s="386">
        <v>4</v>
      </c>
      <c r="CO21" s="387"/>
      <c r="CP21" s="387"/>
      <c r="CQ21" s="387"/>
      <c r="CR21" s="387"/>
      <c r="CS21" s="387"/>
      <c r="CT21" s="387"/>
      <c r="CU21" s="388"/>
      <c r="CV21" s="197">
        <f t="shared" si="9"/>
        <v>4</v>
      </c>
      <c r="CW21" s="386">
        <v>4</v>
      </c>
      <c r="CX21" s="387"/>
      <c r="CY21" s="387"/>
      <c r="CZ21" s="387"/>
      <c r="DA21" s="387"/>
      <c r="DB21" s="387"/>
      <c r="DC21" s="387"/>
      <c r="DD21" s="388"/>
      <c r="DE21" s="198">
        <f>SUM(CW21)</f>
        <v>4</v>
      </c>
      <c r="DF21" s="386">
        <v>4</v>
      </c>
      <c r="DG21" s="387"/>
      <c r="DH21" s="387"/>
      <c r="DI21" s="387"/>
      <c r="DJ21" s="387"/>
      <c r="DK21" s="387"/>
      <c r="DL21" s="387"/>
      <c r="DM21" s="388"/>
      <c r="DN21" s="201">
        <f>SUM(DF21)</f>
        <v>4</v>
      </c>
      <c r="DO21" s="199">
        <f t="shared" si="10"/>
        <v>52</v>
      </c>
      <c r="DP21" s="192"/>
      <c r="DQ21" s="193"/>
    </row>
    <row r="22" spans="2:121" ht="221.25" customHeight="1">
      <c r="B22" s="369"/>
      <c r="C22" s="369"/>
      <c r="D22" s="372"/>
      <c r="E22" s="373"/>
      <c r="F22" s="369"/>
      <c r="G22" s="375"/>
      <c r="H22" s="381"/>
      <c r="I22" s="383"/>
      <c r="J22" s="202" t="s">
        <v>66</v>
      </c>
      <c r="K22" s="206"/>
      <c r="L22" s="207">
        <v>2</v>
      </c>
      <c r="M22" s="207"/>
      <c r="N22" s="207"/>
      <c r="O22" s="207">
        <v>4</v>
      </c>
      <c r="P22" s="207"/>
      <c r="Q22" s="207"/>
      <c r="R22" s="207"/>
      <c r="S22" s="203">
        <f>SUM(K22:R22)</f>
        <v>6</v>
      </c>
      <c r="T22" s="207"/>
      <c r="U22" s="207">
        <v>2</v>
      </c>
      <c r="V22" s="207"/>
      <c r="W22" s="207"/>
      <c r="X22" s="207">
        <v>2</v>
      </c>
      <c r="Y22" s="207"/>
      <c r="Z22" s="207">
        <v>2</v>
      </c>
      <c r="AA22" s="207"/>
      <c r="AB22" s="203">
        <f>SUM(T22:AA22)</f>
        <v>6</v>
      </c>
      <c r="AC22" s="207"/>
      <c r="AD22" s="207"/>
      <c r="AE22" s="207"/>
      <c r="AF22" s="207"/>
      <c r="AG22" s="207"/>
      <c r="AH22" s="207"/>
      <c r="AI22" s="207"/>
      <c r="AJ22" s="207"/>
      <c r="AK22" s="203">
        <f>SUM(AC22:AJ22)</f>
        <v>0</v>
      </c>
      <c r="AL22" s="207"/>
      <c r="AM22" s="207"/>
      <c r="AN22" s="207"/>
      <c r="AO22" s="207"/>
      <c r="AP22" s="207"/>
      <c r="AQ22" s="207"/>
      <c r="AR22" s="207"/>
      <c r="AS22" s="207"/>
      <c r="AT22" s="196">
        <f>SUM(AL22:AS22)</f>
        <v>0</v>
      </c>
      <c r="AU22" s="207"/>
      <c r="AV22" s="207"/>
      <c r="AW22" s="207"/>
      <c r="AX22" s="207"/>
      <c r="AY22" s="207"/>
      <c r="AZ22" s="207"/>
      <c r="BA22" s="207"/>
      <c r="BB22" s="207"/>
      <c r="BC22" s="189">
        <f t="shared" si="2"/>
        <v>0</v>
      </c>
      <c r="BD22" s="207"/>
      <c r="BE22" s="207"/>
      <c r="BF22" s="207"/>
      <c r="BG22" s="207"/>
      <c r="BH22" s="207"/>
      <c r="BI22" s="207"/>
      <c r="BJ22" s="207"/>
      <c r="BK22" s="207"/>
      <c r="BL22" s="196">
        <f t="shared" si="7"/>
        <v>0</v>
      </c>
      <c r="BM22" s="207"/>
      <c r="BN22" s="207"/>
      <c r="BO22" s="207"/>
      <c r="BP22" s="207"/>
      <c r="BQ22" s="207"/>
      <c r="BR22" s="207"/>
      <c r="BS22" s="207"/>
      <c r="BT22" s="207"/>
      <c r="BU22" s="196">
        <f>SUM(BM22:BT22)</f>
        <v>0</v>
      </c>
      <c r="BV22" s="207"/>
      <c r="BW22" s="207"/>
      <c r="BX22" s="207"/>
      <c r="BY22" s="207"/>
      <c r="BZ22" s="207"/>
      <c r="CA22" s="207"/>
      <c r="CB22" s="207"/>
      <c r="CC22" s="207"/>
      <c r="CD22" s="196">
        <f>SUM(BV22:CC22)</f>
        <v>0</v>
      </c>
      <c r="CE22" s="207"/>
      <c r="CF22" s="207"/>
      <c r="CG22" s="207"/>
      <c r="CH22" s="207"/>
      <c r="CI22" s="207"/>
      <c r="CJ22" s="207"/>
      <c r="CK22" s="207"/>
      <c r="CL22" s="207"/>
      <c r="CM22" s="190">
        <f t="shared" si="8"/>
        <v>0</v>
      </c>
      <c r="CN22" s="208"/>
      <c r="CO22" s="208"/>
      <c r="CP22" s="208"/>
      <c r="CQ22" s="208"/>
      <c r="CR22" s="208">
        <v>4</v>
      </c>
      <c r="CS22" s="208"/>
      <c r="CT22" s="208"/>
      <c r="CU22" s="208"/>
      <c r="CV22" s="197">
        <f t="shared" si="9"/>
        <v>4</v>
      </c>
      <c r="CW22" s="208"/>
      <c r="CX22" s="208"/>
      <c r="CY22" s="208"/>
      <c r="CZ22" s="208"/>
      <c r="DA22" s="208">
        <v>3</v>
      </c>
      <c r="DB22" s="208"/>
      <c r="DC22" s="208"/>
      <c r="DD22" s="208"/>
      <c r="DE22" s="197">
        <f>SUM(CW22:DD22)</f>
        <v>3</v>
      </c>
      <c r="DF22" s="208"/>
      <c r="DG22" s="208"/>
      <c r="DH22" s="208"/>
      <c r="DI22" s="208"/>
      <c r="DJ22" s="208">
        <v>3</v>
      </c>
      <c r="DK22" s="208"/>
      <c r="DL22" s="208"/>
      <c r="DM22" s="208"/>
      <c r="DN22" s="198">
        <f>SUM(DF22:DM22)</f>
        <v>3</v>
      </c>
      <c r="DO22" s="199">
        <f t="shared" si="10"/>
        <v>22</v>
      </c>
      <c r="DP22" s="205" t="s">
        <v>186</v>
      </c>
      <c r="DQ22" s="193"/>
    </row>
    <row r="23" spans="2:121" ht="183.75" hidden="1" customHeight="1">
      <c r="B23" s="389" t="s">
        <v>67</v>
      </c>
      <c r="C23" s="389" t="s">
        <v>68</v>
      </c>
      <c r="D23" s="390" t="s">
        <v>69</v>
      </c>
      <c r="E23" s="391"/>
      <c r="F23" s="389" t="s">
        <v>14</v>
      </c>
      <c r="G23" s="375">
        <v>24</v>
      </c>
      <c r="H23" s="381" t="s">
        <v>187</v>
      </c>
      <c r="I23" s="400">
        <v>24</v>
      </c>
      <c r="J23" s="209" t="s">
        <v>65</v>
      </c>
      <c r="K23" s="377">
        <v>2</v>
      </c>
      <c r="L23" s="377"/>
      <c r="M23" s="377"/>
      <c r="N23" s="377"/>
      <c r="O23" s="377"/>
      <c r="P23" s="377"/>
      <c r="Q23" s="377"/>
      <c r="R23" s="378"/>
      <c r="S23" s="210">
        <f>SUM(K23:R23)</f>
        <v>2</v>
      </c>
      <c r="T23" s="376">
        <v>2</v>
      </c>
      <c r="U23" s="377"/>
      <c r="V23" s="377"/>
      <c r="W23" s="377"/>
      <c r="X23" s="377"/>
      <c r="Y23" s="377"/>
      <c r="Z23" s="377"/>
      <c r="AA23" s="378"/>
      <c r="AB23" s="210">
        <f>SUM(T23:AA23)</f>
        <v>2</v>
      </c>
      <c r="AC23" s="376">
        <v>2</v>
      </c>
      <c r="AD23" s="377"/>
      <c r="AE23" s="377"/>
      <c r="AF23" s="377"/>
      <c r="AG23" s="377"/>
      <c r="AH23" s="377"/>
      <c r="AI23" s="377"/>
      <c r="AJ23" s="378"/>
      <c r="AK23" s="210">
        <f>SUM(AC23:AJ23)</f>
        <v>2</v>
      </c>
      <c r="AL23" s="376">
        <v>2</v>
      </c>
      <c r="AM23" s="377"/>
      <c r="AN23" s="377"/>
      <c r="AO23" s="377"/>
      <c r="AP23" s="377"/>
      <c r="AQ23" s="377"/>
      <c r="AR23" s="377"/>
      <c r="AS23" s="378"/>
      <c r="AT23" s="189">
        <f>SUM(AL23:AS23)</f>
        <v>2</v>
      </c>
      <c r="AU23" s="376">
        <v>2</v>
      </c>
      <c r="AV23" s="377"/>
      <c r="AW23" s="377"/>
      <c r="AX23" s="377"/>
      <c r="AY23" s="377"/>
      <c r="AZ23" s="377"/>
      <c r="BA23" s="377"/>
      <c r="BB23" s="378"/>
      <c r="BC23" s="189">
        <f t="shared" si="2"/>
        <v>2</v>
      </c>
      <c r="BD23" s="376">
        <v>2</v>
      </c>
      <c r="BE23" s="377"/>
      <c r="BF23" s="377"/>
      <c r="BG23" s="377"/>
      <c r="BH23" s="377"/>
      <c r="BI23" s="377"/>
      <c r="BJ23" s="377"/>
      <c r="BK23" s="378"/>
      <c r="BL23" s="196">
        <f t="shared" si="7"/>
        <v>2</v>
      </c>
      <c r="BM23" s="376">
        <v>2</v>
      </c>
      <c r="BN23" s="377"/>
      <c r="BO23" s="377"/>
      <c r="BP23" s="377"/>
      <c r="BQ23" s="377"/>
      <c r="BR23" s="377"/>
      <c r="BS23" s="377"/>
      <c r="BT23" s="378"/>
      <c r="BU23" s="189">
        <f>SUM(BM23:BT23)</f>
        <v>2</v>
      </c>
      <c r="BV23" s="376">
        <v>2</v>
      </c>
      <c r="BW23" s="377"/>
      <c r="BX23" s="377"/>
      <c r="BY23" s="377"/>
      <c r="BZ23" s="377"/>
      <c r="CA23" s="377"/>
      <c r="CB23" s="377"/>
      <c r="CC23" s="378"/>
      <c r="CD23" s="190">
        <f>SUM(BV23:CC23)</f>
        <v>2</v>
      </c>
      <c r="CE23" s="376">
        <v>2</v>
      </c>
      <c r="CF23" s="377"/>
      <c r="CG23" s="377"/>
      <c r="CH23" s="377"/>
      <c r="CI23" s="377"/>
      <c r="CJ23" s="377"/>
      <c r="CK23" s="377"/>
      <c r="CL23" s="378"/>
      <c r="CM23" s="190">
        <f t="shared" si="8"/>
        <v>2</v>
      </c>
      <c r="CN23" s="386">
        <v>2</v>
      </c>
      <c r="CO23" s="387"/>
      <c r="CP23" s="387"/>
      <c r="CQ23" s="387"/>
      <c r="CR23" s="387"/>
      <c r="CS23" s="387"/>
      <c r="CT23" s="387"/>
      <c r="CU23" s="388"/>
      <c r="CV23" s="197">
        <f t="shared" si="9"/>
        <v>2</v>
      </c>
      <c r="CW23" s="386">
        <v>2</v>
      </c>
      <c r="CX23" s="387"/>
      <c r="CY23" s="387"/>
      <c r="CZ23" s="387"/>
      <c r="DA23" s="387"/>
      <c r="DB23" s="387"/>
      <c r="DC23" s="387"/>
      <c r="DD23" s="388"/>
      <c r="DE23" s="198">
        <f>SUM(CW23:DD23)</f>
        <v>2</v>
      </c>
      <c r="DF23" s="386">
        <v>2</v>
      </c>
      <c r="DG23" s="387"/>
      <c r="DH23" s="387"/>
      <c r="DI23" s="387"/>
      <c r="DJ23" s="387"/>
      <c r="DK23" s="387"/>
      <c r="DL23" s="387"/>
      <c r="DM23" s="388"/>
      <c r="DN23" s="201">
        <f>SUM(DF23:DM23)</f>
        <v>2</v>
      </c>
      <c r="DO23" s="199">
        <f t="shared" si="10"/>
        <v>24</v>
      </c>
      <c r="DP23" s="192"/>
      <c r="DQ23" s="193"/>
    </row>
    <row r="24" spans="2:121" ht="165" customHeight="1">
      <c r="B24" s="369"/>
      <c r="C24" s="369"/>
      <c r="D24" s="372"/>
      <c r="E24" s="373"/>
      <c r="F24" s="369"/>
      <c r="G24" s="375"/>
      <c r="H24" s="381"/>
      <c r="I24" s="382"/>
      <c r="J24" s="202" t="s">
        <v>66</v>
      </c>
      <c r="K24" s="392">
        <v>2</v>
      </c>
      <c r="L24" s="392"/>
      <c r="M24" s="392"/>
      <c r="N24" s="392"/>
      <c r="O24" s="392"/>
      <c r="P24" s="392"/>
      <c r="Q24" s="392"/>
      <c r="R24" s="393"/>
      <c r="S24" s="203">
        <f t="shared" si="11"/>
        <v>2</v>
      </c>
      <c r="T24" s="394">
        <v>2</v>
      </c>
      <c r="U24" s="392"/>
      <c r="V24" s="392"/>
      <c r="W24" s="392"/>
      <c r="X24" s="392"/>
      <c r="Y24" s="392"/>
      <c r="Z24" s="392"/>
      <c r="AA24" s="393"/>
      <c r="AB24" s="203">
        <f t="shared" si="12"/>
        <v>2</v>
      </c>
      <c r="AC24" s="394"/>
      <c r="AD24" s="392"/>
      <c r="AE24" s="392"/>
      <c r="AF24" s="392"/>
      <c r="AG24" s="392"/>
      <c r="AH24" s="392"/>
      <c r="AI24" s="392"/>
      <c r="AJ24" s="393"/>
      <c r="AK24" s="203">
        <f t="shared" ref="AK24:AK28" si="13">SUM(AC24:AJ24)</f>
        <v>0</v>
      </c>
      <c r="AL24" s="394"/>
      <c r="AM24" s="392"/>
      <c r="AN24" s="392"/>
      <c r="AO24" s="392"/>
      <c r="AP24" s="392"/>
      <c r="AQ24" s="392"/>
      <c r="AR24" s="392"/>
      <c r="AS24" s="393"/>
      <c r="AT24" s="196">
        <f t="shared" ref="AT24:AT30" si="14">SUM(AL24:AS24)</f>
        <v>0</v>
      </c>
      <c r="AU24" s="394"/>
      <c r="AV24" s="392"/>
      <c r="AW24" s="392"/>
      <c r="AX24" s="392"/>
      <c r="AY24" s="392"/>
      <c r="AZ24" s="392"/>
      <c r="BA24" s="392"/>
      <c r="BB24" s="393"/>
      <c r="BC24" s="189">
        <f>SUM(AU24)</f>
        <v>0</v>
      </c>
      <c r="BD24" s="394"/>
      <c r="BE24" s="392"/>
      <c r="BF24" s="392"/>
      <c r="BG24" s="392"/>
      <c r="BH24" s="392"/>
      <c r="BI24" s="392"/>
      <c r="BJ24" s="392"/>
      <c r="BK24" s="393"/>
      <c r="BL24" s="196">
        <f t="shared" si="7"/>
        <v>0</v>
      </c>
      <c r="BM24" s="394">
        <v>1</v>
      </c>
      <c r="BN24" s="392"/>
      <c r="BO24" s="392"/>
      <c r="BP24" s="392"/>
      <c r="BQ24" s="392"/>
      <c r="BR24" s="392"/>
      <c r="BS24" s="392"/>
      <c r="BT24" s="393"/>
      <c r="BU24" s="196">
        <f t="shared" ref="BU24:BU30" si="15">SUM(BM24:BT24)</f>
        <v>1</v>
      </c>
      <c r="BV24" s="394"/>
      <c r="BW24" s="392"/>
      <c r="BX24" s="392"/>
      <c r="BY24" s="392"/>
      <c r="BZ24" s="392"/>
      <c r="CA24" s="392"/>
      <c r="CB24" s="392"/>
      <c r="CC24" s="393"/>
      <c r="CD24" s="196">
        <f t="shared" ref="CD24:CD30" si="16">SUM(BV24:CC24)</f>
        <v>0</v>
      </c>
      <c r="CE24" s="394">
        <v>2</v>
      </c>
      <c r="CF24" s="392"/>
      <c r="CG24" s="392"/>
      <c r="CH24" s="392"/>
      <c r="CI24" s="392"/>
      <c r="CJ24" s="392"/>
      <c r="CK24" s="392"/>
      <c r="CL24" s="393"/>
      <c r="CM24" s="190">
        <f t="shared" si="8"/>
        <v>2</v>
      </c>
      <c r="CN24" s="395">
        <v>1</v>
      </c>
      <c r="CO24" s="396"/>
      <c r="CP24" s="396"/>
      <c r="CQ24" s="396"/>
      <c r="CR24" s="396"/>
      <c r="CS24" s="396"/>
      <c r="CT24" s="396"/>
      <c r="CU24" s="397"/>
      <c r="CV24" s="197">
        <f t="shared" si="9"/>
        <v>1</v>
      </c>
      <c r="CW24" s="395">
        <v>1</v>
      </c>
      <c r="CX24" s="396"/>
      <c r="CY24" s="396"/>
      <c r="CZ24" s="396"/>
      <c r="DA24" s="396"/>
      <c r="DB24" s="396"/>
      <c r="DC24" s="396"/>
      <c r="DD24" s="397"/>
      <c r="DE24" s="197">
        <f t="shared" ref="DE24:DE30" si="17">SUM(CW24:DD24)</f>
        <v>1</v>
      </c>
      <c r="DF24" s="395"/>
      <c r="DG24" s="396"/>
      <c r="DH24" s="396"/>
      <c r="DI24" s="396"/>
      <c r="DJ24" s="396"/>
      <c r="DK24" s="396"/>
      <c r="DL24" s="396"/>
      <c r="DM24" s="397"/>
      <c r="DN24" s="197">
        <f t="shared" ref="DN24:DN30" si="18">SUM(DF24:DM24)</f>
        <v>0</v>
      </c>
      <c r="DO24" s="199">
        <f t="shared" si="10"/>
        <v>9</v>
      </c>
      <c r="DP24" s="205"/>
      <c r="DQ24" s="193"/>
    </row>
    <row r="25" spans="2:121" ht="187.5" hidden="1" customHeight="1">
      <c r="B25" s="375" t="s">
        <v>154</v>
      </c>
      <c r="C25" s="389" t="s">
        <v>7</v>
      </c>
      <c r="D25" s="390" t="s">
        <v>188</v>
      </c>
      <c r="E25" s="391"/>
      <c r="F25" s="389" t="s">
        <v>188</v>
      </c>
      <c r="G25" s="389">
        <v>1</v>
      </c>
      <c r="H25" s="398" t="s">
        <v>189</v>
      </c>
      <c r="I25" s="383">
        <v>1</v>
      </c>
      <c r="J25" s="209" t="s">
        <v>65</v>
      </c>
      <c r="K25" s="377"/>
      <c r="L25" s="377"/>
      <c r="M25" s="377"/>
      <c r="N25" s="377"/>
      <c r="O25" s="377"/>
      <c r="P25" s="377"/>
      <c r="Q25" s="377"/>
      <c r="R25" s="378"/>
      <c r="S25" s="189">
        <f t="shared" si="11"/>
        <v>0</v>
      </c>
      <c r="T25" s="376"/>
      <c r="U25" s="377"/>
      <c r="V25" s="377"/>
      <c r="W25" s="377"/>
      <c r="X25" s="377"/>
      <c r="Y25" s="377"/>
      <c r="Z25" s="377"/>
      <c r="AA25" s="378"/>
      <c r="AB25" s="189">
        <f t="shared" si="12"/>
        <v>0</v>
      </c>
      <c r="AC25" s="376"/>
      <c r="AD25" s="377"/>
      <c r="AE25" s="377"/>
      <c r="AF25" s="377"/>
      <c r="AG25" s="377"/>
      <c r="AH25" s="377"/>
      <c r="AI25" s="377"/>
      <c r="AJ25" s="378"/>
      <c r="AK25" s="189">
        <f t="shared" si="13"/>
        <v>0</v>
      </c>
      <c r="AL25" s="376">
        <v>1</v>
      </c>
      <c r="AM25" s="377"/>
      <c r="AN25" s="377"/>
      <c r="AO25" s="377"/>
      <c r="AP25" s="377"/>
      <c r="AQ25" s="377"/>
      <c r="AR25" s="377"/>
      <c r="AS25" s="378"/>
      <c r="AT25" s="189">
        <f t="shared" si="14"/>
        <v>1</v>
      </c>
      <c r="AU25" s="376">
        <v>1</v>
      </c>
      <c r="AV25" s="377"/>
      <c r="AW25" s="377"/>
      <c r="AX25" s="377"/>
      <c r="AY25" s="377"/>
      <c r="AZ25" s="377"/>
      <c r="BA25" s="377"/>
      <c r="BB25" s="378"/>
      <c r="BC25" s="189">
        <f t="shared" si="2"/>
        <v>1</v>
      </c>
      <c r="BD25" s="376"/>
      <c r="BE25" s="377"/>
      <c r="BF25" s="377"/>
      <c r="BG25" s="377"/>
      <c r="BH25" s="377"/>
      <c r="BI25" s="377"/>
      <c r="BJ25" s="377"/>
      <c r="BK25" s="378"/>
      <c r="BL25" s="196">
        <f t="shared" si="7"/>
        <v>0</v>
      </c>
      <c r="BM25" s="376"/>
      <c r="BN25" s="377"/>
      <c r="BO25" s="377"/>
      <c r="BP25" s="377"/>
      <c r="BQ25" s="377"/>
      <c r="BR25" s="377"/>
      <c r="BS25" s="377"/>
      <c r="BT25" s="378"/>
      <c r="BU25" s="189">
        <f t="shared" si="15"/>
        <v>0</v>
      </c>
      <c r="BV25" s="376"/>
      <c r="BW25" s="377"/>
      <c r="BX25" s="377"/>
      <c r="BY25" s="377"/>
      <c r="BZ25" s="377"/>
      <c r="CA25" s="377"/>
      <c r="CB25" s="377"/>
      <c r="CC25" s="378"/>
      <c r="CD25" s="190">
        <f t="shared" si="16"/>
        <v>0</v>
      </c>
      <c r="CE25" s="376"/>
      <c r="CF25" s="377"/>
      <c r="CG25" s="377"/>
      <c r="CH25" s="377"/>
      <c r="CI25" s="377"/>
      <c r="CJ25" s="377"/>
      <c r="CK25" s="377"/>
      <c r="CL25" s="378"/>
      <c r="CM25" s="190">
        <f t="shared" si="8"/>
        <v>0</v>
      </c>
      <c r="CN25" s="386"/>
      <c r="CO25" s="387"/>
      <c r="CP25" s="387"/>
      <c r="CQ25" s="387"/>
      <c r="CR25" s="387"/>
      <c r="CS25" s="387"/>
      <c r="CT25" s="387"/>
      <c r="CU25" s="388"/>
      <c r="CV25" s="197">
        <f t="shared" si="9"/>
        <v>0</v>
      </c>
      <c r="CW25" s="386"/>
      <c r="CX25" s="387"/>
      <c r="CY25" s="387"/>
      <c r="CZ25" s="387"/>
      <c r="DA25" s="387"/>
      <c r="DB25" s="387"/>
      <c r="DC25" s="387"/>
      <c r="DD25" s="388"/>
      <c r="DE25" s="198">
        <f t="shared" si="17"/>
        <v>0</v>
      </c>
      <c r="DF25" s="395"/>
      <c r="DG25" s="396"/>
      <c r="DH25" s="396"/>
      <c r="DI25" s="396"/>
      <c r="DJ25" s="396"/>
      <c r="DK25" s="396"/>
      <c r="DL25" s="396"/>
      <c r="DM25" s="397"/>
      <c r="DN25" s="197">
        <f t="shared" si="18"/>
        <v>0</v>
      </c>
      <c r="DO25" s="199">
        <f t="shared" si="10"/>
        <v>2</v>
      </c>
      <c r="DP25" s="192"/>
      <c r="DQ25" s="193"/>
    </row>
    <row r="26" spans="2:121" ht="123.75" customHeight="1">
      <c r="B26" s="375"/>
      <c r="C26" s="369"/>
      <c r="D26" s="372"/>
      <c r="E26" s="373"/>
      <c r="F26" s="369"/>
      <c r="G26" s="369"/>
      <c r="H26" s="399"/>
      <c r="I26" s="383"/>
      <c r="J26" s="202" t="s">
        <v>66</v>
      </c>
      <c r="K26" s="377"/>
      <c r="L26" s="377"/>
      <c r="M26" s="377"/>
      <c r="N26" s="377"/>
      <c r="O26" s="377"/>
      <c r="P26" s="377"/>
      <c r="Q26" s="377"/>
      <c r="R26" s="378"/>
      <c r="S26" s="189">
        <f t="shared" si="11"/>
        <v>0</v>
      </c>
      <c r="T26" s="376"/>
      <c r="U26" s="377"/>
      <c r="V26" s="377"/>
      <c r="W26" s="377"/>
      <c r="X26" s="377"/>
      <c r="Y26" s="377"/>
      <c r="Z26" s="377"/>
      <c r="AA26" s="378"/>
      <c r="AB26" s="189">
        <f t="shared" si="12"/>
        <v>0</v>
      </c>
      <c r="AC26" s="376"/>
      <c r="AD26" s="377"/>
      <c r="AE26" s="377"/>
      <c r="AF26" s="377"/>
      <c r="AG26" s="377"/>
      <c r="AH26" s="377"/>
      <c r="AI26" s="377"/>
      <c r="AJ26" s="378"/>
      <c r="AK26" s="189">
        <f t="shared" si="13"/>
        <v>0</v>
      </c>
      <c r="AL26" s="376">
        <v>1</v>
      </c>
      <c r="AM26" s="377"/>
      <c r="AN26" s="377"/>
      <c r="AO26" s="377"/>
      <c r="AP26" s="377"/>
      <c r="AQ26" s="377"/>
      <c r="AR26" s="377"/>
      <c r="AS26" s="378"/>
      <c r="AT26" s="189">
        <f t="shared" si="14"/>
        <v>1</v>
      </c>
      <c r="AU26" s="376"/>
      <c r="AV26" s="377"/>
      <c r="AW26" s="377"/>
      <c r="AX26" s="377"/>
      <c r="AY26" s="377"/>
      <c r="AZ26" s="377"/>
      <c r="BA26" s="377"/>
      <c r="BB26" s="378"/>
      <c r="BC26" s="189">
        <f t="shared" si="2"/>
        <v>0</v>
      </c>
      <c r="BD26" s="376"/>
      <c r="BE26" s="377"/>
      <c r="BF26" s="377"/>
      <c r="BG26" s="377"/>
      <c r="BH26" s="377"/>
      <c r="BI26" s="377"/>
      <c r="BJ26" s="377"/>
      <c r="BK26" s="378"/>
      <c r="BL26" s="196">
        <f t="shared" si="7"/>
        <v>0</v>
      </c>
      <c r="BM26" s="376"/>
      <c r="BN26" s="377"/>
      <c r="BO26" s="377"/>
      <c r="BP26" s="377"/>
      <c r="BQ26" s="377"/>
      <c r="BR26" s="377"/>
      <c r="BS26" s="377"/>
      <c r="BT26" s="378"/>
      <c r="BU26" s="190">
        <f t="shared" si="15"/>
        <v>0</v>
      </c>
      <c r="BV26" s="376"/>
      <c r="BW26" s="377"/>
      <c r="BX26" s="377"/>
      <c r="BY26" s="377"/>
      <c r="BZ26" s="377"/>
      <c r="CA26" s="377"/>
      <c r="CB26" s="377"/>
      <c r="CC26" s="378"/>
      <c r="CD26" s="190">
        <f t="shared" si="16"/>
        <v>0</v>
      </c>
      <c r="CE26" s="376"/>
      <c r="CF26" s="377"/>
      <c r="CG26" s="377"/>
      <c r="CH26" s="377"/>
      <c r="CI26" s="377"/>
      <c r="CJ26" s="377"/>
      <c r="CK26" s="377"/>
      <c r="CL26" s="378"/>
      <c r="CM26" s="190">
        <f t="shared" si="8"/>
        <v>0</v>
      </c>
      <c r="CN26" s="386"/>
      <c r="CO26" s="387"/>
      <c r="CP26" s="387"/>
      <c r="CQ26" s="387"/>
      <c r="CR26" s="387"/>
      <c r="CS26" s="387"/>
      <c r="CT26" s="387"/>
      <c r="CU26" s="388"/>
      <c r="CV26" s="197">
        <f t="shared" si="9"/>
        <v>0</v>
      </c>
      <c r="CW26" s="386"/>
      <c r="CX26" s="387"/>
      <c r="CY26" s="387"/>
      <c r="CZ26" s="387"/>
      <c r="DA26" s="387"/>
      <c r="DB26" s="387"/>
      <c r="DC26" s="387"/>
      <c r="DD26" s="388"/>
      <c r="DE26" s="198">
        <f t="shared" si="17"/>
        <v>0</v>
      </c>
      <c r="DF26" s="395"/>
      <c r="DG26" s="396"/>
      <c r="DH26" s="396"/>
      <c r="DI26" s="396"/>
      <c r="DJ26" s="396"/>
      <c r="DK26" s="396"/>
      <c r="DL26" s="396"/>
      <c r="DM26" s="397"/>
      <c r="DN26" s="197">
        <f t="shared" si="18"/>
        <v>0</v>
      </c>
      <c r="DO26" s="199">
        <f t="shared" si="10"/>
        <v>1</v>
      </c>
      <c r="DP26" s="192"/>
      <c r="DQ26" s="193"/>
    </row>
    <row r="27" spans="2:121" ht="150" hidden="1" customHeight="1">
      <c r="B27" s="389" t="s">
        <v>190</v>
      </c>
      <c r="C27" s="389" t="s">
        <v>8</v>
      </c>
      <c r="D27" s="390" t="s">
        <v>191</v>
      </c>
      <c r="E27" s="391"/>
      <c r="F27" s="389" t="s">
        <v>191</v>
      </c>
      <c r="G27" s="375">
        <v>1</v>
      </c>
      <c r="H27" s="381" t="s">
        <v>191</v>
      </c>
      <c r="I27" s="383">
        <v>1</v>
      </c>
      <c r="J27" s="209" t="s">
        <v>65</v>
      </c>
      <c r="K27" s="377">
        <v>1</v>
      </c>
      <c r="L27" s="377"/>
      <c r="M27" s="377"/>
      <c r="N27" s="377"/>
      <c r="O27" s="377"/>
      <c r="P27" s="377"/>
      <c r="Q27" s="377"/>
      <c r="R27" s="378"/>
      <c r="S27" s="189">
        <f t="shared" si="11"/>
        <v>1</v>
      </c>
      <c r="T27" s="376"/>
      <c r="U27" s="377"/>
      <c r="V27" s="377"/>
      <c r="W27" s="377"/>
      <c r="X27" s="377"/>
      <c r="Y27" s="377"/>
      <c r="Z27" s="377"/>
      <c r="AA27" s="378"/>
      <c r="AB27" s="189">
        <f t="shared" si="12"/>
        <v>0</v>
      </c>
      <c r="AC27" s="376"/>
      <c r="AD27" s="377"/>
      <c r="AE27" s="377"/>
      <c r="AF27" s="377"/>
      <c r="AG27" s="377"/>
      <c r="AH27" s="377"/>
      <c r="AI27" s="377"/>
      <c r="AJ27" s="378"/>
      <c r="AK27" s="189">
        <f t="shared" si="13"/>
        <v>0</v>
      </c>
      <c r="AL27" s="376">
        <v>1</v>
      </c>
      <c r="AM27" s="377"/>
      <c r="AN27" s="377"/>
      <c r="AO27" s="377"/>
      <c r="AP27" s="377"/>
      <c r="AQ27" s="377"/>
      <c r="AR27" s="377"/>
      <c r="AS27" s="378"/>
      <c r="AT27" s="189">
        <f t="shared" si="14"/>
        <v>1</v>
      </c>
      <c r="AU27" s="376"/>
      <c r="AV27" s="377"/>
      <c r="AW27" s="377"/>
      <c r="AX27" s="377"/>
      <c r="AY27" s="377"/>
      <c r="AZ27" s="377"/>
      <c r="BA27" s="377"/>
      <c r="BB27" s="378"/>
      <c r="BC27" s="189">
        <f>SUM(AU27)</f>
        <v>0</v>
      </c>
      <c r="BD27" s="376"/>
      <c r="BE27" s="377"/>
      <c r="BF27" s="377"/>
      <c r="BG27" s="377"/>
      <c r="BH27" s="377"/>
      <c r="BI27" s="377"/>
      <c r="BJ27" s="377"/>
      <c r="BK27" s="378"/>
      <c r="BL27" s="196">
        <f t="shared" si="7"/>
        <v>0</v>
      </c>
      <c r="BM27" s="376"/>
      <c r="BN27" s="377"/>
      <c r="BO27" s="377"/>
      <c r="BP27" s="377"/>
      <c r="BQ27" s="377"/>
      <c r="BR27" s="377"/>
      <c r="BS27" s="377"/>
      <c r="BT27" s="378"/>
      <c r="BU27" s="190">
        <f t="shared" si="15"/>
        <v>0</v>
      </c>
      <c r="BV27" s="376"/>
      <c r="BW27" s="377"/>
      <c r="BX27" s="377"/>
      <c r="BY27" s="377"/>
      <c r="BZ27" s="377"/>
      <c r="CA27" s="377"/>
      <c r="CB27" s="377"/>
      <c r="CC27" s="378"/>
      <c r="CD27" s="190">
        <f t="shared" si="16"/>
        <v>0</v>
      </c>
      <c r="CE27" s="376"/>
      <c r="CF27" s="377"/>
      <c r="CG27" s="377"/>
      <c r="CH27" s="377"/>
      <c r="CI27" s="377"/>
      <c r="CJ27" s="377"/>
      <c r="CK27" s="377"/>
      <c r="CL27" s="378"/>
      <c r="CM27" s="190">
        <f t="shared" si="8"/>
        <v>0</v>
      </c>
      <c r="CN27" s="386"/>
      <c r="CO27" s="387"/>
      <c r="CP27" s="387"/>
      <c r="CQ27" s="387"/>
      <c r="CR27" s="387"/>
      <c r="CS27" s="387"/>
      <c r="CT27" s="387"/>
      <c r="CU27" s="388"/>
      <c r="CV27" s="197">
        <f t="shared" si="9"/>
        <v>0</v>
      </c>
      <c r="CW27" s="386"/>
      <c r="CX27" s="387"/>
      <c r="CY27" s="387"/>
      <c r="CZ27" s="387"/>
      <c r="DA27" s="387"/>
      <c r="DB27" s="387"/>
      <c r="DC27" s="387"/>
      <c r="DD27" s="388"/>
      <c r="DE27" s="198">
        <f t="shared" si="17"/>
        <v>0</v>
      </c>
      <c r="DF27" s="395"/>
      <c r="DG27" s="396"/>
      <c r="DH27" s="396"/>
      <c r="DI27" s="396"/>
      <c r="DJ27" s="396"/>
      <c r="DK27" s="396"/>
      <c r="DL27" s="396"/>
      <c r="DM27" s="397"/>
      <c r="DN27" s="197">
        <f t="shared" si="18"/>
        <v>0</v>
      </c>
      <c r="DO27" s="199">
        <f t="shared" si="10"/>
        <v>2</v>
      </c>
      <c r="DP27" s="192"/>
      <c r="DQ27" s="193"/>
    </row>
    <row r="28" spans="2:121" ht="150" customHeight="1">
      <c r="B28" s="369"/>
      <c r="C28" s="369"/>
      <c r="D28" s="372"/>
      <c r="E28" s="373"/>
      <c r="F28" s="369"/>
      <c r="G28" s="375"/>
      <c r="H28" s="381"/>
      <c r="I28" s="383"/>
      <c r="J28" s="202" t="s">
        <v>66</v>
      </c>
      <c r="K28" s="377">
        <v>1</v>
      </c>
      <c r="L28" s="377"/>
      <c r="M28" s="377"/>
      <c r="N28" s="377"/>
      <c r="O28" s="377"/>
      <c r="P28" s="377"/>
      <c r="Q28" s="377"/>
      <c r="R28" s="378"/>
      <c r="S28" s="189">
        <f t="shared" si="11"/>
        <v>1</v>
      </c>
      <c r="T28" s="376"/>
      <c r="U28" s="377"/>
      <c r="V28" s="377"/>
      <c r="W28" s="377"/>
      <c r="X28" s="377"/>
      <c r="Y28" s="377"/>
      <c r="Z28" s="377"/>
      <c r="AA28" s="378"/>
      <c r="AB28" s="189">
        <f t="shared" si="12"/>
        <v>0</v>
      </c>
      <c r="AC28" s="376"/>
      <c r="AD28" s="377"/>
      <c r="AE28" s="377"/>
      <c r="AF28" s="377"/>
      <c r="AG28" s="377"/>
      <c r="AH28" s="377"/>
      <c r="AI28" s="377"/>
      <c r="AJ28" s="378"/>
      <c r="AK28" s="189">
        <f t="shared" si="13"/>
        <v>0</v>
      </c>
      <c r="AL28" s="376">
        <v>1</v>
      </c>
      <c r="AM28" s="377"/>
      <c r="AN28" s="377"/>
      <c r="AO28" s="377"/>
      <c r="AP28" s="377"/>
      <c r="AQ28" s="377"/>
      <c r="AR28" s="377"/>
      <c r="AS28" s="378"/>
      <c r="AT28" s="189">
        <f t="shared" si="14"/>
        <v>1</v>
      </c>
      <c r="AU28" s="376"/>
      <c r="AV28" s="377"/>
      <c r="AW28" s="377"/>
      <c r="AX28" s="377"/>
      <c r="AY28" s="377"/>
      <c r="AZ28" s="377"/>
      <c r="BA28" s="377"/>
      <c r="BB28" s="378"/>
      <c r="BC28" s="189">
        <f t="shared" si="2"/>
        <v>0</v>
      </c>
      <c r="BD28" s="376"/>
      <c r="BE28" s="377"/>
      <c r="BF28" s="377"/>
      <c r="BG28" s="377"/>
      <c r="BH28" s="377"/>
      <c r="BI28" s="377"/>
      <c r="BJ28" s="377"/>
      <c r="BK28" s="378"/>
      <c r="BL28" s="196">
        <f t="shared" si="7"/>
        <v>0</v>
      </c>
      <c r="BM28" s="376"/>
      <c r="BN28" s="377"/>
      <c r="BO28" s="377"/>
      <c r="BP28" s="377"/>
      <c r="BQ28" s="377"/>
      <c r="BR28" s="377"/>
      <c r="BS28" s="377"/>
      <c r="BT28" s="378"/>
      <c r="BU28" s="190">
        <f t="shared" si="15"/>
        <v>0</v>
      </c>
      <c r="BV28" s="376"/>
      <c r="BW28" s="377"/>
      <c r="BX28" s="377"/>
      <c r="BY28" s="377"/>
      <c r="BZ28" s="377"/>
      <c r="CA28" s="377"/>
      <c r="CB28" s="377"/>
      <c r="CC28" s="378"/>
      <c r="CD28" s="190">
        <f t="shared" si="16"/>
        <v>0</v>
      </c>
      <c r="CE28" s="376"/>
      <c r="CF28" s="377"/>
      <c r="CG28" s="377"/>
      <c r="CH28" s="377"/>
      <c r="CI28" s="377"/>
      <c r="CJ28" s="377"/>
      <c r="CK28" s="377"/>
      <c r="CL28" s="378"/>
      <c r="CM28" s="190">
        <f t="shared" si="8"/>
        <v>0</v>
      </c>
      <c r="CN28" s="386"/>
      <c r="CO28" s="387"/>
      <c r="CP28" s="387"/>
      <c r="CQ28" s="387"/>
      <c r="CR28" s="387"/>
      <c r="CS28" s="387"/>
      <c r="CT28" s="387"/>
      <c r="CU28" s="388"/>
      <c r="CV28" s="197">
        <f t="shared" si="9"/>
        <v>0</v>
      </c>
      <c r="CW28" s="386"/>
      <c r="CX28" s="387"/>
      <c r="CY28" s="387"/>
      <c r="CZ28" s="387"/>
      <c r="DA28" s="387"/>
      <c r="DB28" s="387"/>
      <c r="DC28" s="387"/>
      <c r="DD28" s="388"/>
      <c r="DE28" s="198">
        <f t="shared" si="17"/>
        <v>0</v>
      </c>
      <c r="DF28" s="395"/>
      <c r="DG28" s="396"/>
      <c r="DH28" s="396"/>
      <c r="DI28" s="396"/>
      <c r="DJ28" s="396"/>
      <c r="DK28" s="396"/>
      <c r="DL28" s="396"/>
      <c r="DM28" s="397"/>
      <c r="DN28" s="197">
        <f t="shared" si="18"/>
        <v>0</v>
      </c>
      <c r="DO28" s="199">
        <f t="shared" si="10"/>
        <v>2</v>
      </c>
      <c r="DP28" s="192"/>
      <c r="DQ28" s="193"/>
    </row>
    <row r="29" spans="2:121" ht="150" hidden="1" customHeight="1">
      <c r="B29" s="375" t="s">
        <v>173</v>
      </c>
      <c r="C29" s="375" t="s">
        <v>18</v>
      </c>
      <c r="D29" s="375" t="s">
        <v>192</v>
      </c>
      <c r="E29" s="375"/>
      <c r="F29" s="375" t="s">
        <v>193</v>
      </c>
      <c r="G29" s="401">
        <v>1</v>
      </c>
      <c r="H29" s="402" t="s">
        <v>194</v>
      </c>
      <c r="I29" s="407">
        <v>1</v>
      </c>
      <c r="J29" s="209" t="s">
        <v>65</v>
      </c>
      <c r="K29" s="377">
        <v>44</v>
      </c>
      <c r="L29" s="377"/>
      <c r="M29" s="377"/>
      <c r="N29" s="377"/>
      <c r="O29" s="377"/>
      <c r="P29" s="377"/>
      <c r="Q29" s="377"/>
      <c r="R29" s="378"/>
      <c r="S29" s="189">
        <f>SUM(K29)</f>
        <v>44</v>
      </c>
      <c r="T29" s="376">
        <v>44</v>
      </c>
      <c r="U29" s="377"/>
      <c r="V29" s="377"/>
      <c r="W29" s="377"/>
      <c r="X29" s="377"/>
      <c r="Y29" s="377"/>
      <c r="Z29" s="377"/>
      <c r="AA29" s="378"/>
      <c r="AB29" s="189">
        <f>SUM(T29)</f>
        <v>44</v>
      </c>
      <c r="AC29" s="376">
        <v>44</v>
      </c>
      <c r="AD29" s="377"/>
      <c r="AE29" s="377"/>
      <c r="AF29" s="377"/>
      <c r="AG29" s="377"/>
      <c r="AH29" s="377"/>
      <c r="AI29" s="377"/>
      <c r="AJ29" s="378"/>
      <c r="AK29" s="189">
        <f>SUM(AC29)</f>
        <v>44</v>
      </c>
      <c r="AL29" s="376">
        <v>44</v>
      </c>
      <c r="AM29" s="377"/>
      <c r="AN29" s="377"/>
      <c r="AO29" s="377"/>
      <c r="AP29" s="377"/>
      <c r="AQ29" s="377"/>
      <c r="AR29" s="377"/>
      <c r="AS29" s="378"/>
      <c r="AT29" s="189">
        <f t="shared" si="14"/>
        <v>44</v>
      </c>
      <c r="AU29" s="376"/>
      <c r="AV29" s="377"/>
      <c r="AW29" s="377"/>
      <c r="AX29" s="377"/>
      <c r="AY29" s="377"/>
      <c r="AZ29" s="377"/>
      <c r="BA29" s="377"/>
      <c r="BB29" s="378"/>
      <c r="BC29" s="189">
        <f t="shared" si="2"/>
        <v>0</v>
      </c>
      <c r="BD29" s="376"/>
      <c r="BE29" s="377"/>
      <c r="BF29" s="377"/>
      <c r="BG29" s="377"/>
      <c r="BH29" s="377"/>
      <c r="BI29" s="377"/>
      <c r="BJ29" s="377"/>
      <c r="BK29" s="378"/>
      <c r="BL29" s="196">
        <f t="shared" si="7"/>
        <v>0</v>
      </c>
      <c r="BM29" s="376"/>
      <c r="BN29" s="377"/>
      <c r="BO29" s="377"/>
      <c r="BP29" s="377"/>
      <c r="BQ29" s="377"/>
      <c r="BR29" s="377"/>
      <c r="BS29" s="377"/>
      <c r="BT29" s="378"/>
      <c r="BU29" s="190">
        <f t="shared" si="15"/>
        <v>0</v>
      </c>
      <c r="BV29" s="376"/>
      <c r="BW29" s="377"/>
      <c r="BX29" s="377"/>
      <c r="BY29" s="377"/>
      <c r="BZ29" s="377"/>
      <c r="CA29" s="377"/>
      <c r="CB29" s="377"/>
      <c r="CC29" s="378"/>
      <c r="CD29" s="190">
        <f t="shared" si="16"/>
        <v>0</v>
      </c>
      <c r="CE29" s="376"/>
      <c r="CF29" s="377"/>
      <c r="CG29" s="377"/>
      <c r="CH29" s="377"/>
      <c r="CI29" s="377"/>
      <c r="CJ29" s="377"/>
      <c r="CK29" s="377"/>
      <c r="CL29" s="378"/>
      <c r="CM29" s="190">
        <f t="shared" si="8"/>
        <v>0</v>
      </c>
      <c r="CN29" s="386"/>
      <c r="CO29" s="387"/>
      <c r="CP29" s="387"/>
      <c r="CQ29" s="387"/>
      <c r="CR29" s="387"/>
      <c r="CS29" s="387"/>
      <c r="CT29" s="387"/>
      <c r="CU29" s="388"/>
      <c r="CV29" s="197">
        <f t="shared" si="9"/>
        <v>0</v>
      </c>
      <c r="CW29" s="386"/>
      <c r="CX29" s="387"/>
      <c r="CY29" s="387"/>
      <c r="CZ29" s="387"/>
      <c r="DA29" s="387"/>
      <c r="DB29" s="387"/>
      <c r="DC29" s="387"/>
      <c r="DD29" s="388"/>
      <c r="DE29" s="198">
        <f t="shared" si="17"/>
        <v>0</v>
      </c>
      <c r="DF29" s="395"/>
      <c r="DG29" s="396"/>
      <c r="DH29" s="396"/>
      <c r="DI29" s="396"/>
      <c r="DJ29" s="396"/>
      <c r="DK29" s="396"/>
      <c r="DL29" s="396"/>
      <c r="DM29" s="397"/>
      <c r="DN29" s="198">
        <f t="shared" si="18"/>
        <v>0</v>
      </c>
      <c r="DO29" s="199">
        <f>S29+AB29+AK29+AT29+BC29+BL29+BU29+CD29+CM29+CV29+DE29+DN29</f>
        <v>176</v>
      </c>
      <c r="DP29" s="192"/>
      <c r="DQ29" s="193"/>
    </row>
    <row r="30" spans="2:121" ht="150" customHeight="1" thickBot="1">
      <c r="B30" s="375"/>
      <c r="C30" s="375"/>
      <c r="D30" s="375"/>
      <c r="E30" s="375"/>
      <c r="F30" s="375"/>
      <c r="G30" s="369"/>
      <c r="H30" s="399"/>
      <c r="I30" s="372"/>
      <c r="J30" s="211" t="s">
        <v>66</v>
      </c>
      <c r="K30" s="377">
        <v>44</v>
      </c>
      <c r="L30" s="377"/>
      <c r="M30" s="377"/>
      <c r="N30" s="377"/>
      <c r="O30" s="377"/>
      <c r="P30" s="377"/>
      <c r="Q30" s="377"/>
      <c r="R30" s="378"/>
      <c r="S30" s="189">
        <f t="shared" si="11"/>
        <v>44</v>
      </c>
      <c r="T30" s="376">
        <v>44</v>
      </c>
      <c r="U30" s="377"/>
      <c r="V30" s="377"/>
      <c r="W30" s="377"/>
      <c r="X30" s="377"/>
      <c r="Y30" s="377"/>
      <c r="Z30" s="377"/>
      <c r="AA30" s="378"/>
      <c r="AB30" s="189">
        <f t="shared" si="12"/>
        <v>44</v>
      </c>
      <c r="AC30" s="376">
        <v>44</v>
      </c>
      <c r="AD30" s="377"/>
      <c r="AE30" s="377"/>
      <c r="AF30" s="377"/>
      <c r="AG30" s="377"/>
      <c r="AH30" s="377"/>
      <c r="AI30" s="377"/>
      <c r="AJ30" s="378"/>
      <c r="AK30" s="189">
        <v>44</v>
      </c>
      <c r="AL30" s="376">
        <v>44</v>
      </c>
      <c r="AM30" s="377"/>
      <c r="AN30" s="377"/>
      <c r="AO30" s="377"/>
      <c r="AP30" s="377"/>
      <c r="AQ30" s="377"/>
      <c r="AR30" s="377"/>
      <c r="AS30" s="378"/>
      <c r="AT30" s="189">
        <f t="shared" si="14"/>
        <v>44</v>
      </c>
      <c r="AU30" s="376"/>
      <c r="AV30" s="377"/>
      <c r="AW30" s="377"/>
      <c r="AX30" s="377"/>
      <c r="AY30" s="377"/>
      <c r="AZ30" s="377"/>
      <c r="BA30" s="377"/>
      <c r="BB30" s="378"/>
      <c r="BC30" s="189">
        <f>SUM(AU30)</f>
        <v>0</v>
      </c>
      <c r="BD30" s="376"/>
      <c r="BE30" s="377"/>
      <c r="BF30" s="377"/>
      <c r="BG30" s="377"/>
      <c r="BH30" s="377"/>
      <c r="BI30" s="377"/>
      <c r="BJ30" s="377"/>
      <c r="BK30" s="378"/>
      <c r="BL30" s="196">
        <f t="shared" si="7"/>
        <v>0</v>
      </c>
      <c r="BM30" s="376"/>
      <c r="BN30" s="377"/>
      <c r="BO30" s="377"/>
      <c r="BP30" s="377"/>
      <c r="BQ30" s="377"/>
      <c r="BR30" s="377"/>
      <c r="BS30" s="377"/>
      <c r="BT30" s="378"/>
      <c r="BU30" s="190">
        <f t="shared" si="15"/>
        <v>0</v>
      </c>
      <c r="BV30" s="376"/>
      <c r="BW30" s="377"/>
      <c r="BX30" s="377"/>
      <c r="BY30" s="377"/>
      <c r="BZ30" s="377"/>
      <c r="CA30" s="377"/>
      <c r="CB30" s="377"/>
      <c r="CC30" s="378"/>
      <c r="CD30" s="190">
        <f t="shared" si="16"/>
        <v>0</v>
      </c>
      <c r="CE30" s="376"/>
      <c r="CF30" s="377"/>
      <c r="CG30" s="377"/>
      <c r="CH30" s="377"/>
      <c r="CI30" s="377"/>
      <c r="CJ30" s="377"/>
      <c r="CK30" s="377"/>
      <c r="CL30" s="378"/>
      <c r="CM30" s="190">
        <f t="shared" si="8"/>
        <v>0</v>
      </c>
      <c r="CN30" s="386"/>
      <c r="CO30" s="387"/>
      <c r="CP30" s="387"/>
      <c r="CQ30" s="387"/>
      <c r="CR30" s="387"/>
      <c r="CS30" s="387"/>
      <c r="CT30" s="387"/>
      <c r="CU30" s="388"/>
      <c r="CV30" s="197">
        <f t="shared" si="9"/>
        <v>0</v>
      </c>
      <c r="CW30" s="386"/>
      <c r="CX30" s="387"/>
      <c r="CY30" s="387"/>
      <c r="CZ30" s="387"/>
      <c r="DA30" s="387"/>
      <c r="DB30" s="387"/>
      <c r="DC30" s="387"/>
      <c r="DD30" s="388"/>
      <c r="DE30" s="198">
        <f t="shared" si="17"/>
        <v>0</v>
      </c>
      <c r="DF30" s="395"/>
      <c r="DG30" s="396"/>
      <c r="DH30" s="396"/>
      <c r="DI30" s="396"/>
      <c r="DJ30" s="396"/>
      <c r="DK30" s="396"/>
      <c r="DL30" s="396"/>
      <c r="DM30" s="397"/>
      <c r="DN30" s="198">
        <f t="shared" si="18"/>
        <v>0</v>
      </c>
      <c r="DO30" s="199">
        <f t="shared" si="10"/>
        <v>176</v>
      </c>
      <c r="DP30" s="192"/>
      <c r="DQ30" s="193"/>
    </row>
    <row r="31" spans="2:121" ht="46.5">
      <c r="B31" s="403"/>
      <c r="C31" s="403"/>
      <c r="D31" s="404"/>
      <c r="E31" s="404"/>
      <c r="F31" s="212"/>
      <c r="G31" s="213"/>
      <c r="H31" s="213"/>
      <c r="I31" s="213"/>
      <c r="J31" s="214"/>
      <c r="K31" s="215"/>
      <c r="L31" s="215"/>
      <c r="M31" s="216"/>
      <c r="N31" s="216"/>
      <c r="O31" s="216"/>
      <c r="P31" s="216"/>
      <c r="Q31" s="216"/>
      <c r="R31" s="216"/>
      <c r="S31" s="217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  <c r="BI31" s="193"/>
      <c r="BJ31" s="193"/>
      <c r="BK31" s="193"/>
      <c r="BL31" s="218"/>
      <c r="BM31" s="193"/>
      <c r="BN31" s="193"/>
      <c r="BO31" s="193"/>
      <c r="BP31" s="193"/>
      <c r="BQ31" s="193"/>
      <c r="BR31" s="193"/>
      <c r="BS31" s="193"/>
      <c r="BT31" s="193"/>
      <c r="BU31" s="193"/>
      <c r="BV31" s="193"/>
      <c r="BW31" s="193"/>
      <c r="BX31" s="193"/>
      <c r="BY31" s="193"/>
      <c r="BZ31" s="193"/>
      <c r="CA31" s="193"/>
      <c r="CB31" s="193"/>
      <c r="CC31" s="193"/>
      <c r="CD31" s="193"/>
      <c r="CE31" s="193"/>
      <c r="CF31" s="193"/>
      <c r="CG31" s="193"/>
      <c r="CH31" s="193"/>
      <c r="CI31" s="193"/>
      <c r="CJ31" s="193"/>
      <c r="CK31" s="193"/>
      <c r="CL31" s="193"/>
      <c r="CM31" s="193"/>
      <c r="CN31" s="193"/>
      <c r="CO31" s="193"/>
      <c r="CP31" s="193"/>
      <c r="CQ31" s="193"/>
      <c r="CR31" s="193"/>
      <c r="CS31" s="193"/>
      <c r="CT31" s="193"/>
      <c r="CU31" s="193"/>
      <c r="CV31" s="193"/>
      <c r="CW31" s="193"/>
      <c r="CX31" s="193"/>
      <c r="CY31" s="193"/>
      <c r="CZ31" s="193"/>
      <c r="DA31" s="193"/>
      <c r="DB31" s="193"/>
      <c r="DC31" s="193"/>
      <c r="DD31" s="193"/>
      <c r="DE31" s="193"/>
      <c r="DF31" s="193"/>
      <c r="DG31" s="193"/>
      <c r="DH31" s="193"/>
      <c r="DI31" s="193"/>
      <c r="DJ31" s="193"/>
      <c r="DK31" s="193"/>
      <c r="DL31" s="193"/>
      <c r="DM31" s="193"/>
      <c r="DN31" s="193"/>
      <c r="DO31" s="193"/>
      <c r="DP31" s="193"/>
      <c r="DQ31" s="193"/>
    </row>
    <row r="32" spans="2:121" ht="46.5">
      <c r="B32" s="219"/>
      <c r="C32" s="3"/>
      <c r="K32" s="215"/>
      <c r="L32" s="215"/>
      <c r="M32" s="216"/>
      <c r="N32" s="216"/>
      <c r="O32" s="216"/>
      <c r="P32" s="216"/>
      <c r="Q32" s="216"/>
      <c r="R32" s="216"/>
      <c r="S32" s="216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  <c r="BH32" s="193"/>
      <c r="BI32" s="193"/>
      <c r="BJ32" s="193"/>
      <c r="BK32" s="193"/>
      <c r="BL32" s="193"/>
      <c r="BM32" s="193"/>
      <c r="BN32" s="193"/>
      <c r="BO32" s="193"/>
      <c r="BP32" s="193"/>
      <c r="BQ32" s="193"/>
      <c r="BR32" s="193"/>
      <c r="BS32" s="193"/>
      <c r="BT32" s="193"/>
      <c r="BU32" s="193"/>
      <c r="BV32" s="193"/>
      <c r="BW32" s="193"/>
      <c r="BX32" s="193"/>
      <c r="BY32" s="193"/>
      <c r="BZ32" s="193"/>
      <c r="CA32" s="193"/>
      <c r="CB32" s="193"/>
      <c r="CC32" s="193"/>
      <c r="CD32" s="193"/>
      <c r="CE32" s="193"/>
      <c r="CF32" s="193"/>
      <c r="CG32" s="193"/>
      <c r="CH32" s="193"/>
      <c r="CI32" s="193"/>
      <c r="CJ32" s="193"/>
      <c r="CK32" s="193"/>
      <c r="CL32" s="193"/>
      <c r="CM32" s="193"/>
      <c r="CN32" s="193"/>
      <c r="CO32" s="193"/>
      <c r="CP32" s="193"/>
      <c r="CQ32" s="193"/>
      <c r="CR32" s="193"/>
      <c r="CS32" s="193"/>
      <c r="CT32" s="193"/>
      <c r="CU32" s="193"/>
      <c r="CV32" s="193"/>
      <c r="CW32" s="193"/>
      <c r="CX32" s="193"/>
      <c r="CY32" s="193"/>
      <c r="CZ32" s="193"/>
      <c r="DA32" s="193"/>
      <c r="DB32" s="193"/>
      <c r="DC32" s="193"/>
      <c r="DD32" s="193"/>
      <c r="DE32" s="193"/>
      <c r="DF32" s="193"/>
      <c r="DG32" s="193"/>
      <c r="DH32" s="193"/>
      <c r="DI32" s="193"/>
      <c r="DJ32" s="193"/>
      <c r="DK32" s="193"/>
      <c r="DL32" s="193"/>
      <c r="DM32" s="193"/>
      <c r="DN32" s="193"/>
      <c r="DO32" s="193"/>
      <c r="DP32" s="193"/>
      <c r="DQ32" s="193"/>
    </row>
    <row r="33" spans="10:121" ht="46.5">
      <c r="K33" s="215"/>
      <c r="L33" s="215"/>
      <c r="M33" s="216"/>
      <c r="N33" s="216"/>
      <c r="O33" s="216"/>
      <c r="P33" s="216"/>
      <c r="Q33" s="216"/>
      <c r="R33" s="216"/>
      <c r="S33" s="216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  <c r="DE33" s="193"/>
      <c r="DF33" s="193"/>
      <c r="DG33" s="193"/>
      <c r="DH33" s="193"/>
      <c r="DI33" s="193"/>
      <c r="DJ33" s="193"/>
      <c r="DK33" s="193"/>
      <c r="DL33" s="193"/>
      <c r="DM33" s="193"/>
      <c r="DN33" s="193"/>
      <c r="DO33" s="193"/>
      <c r="DP33" s="193"/>
      <c r="DQ33" s="193"/>
    </row>
    <row r="34" spans="10:121" ht="46.5">
      <c r="J34" s="220"/>
      <c r="K34" s="215"/>
      <c r="L34" s="215"/>
      <c r="M34" s="216"/>
      <c r="N34" s="216"/>
      <c r="O34" s="216"/>
      <c r="P34" s="216"/>
      <c r="Q34" s="216"/>
      <c r="R34" s="216"/>
      <c r="S34" s="216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  <c r="BP34" s="193"/>
      <c r="BQ34" s="193"/>
      <c r="BR34" s="193"/>
      <c r="BS34" s="193"/>
      <c r="BT34" s="193"/>
      <c r="BU34" s="193"/>
      <c r="BV34" s="193"/>
      <c r="BW34" s="193"/>
      <c r="BX34" s="193"/>
      <c r="BY34" s="193"/>
      <c r="BZ34" s="193"/>
      <c r="CA34" s="193"/>
      <c r="CB34" s="193"/>
      <c r="CC34" s="193"/>
      <c r="CD34" s="193"/>
      <c r="CE34" s="193"/>
      <c r="CF34" s="193"/>
      <c r="CG34" s="193"/>
      <c r="CH34" s="193"/>
      <c r="CI34" s="193"/>
      <c r="CJ34" s="193"/>
      <c r="CK34" s="193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93"/>
      <c r="CX34" s="193"/>
      <c r="CY34" s="193"/>
      <c r="CZ34" s="193"/>
      <c r="DA34" s="193"/>
      <c r="DB34" s="193"/>
      <c r="DC34" s="193"/>
      <c r="DD34" s="193"/>
      <c r="DE34" s="193"/>
      <c r="DF34" s="193"/>
      <c r="DG34" s="193"/>
      <c r="DH34" s="193"/>
      <c r="DI34" s="193"/>
      <c r="DJ34" s="193"/>
      <c r="DK34" s="193"/>
      <c r="DL34" s="193"/>
      <c r="DM34" s="193"/>
      <c r="DN34" s="193"/>
      <c r="DO34" s="193"/>
      <c r="DP34" s="193"/>
      <c r="DQ34" s="193"/>
    </row>
    <row r="35" spans="10:121" ht="46.5">
      <c r="K35" s="215"/>
      <c r="L35" s="215"/>
      <c r="M35" s="216"/>
      <c r="N35" s="216"/>
      <c r="O35" s="216"/>
      <c r="P35" s="216"/>
      <c r="Q35" s="216"/>
      <c r="R35" s="216"/>
      <c r="S35" s="216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93"/>
      <c r="CX35" s="193"/>
      <c r="CY35" s="193"/>
      <c r="CZ35" s="193"/>
      <c r="DA35" s="193"/>
      <c r="DB35" s="193"/>
      <c r="DC35" s="193"/>
      <c r="DD35" s="193"/>
      <c r="DE35" s="193"/>
      <c r="DF35" s="193"/>
      <c r="DG35" s="193"/>
      <c r="DH35" s="193"/>
      <c r="DI35" s="193"/>
      <c r="DJ35" s="193"/>
      <c r="DK35" s="193"/>
      <c r="DL35" s="193"/>
      <c r="DM35" s="193"/>
      <c r="DN35" s="193"/>
      <c r="DO35" s="193"/>
      <c r="DP35" s="193"/>
      <c r="DQ35" s="193"/>
    </row>
    <row r="36" spans="10:121" ht="46.5">
      <c r="K36" s="215"/>
      <c r="L36" s="215"/>
      <c r="M36" s="216"/>
      <c r="N36" s="216"/>
      <c r="O36" s="216"/>
      <c r="P36" s="216"/>
      <c r="Q36" s="216"/>
      <c r="R36" s="216"/>
      <c r="S36" s="216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  <c r="BF36" s="193"/>
      <c r="BG36" s="193"/>
      <c r="BH36" s="193"/>
      <c r="BI36" s="193"/>
      <c r="BJ36" s="193"/>
      <c r="BK36" s="193"/>
      <c r="BL36" s="193"/>
      <c r="BM36" s="193"/>
      <c r="BN36" s="193"/>
      <c r="BO36" s="193"/>
      <c r="BP36" s="193"/>
      <c r="BQ36" s="193"/>
      <c r="BR36" s="193"/>
      <c r="BS36" s="193"/>
      <c r="BT36" s="193"/>
      <c r="BU36" s="193"/>
      <c r="BV36" s="193"/>
      <c r="BW36" s="193"/>
      <c r="BX36" s="193"/>
      <c r="BY36" s="193"/>
      <c r="BZ36" s="193"/>
      <c r="CA36" s="193"/>
      <c r="CB36" s="193"/>
      <c r="CC36" s="193"/>
      <c r="CD36" s="193"/>
      <c r="CE36" s="193"/>
      <c r="CF36" s="193"/>
      <c r="CG36" s="193"/>
      <c r="CH36" s="193"/>
      <c r="CI36" s="193"/>
      <c r="CJ36" s="193"/>
      <c r="CK36" s="193"/>
      <c r="CL36" s="193"/>
      <c r="CM36" s="193"/>
      <c r="CN36" s="193"/>
      <c r="CO36" s="193"/>
      <c r="CP36" s="193"/>
      <c r="CQ36" s="193"/>
      <c r="CR36" s="193"/>
      <c r="CS36" s="193"/>
      <c r="CT36" s="193"/>
      <c r="CU36" s="193"/>
      <c r="CV36" s="193"/>
      <c r="CW36" s="193"/>
      <c r="CX36" s="193"/>
      <c r="CY36" s="193"/>
      <c r="CZ36" s="193"/>
      <c r="DA36" s="193"/>
      <c r="DB36" s="193"/>
      <c r="DC36" s="193"/>
      <c r="DD36" s="193"/>
      <c r="DE36" s="193"/>
      <c r="DF36" s="193"/>
      <c r="DG36" s="193"/>
      <c r="DH36" s="193"/>
      <c r="DI36" s="193"/>
      <c r="DJ36" s="193"/>
      <c r="DK36" s="193"/>
      <c r="DL36" s="193"/>
      <c r="DM36" s="193"/>
      <c r="DN36" s="193"/>
      <c r="DO36" s="193"/>
      <c r="DP36" s="193"/>
      <c r="DQ36" s="193"/>
    </row>
    <row r="37" spans="10:121" ht="46.5">
      <c r="K37" s="215"/>
      <c r="L37" s="215"/>
      <c r="M37" s="216"/>
      <c r="N37" s="216"/>
      <c r="O37" s="216"/>
      <c r="P37" s="216"/>
      <c r="Q37" s="216"/>
      <c r="R37" s="216"/>
      <c r="S37" s="216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3"/>
      <c r="BC37" s="193"/>
      <c r="BD37" s="193"/>
      <c r="BE37" s="193"/>
      <c r="BF37" s="193"/>
      <c r="BG37" s="193"/>
      <c r="BH37" s="193"/>
      <c r="BI37" s="193"/>
      <c r="BJ37" s="193"/>
      <c r="BK37" s="193"/>
      <c r="BL37" s="193"/>
      <c r="BM37" s="193"/>
      <c r="BN37" s="193"/>
      <c r="BO37" s="193"/>
      <c r="BP37" s="193"/>
      <c r="BQ37" s="193"/>
      <c r="BR37" s="193"/>
      <c r="BS37" s="193"/>
      <c r="BT37" s="193"/>
      <c r="BU37" s="193"/>
      <c r="BV37" s="193"/>
      <c r="BW37" s="193"/>
      <c r="BX37" s="193"/>
      <c r="BY37" s="193"/>
      <c r="BZ37" s="193"/>
      <c r="CA37" s="193"/>
      <c r="CB37" s="193"/>
      <c r="CC37" s="193"/>
      <c r="CD37" s="193"/>
      <c r="CE37" s="193"/>
      <c r="CF37" s="193"/>
      <c r="CG37" s="193"/>
      <c r="CH37" s="193"/>
      <c r="CI37" s="193"/>
      <c r="CJ37" s="193"/>
      <c r="CK37" s="193"/>
      <c r="CL37" s="193"/>
      <c r="CM37" s="193"/>
      <c r="CN37" s="193"/>
      <c r="CO37" s="193"/>
      <c r="CP37" s="193"/>
      <c r="CQ37" s="193"/>
      <c r="CR37" s="193"/>
      <c r="CS37" s="193"/>
      <c r="CT37" s="193"/>
      <c r="CU37" s="193"/>
      <c r="CV37" s="193"/>
      <c r="CW37" s="193"/>
      <c r="CX37" s="193"/>
      <c r="CY37" s="193"/>
      <c r="CZ37" s="193"/>
      <c r="DA37" s="193"/>
      <c r="DB37" s="193"/>
      <c r="DC37" s="193"/>
      <c r="DD37" s="193"/>
      <c r="DE37" s="193"/>
      <c r="DF37" s="193"/>
      <c r="DG37" s="193"/>
      <c r="DH37" s="193"/>
      <c r="DI37" s="193"/>
      <c r="DJ37" s="193"/>
      <c r="DK37" s="193"/>
      <c r="DL37" s="193"/>
      <c r="DM37" s="193"/>
      <c r="DN37" s="193"/>
      <c r="DO37" s="193"/>
      <c r="DP37" s="193"/>
      <c r="DQ37" s="193"/>
    </row>
    <row r="38" spans="10:121" ht="46.5">
      <c r="K38" s="215"/>
      <c r="L38" s="215"/>
      <c r="M38" s="216"/>
      <c r="N38" s="216"/>
      <c r="O38" s="216"/>
      <c r="P38" s="216"/>
      <c r="Q38" s="216"/>
      <c r="R38" s="216"/>
      <c r="S38" s="216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/>
      <c r="BH38" s="193"/>
      <c r="BI38" s="193"/>
      <c r="BJ38" s="193"/>
      <c r="BK38" s="193"/>
      <c r="BL38" s="193"/>
      <c r="BM38" s="193"/>
      <c r="BN38" s="193"/>
      <c r="BO38" s="193"/>
      <c r="BP38" s="193"/>
      <c r="BQ38" s="193"/>
      <c r="BR38" s="193"/>
      <c r="BS38" s="193"/>
      <c r="BT38" s="193"/>
      <c r="BU38" s="193"/>
      <c r="BV38" s="193"/>
      <c r="BW38" s="193"/>
      <c r="BX38" s="193"/>
      <c r="BY38" s="193"/>
      <c r="BZ38" s="193"/>
      <c r="CA38" s="193"/>
      <c r="CB38" s="193"/>
      <c r="CC38" s="193"/>
      <c r="CD38" s="193"/>
      <c r="CE38" s="193"/>
      <c r="CF38" s="193"/>
      <c r="CG38" s="193"/>
      <c r="CH38" s="193"/>
      <c r="CI38" s="193"/>
      <c r="CJ38" s="193"/>
      <c r="CK38" s="193"/>
      <c r="CL38" s="193"/>
      <c r="CM38" s="193"/>
      <c r="CN38" s="193"/>
      <c r="CO38" s="193"/>
      <c r="CP38" s="193"/>
      <c r="CQ38" s="193"/>
      <c r="CR38" s="193"/>
      <c r="CS38" s="193"/>
      <c r="CT38" s="193"/>
      <c r="CU38" s="193"/>
      <c r="CV38" s="193"/>
      <c r="CW38" s="193"/>
      <c r="CX38" s="193"/>
      <c r="CY38" s="193"/>
      <c r="CZ38" s="193"/>
      <c r="DA38" s="193"/>
      <c r="DB38" s="193"/>
      <c r="DC38" s="193"/>
      <c r="DD38" s="193"/>
      <c r="DE38" s="193"/>
      <c r="DF38" s="193"/>
      <c r="DG38" s="193"/>
      <c r="DH38" s="193"/>
      <c r="DI38" s="193"/>
      <c r="DJ38" s="193"/>
      <c r="DK38" s="193"/>
      <c r="DL38" s="193"/>
      <c r="DM38" s="193"/>
      <c r="DN38" s="193"/>
      <c r="DO38" s="193"/>
      <c r="DP38" s="193"/>
      <c r="DQ38" s="193"/>
    </row>
    <row r="39" spans="10:121" ht="46.5">
      <c r="K39" s="215"/>
      <c r="L39" s="215"/>
      <c r="M39" s="216"/>
      <c r="N39" s="216"/>
      <c r="O39" s="216"/>
      <c r="P39" s="216"/>
      <c r="Q39" s="216"/>
      <c r="R39" s="216"/>
      <c r="S39" s="216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3"/>
      <c r="BG39" s="193"/>
      <c r="BH39" s="193"/>
      <c r="BI39" s="193"/>
      <c r="BJ39" s="193"/>
      <c r="BK39" s="193"/>
      <c r="BL39" s="193"/>
      <c r="BM39" s="193"/>
      <c r="BN39" s="193"/>
      <c r="BO39" s="193"/>
      <c r="BP39" s="193"/>
      <c r="BQ39" s="193"/>
      <c r="BR39" s="193"/>
      <c r="BS39" s="193"/>
      <c r="BT39" s="193"/>
      <c r="BU39" s="193"/>
      <c r="BV39" s="193"/>
      <c r="BW39" s="193"/>
      <c r="BX39" s="193"/>
      <c r="BY39" s="193"/>
      <c r="BZ39" s="193"/>
      <c r="CA39" s="193"/>
      <c r="CB39" s="193"/>
      <c r="CC39" s="193"/>
      <c r="CD39" s="193"/>
      <c r="CE39" s="193"/>
      <c r="CF39" s="193"/>
      <c r="CG39" s="193"/>
      <c r="CH39" s="193"/>
      <c r="CI39" s="193"/>
      <c r="CJ39" s="193"/>
      <c r="CK39" s="193"/>
      <c r="CL39" s="193"/>
      <c r="CM39" s="193"/>
      <c r="CN39" s="193"/>
      <c r="CO39" s="193"/>
      <c r="CP39" s="193"/>
      <c r="CQ39" s="193"/>
      <c r="CR39" s="193"/>
      <c r="CS39" s="193"/>
      <c r="CT39" s="193"/>
      <c r="CU39" s="193"/>
      <c r="CV39" s="193"/>
      <c r="CW39" s="193"/>
      <c r="CX39" s="193"/>
      <c r="CY39" s="193"/>
      <c r="CZ39" s="193"/>
      <c r="DA39" s="193"/>
      <c r="DB39" s="193"/>
      <c r="DC39" s="193"/>
      <c r="DD39" s="193"/>
      <c r="DE39" s="193"/>
      <c r="DF39" s="193"/>
      <c r="DG39" s="193"/>
      <c r="DH39" s="193"/>
      <c r="DI39" s="193"/>
      <c r="DJ39" s="193"/>
      <c r="DK39" s="193"/>
      <c r="DL39" s="193"/>
      <c r="DM39" s="193"/>
      <c r="DN39" s="193"/>
      <c r="DO39" s="193"/>
      <c r="DP39" s="193"/>
      <c r="DQ39" s="193"/>
    </row>
    <row r="40" spans="10:121" ht="46.5">
      <c r="K40" s="215"/>
      <c r="L40" s="215"/>
      <c r="M40" s="216"/>
      <c r="N40" s="216"/>
      <c r="O40" s="216"/>
      <c r="P40" s="216"/>
      <c r="Q40" s="216"/>
      <c r="R40" s="216"/>
      <c r="S40" s="216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3"/>
      <c r="BC40" s="193"/>
      <c r="BD40" s="193"/>
      <c r="BE40" s="193"/>
      <c r="BF40" s="193"/>
      <c r="BG40" s="193"/>
      <c r="BH40" s="193"/>
      <c r="BI40" s="193"/>
      <c r="BJ40" s="193"/>
      <c r="BK40" s="193"/>
      <c r="BL40" s="193"/>
      <c r="BM40" s="193"/>
      <c r="BN40" s="193"/>
      <c r="BO40" s="193"/>
      <c r="BP40" s="193"/>
      <c r="BQ40" s="193"/>
      <c r="BR40" s="193"/>
      <c r="BS40" s="193"/>
      <c r="BT40" s="193"/>
      <c r="BU40" s="193"/>
      <c r="BV40" s="193"/>
      <c r="BW40" s="193"/>
      <c r="BX40" s="193"/>
      <c r="BY40" s="193"/>
      <c r="BZ40" s="193"/>
      <c r="CA40" s="193"/>
      <c r="CB40" s="193"/>
      <c r="CC40" s="193"/>
      <c r="CD40" s="193"/>
      <c r="CE40" s="193"/>
      <c r="CF40" s="193"/>
      <c r="CG40" s="193"/>
      <c r="CH40" s="193"/>
      <c r="CI40" s="193"/>
      <c r="CJ40" s="193"/>
      <c r="CK40" s="193"/>
      <c r="CL40" s="193"/>
      <c r="CM40" s="193"/>
      <c r="CN40" s="193"/>
      <c r="CO40" s="193"/>
      <c r="CP40" s="193"/>
      <c r="CQ40" s="193"/>
      <c r="CR40" s="193"/>
      <c r="CS40" s="193"/>
      <c r="CT40" s="193"/>
      <c r="CU40" s="193"/>
      <c r="CV40" s="193"/>
      <c r="CW40" s="193"/>
      <c r="CX40" s="193"/>
      <c r="CY40" s="193"/>
      <c r="CZ40" s="193"/>
      <c r="DA40" s="193"/>
      <c r="DB40" s="193"/>
      <c r="DC40" s="193"/>
      <c r="DD40" s="193"/>
      <c r="DE40" s="193"/>
      <c r="DF40" s="193"/>
      <c r="DG40" s="193"/>
      <c r="DH40" s="193"/>
      <c r="DI40" s="193"/>
      <c r="DJ40" s="193"/>
      <c r="DK40" s="193"/>
      <c r="DL40" s="193"/>
      <c r="DM40" s="193"/>
      <c r="DN40" s="193"/>
      <c r="DO40" s="193"/>
      <c r="DP40" s="193"/>
      <c r="DQ40" s="193"/>
    </row>
    <row r="41" spans="10:121" ht="46.5">
      <c r="K41" s="215"/>
      <c r="L41" s="215"/>
      <c r="M41" s="216"/>
      <c r="N41" s="216"/>
      <c r="O41" s="216"/>
      <c r="P41" s="216"/>
      <c r="Q41" s="216"/>
      <c r="R41" s="216"/>
      <c r="S41" s="216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3"/>
      <c r="BC41" s="193"/>
      <c r="BD41" s="193"/>
      <c r="BE41" s="193"/>
      <c r="BF41" s="193"/>
      <c r="BG41" s="193"/>
      <c r="BH41" s="193"/>
      <c r="BI41" s="193"/>
      <c r="BJ41" s="193"/>
      <c r="BK41" s="193"/>
      <c r="BL41" s="193"/>
      <c r="BM41" s="193"/>
      <c r="BN41" s="193"/>
      <c r="BO41" s="193"/>
      <c r="BP41" s="193"/>
      <c r="BQ41" s="193"/>
      <c r="BR41" s="193"/>
      <c r="BS41" s="193"/>
      <c r="BT41" s="193"/>
      <c r="BU41" s="193"/>
      <c r="BV41" s="193"/>
      <c r="BW41" s="193"/>
      <c r="BX41" s="193"/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3"/>
      <c r="CK41" s="193"/>
      <c r="CL41" s="193"/>
      <c r="CM41" s="193"/>
      <c r="CN41" s="193"/>
      <c r="CO41" s="193"/>
      <c r="CP41" s="193"/>
      <c r="CQ41" s="193"/>
      <c r="CR41" s="193"/>
      <c r="CS41" s="193"/>
      <c r="CT41" s="193"/>
      <c r="CU41" s="193"/>
      <c r="CV41" s="193"/>
      <c r="CW41" s="193"/>
      <c r="CX41" s="193"/>
      <c r="CY41" s="193"/>
      <c r="CZ41" s="193"/>
      <c r="DA41" s="193"/>
      <c r="DB41" s="193"/>
      <c r="DC41" s="193"/>
      <c r="DD41" s="193"/>
      <c r="DE41" s="193"/>
      <c r="DF41" s="193"/>
      <c r="DG41" s="193"/>
      <c r="DH41" s="193"/>
      <c r="DI41" s="193"/>
      <c r="DJ41" s="193"/>
      <c r="DK41" s="193"/>
      <c r="DL41" s="193"/>
      <c r="DM41" s="193"/>
      <c r="DN41" s="193"/>
      <c r="DO41" s="193"/>
      <c r="DP41" s="193"/>
      <c r="DQ41" s="193"/>
    </row>
    <row r="42" spans="10:121" ht="46.5">
      <c r="K42" s="215"/>
      <c r="L42" s="215"/>
      <c r="M42" s="216"/>
      <c r="N42" s="216"/>
      <c r="O42" s="216"/>
      <c r="P42" s="216"/>
      <c r="Q42" s="216"/>
      <c r="R42" s="216"/>
      <c r="S42" s="216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3"/>
      <c r="BF42" s="193"/>
      <c r="BG42" s="193"/>
      <c r="BH42" s="193"/>
      <c r="BI42" s="193"/>
      <c r="BJ42" s="193"/>
      <c r="BK42" s="193"/>
      <c r="BL42" s="193"/>
      <c r="BM42" s="193"/>
      <c r="BN42" s="193"/>
      <c r="BO42" s="193"/>
      <c r="BP42" s="193"/>
      <c r="BQ42" s="193"/>
      <c r="BR42" s="193"/>
      <c r="BS42" s="193"/>
      <c r="BT42" s="193"/>
      <c r="BU42" s="193"/>
      <c r="BV42" s="193"/>
      <c r="BW42" s="193"/>
      <c r="BX42" s="193"/>
      <c r="BY42" s="193"/>
      <c r="BZ42" s="193"/>
      <c r="CA42" s="193"/>
      <c r="CB42" s="193"/>
      <c r="CC42" s="193"/>
      <c r="CD42" s="193"/>
      <c r="CE42" s="193"/>
      <c r="CF42" s="193"/>
      <c r="CG42" s="193"/>
      <c r="CH42" s="193"/>
      <c r="CI42" s="193"/>
      <c r="CJ42" s="193"/>
      <c r="CK42" s="193"/>
      <c r="CL42" s="193"/>
      <c r="CM42" s="193"/>
      <c r="CN42" s="193"/>
      <c r="CO42" s="193"/>
      <c r="CP42" s="193"/>
      <c r="CQ42" s="193"/>
      <c r="CR42" s="193"/>
      <c r="CS42" s="193"/>
      <c r="CT42" s="193"/>
      <c r="CU42" s="193"/>
      <c r="CV42" s="193"/>
      <c r="CW42" s="193"/>
      <c r="CX42" s="193"/>
      <c r="CY42" s="193"/>
      <c r="CZ42" s="193"/>
      <c r="DA42" s="193"/>
      <c r="DB42" s="193"/>
      <c r="DC42" s="193"/>
      <c r="DD42" s="193"/>
      <c r="DE42" s="193"/>
      <c r="DF42" s="193"/>
      <c r="DG42" s="193"/>
      <c r="DH42" s="193"/>
      <c r="DI42" s="193"/>
      <c r="DJ42" s="193"/>
      <c r="DK42" s="193"/>
      <c r="DL42" s="193"/>
      <c r="DM42" s="193"/>
      <c r="DN42" s="193"/>
      <c r="DO42" s="193"/>
      <c r="DP42" s="193"/>
      <c r="DQ42" s="193"/>
    </row>
    <row r="43" spans="10:121" ht="46.5">
      <c r="K43" s="215"/>
      <c r="L43" s="215"/>
      <c r="M43" s="216"/>
      <c r="N43" s="216"/>
      <c r="O43" s="216"/>
      <c r="P43" s="216"/>
      <c r="Q43" s="216"/>
      <c r="R43" s="216"/>
      <c r="S43" s="216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  <c r="BI43" s="193"/>
      <c r="BJ43" s="193"/>
      <c r="BK43" s="193"/>
      <c r="BL43" s="193"/>
      <c r="BM43" s="193"/>
      <c r="BN43" s="193"/>
      <c r="BO43" s="193"/>
      <c r="BP43" s="193"/>
      <c r="BQ43" s="193"/>
      <c r="BR43" s="193"/>
      <c r="BS43" s="193"/>
      <c r="BT43" s="193"/>
      <c r="BU43" s="193"/>
      <c r="BV43" s="193"/>
      <c r="BW43" s="193"/>
      <c r="BX43" s="193"/>
      <c r="BY43" s="193"/>
      <c r="BZ43" s="193"/>
      <c r="CA43" s="193"/>
      <c r="CB43" s="193"/>
      <c r="CC43" s="193"/>
      <c r="CD43" s="193"/>
      <c r="CE43" s="193"/>
      <c r="CF43" s="193"/>
      <c r="CG43" s="193"/>
      <c r="CH43" s="193"/>
      <c r="CI43" s="193"/>
      <c r="CJ43" s="193"/>
      <c r="CK43" s="193"/>
      <c r="CL43" s="193"/>
      <c r="CM43" s="193"/>
      <c r="CN43" s="193"/>
      <c r="CO43" s="193"/>
      <c r="CP43" s="193"/>
      <c r="CQ43" s="193"/>
      <c r="CR43" s="193"/>
      <c r="CS43" s="193"/>
      <c r="CT43" s="193"/>
      <c r="CU43" s="193"/>
      <c r="CV43" s="193"/>
      <c r="CW43" s="193"/>
      <c r="CX43" s="193"/>
      <c r="CY43" s="193"/>
      <c r="CZ43" s="193"/>
      <c r="DA43" s="193"/>
      <c r="DB43" s="193"/>
      <c r="DC43" s="193"/>
      <c r="DD43" s="193"/>
      <c r="DE43" s="193"/>
      <c r="DF43" s="193"/>
      <c r="DG43" s="193"/>
      <c r="DH43" s="193"/>
      <c r="DI43" s="193"/>
      <c r="DJ43" s="193"/>
      <c r="DK43" s="193"/>
      <c r="DL43" s="193"/>
      <c r="DM43" s="193"/>
      <c r="DN43" s="193"/>
      <c r="DO43" s="193"/>
      <c r="DP43" s="193"/>
      <c r="DQ43" s="193"/>
    </row>
    <row r="44" spans="10:121" ht="46.5">
      <c r="K44" s="215"/>
      <c r="L44" s="215"/>
      <c r="M44" s="216"/>
      <c r="N44" s="216"/>
      <c r="O44" s="216"/>
      <c r="P44" s="216"/>
      <c r="Q44" s="216"/>
      <c r="R44" s="216"/>
      <c r="S44" s="216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3"/>
      <c r="BC44" s="193"/>
      <c r="BD44" s="193"/>
      <c r="BE44" s="193"/>
      <c r="BF44" s="193"/>
      <c r="BG44" s="193"/>
      <c r="BH44" s="193"/>
      <c r="BI44" s="193"/>
      <c r="BJ44" s="193"/>
      <c r="BK44" s="193"/>
      <c r="BL44" s="193"/>
      <c r="BM44" s="193"/>
      <c r="BN44" s="193"/>
      <c r="BO44" s="193"/>
      <c r="BP44" s="193"/>
      <c r="BQ44" s="193"/>
      <c r="BR44" s="193"/>
      <c r="BS44" s="193"/>
      <c r="BT44" s="193"/>
      <c r="BU44" s="193"/>
      <c r="BV44" s="193"/>
      <c r="BW44" s="193"/>
      <c r="BX44" s="193"/>
      <c r="BY44" s="193"/>
      <c r="BZ44" s="193"/>
      <c r="CA44" s="193"/>
      <c r="CB44" s="193"/>
      <c r="CC44" s="193"/>
      <c r="CD44" s="193"/>
      <c r="CE44" s="193"/>
      <c r="CF44" s="193"/>
      <c r="CG44" s="193"/>
      <c r="CH44" s="193"/>
      <c r="CI44" s="193"/>
      <c r="CJ44" s="193"/>
      <c r="CK44" s="193"/>
      <c r="CL44" s="193"/>
      <c r="CM44" s="193"/>
      <c r="CN44" s="193"/>
      <c r="CO44" s="193"/>
      <c r="CP44" s="193"/>
      <c r="CQ44" s="193"/>
      <c r="CR44" s="193"/>
      <c r="CS44" s="193"/>
      <c r="CT44" s="193"/>
      <c r="CU44" s="193"/>
      <c r="CV44" s="193"/>
      <c r="CW44" s="193"/>
      <c r="CX44" s="193"/>
      <c r="CY44" s="193"/>
      <c r="CZ44" s="193"/>
      <c r="DA44" s="193"/>
      <c r="DB44" s="193"/>
      <c r="DC44" s="193"/>
      <c r="DD44" s="193"/>
      <c r="DE44" s="193"/>
      <c r="DF44" s="193"/>
      <c r="DG44" s="193"/>
      <c r="DH44" s="193"/>
      <c r="DI44" s="193"/>
      <c r="DJ44" s="193"/>
      <c r="DK44" s="193"/>
      <c r="DL44" s="193"/>
      <c r="DM44" s="193"/>
      <c r="DN44" s="193"/>
      <c r="DO44" s="193"/>
      <c r="DP44" s="193"/>
      <c r="DQ44" s="193"/>
    </row>
    <row r="45" spans="10:121" ht="46.5">
      <c r="K45" s="215"/>
      <c r="L45" s="215"/>
      <c r="M45" s="216"/>
      <c r="N45" s="216"/>
      <c r="O45" s="216"/>
      <c r="P45" s="216"/>
      <c r="Q45" s="216"/>
      <c r="R45" s="216"/>
      <c r="S45" s="216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  <c r="BI45" s="193"/>
      <c r="BJ45" s="193"/>
      <c r="BK45" s="193"/>
      <c r="BL45" s="193"/>
      <c r="BM45" s="193"/>
      <c r="BN45" s="193"/>
      <c r="BO45" s="193"/>
      <c r="BP45" s="193"/>
      <c r="BQ45" s="193"/>
      <c r="BR45" s="193"/>
      <c r="BS45" s="193"/>
      <c r="BT45" s="193"/>
      <c r="BU45" s="193"/>
      <c r="BV45" s="193"/>
      <c r="BW45" s="193"/>
      <c r="BX45" s="193"/>
      <c r="BY45" s="193"/>
      <c r="BZ45" s="193"/>
      <c r="CA45" s="193"/>
      <c r="CB45" s="193"/>
      <c r="CC45" s="193"/>
      <c r="CD45" s="193"/>
      <c r="CE45" s="193"/>
      <c r="CF45" s="193"/>
      <c r="CG45" s="193"/>
      <c r="CH45" s="193"/>
      <c r="CI45" s="193"/>
      <c r="CJ45" s="193"/>
      <c r="CK45" s="193"/>
      <c r="CL45" s="193"/>
      <c r="CM45" s="193"/>
      <c r="CN45" s="193"/>
      <c r="CO45" s="193"/>
      <c r="CP45" s="193"/>
      <c r="CQ45" s="193"/>
      <c r="CR45" s="193"/>
      <c r="CS45" s="193"/>
      <c r="CT45" s="193"/>
      <c r="CU45" s="193"/>
      <c r="CV45" s="193"/>
      <c r="CW45" s="193"/>
      <c r="CX45" s="193"/>
      <c r="CY45" s="193"/>
      <c r="CZ45" s="193"/>
      <c r="DA45" s="193"/>
      <c r="DB45" s="193"/>
      <c r="DC45" s="193"/>
      <c r="DD45" s="193"/>
      <c r="DE45" s="193"/>
      <c r="DF45" s="193"/>
      <c r="DG45" s="193"/>
      <c r="DH45" s="193"/>
      <c r="DI45" s="193"/>
      <c r="DJ45" s="193"/>
      <c r="DK45" s="193"/>
      <c r="DL45" s="193"/>
      <c r="DM45" s="193"/>
      <c r="DN45" s="193"/>
      <c r="DO45" s="193"/>
      <c r="DP45" s="193"/>
      <c r="DQ45" s="193"/>
    </row>
    <row r="46" spans="10:121" ht="46.5">
      <c r="K46" s="215"/>
      <c r="L46" s="215"/>
      <c r="M46" s="216"/>
      <c r="N46" s="216"/>
      <c r="O46" s="216"/>
      <c r="P46" s="216"/>
      <c r="Q46" s="216"/>
      <c r="R46" s="216"/>
      <c r="S46" s="216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3"/>
      <c r="BN46" s="193"/>
      <c r="BO46" s="193"/>
      <c r="BP46" s="193"/>
      <c r="BQ46" s="193"/>
      <c r="BR46" s="193"/>
      <c r="BS46" s="193"/>
      <c r="BT46" s="193"/>
      <c r="BU46" s="193"/>
      <c r="BV46" s="193"/>
      <c r="BW46" s="193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  <c r="CO46" s="193"/>
      <c r="CP46" s="193"/>
      <c r="CQ46" s="193"/>
      <c r="CR46" s="193"/>
      <c r="CS46" s="193"/>
      <c r="CT46" s="193"/>
      <c r="CU46" s="193"/>
      <c r="CV46" s="193"/>
      <c r="CW46" s="193"/>
      <c r="CX46" s="193"/>
      <c r="CY46" s="193"/>
      <c r="CZ46" s="193"/>
      <c r="DA46" s="193"/>
      <c r="DB46" s="193"/>
      <c r="DC46" s="193"/>
      <c r="DD46" s="193"/>
      <c r="DE46" s="193"/>
      <c r="DF46" s="193"/>
      <c r="DG46" s="193"/>
      <c r="DH46" s="193"/>
      <c r="DI46" s="193"/>
      <c r="DJ46" s="193"/>
      <c r="DK46" s="193"/>
      <c r="DL46" s="193"/>
      <c r="DM46" s="193"/>
      <c r="DN46" s="193"/>
      <c r="DO46" s="193"/>
      <c r="DP46" s="193"/>
      <c r="DQ46" s="193"/>
    </row>
    <row r="47" spans="10:121" ht="46.5">
      <c r="K47" s="215"/>
      <c r="L47" s="215"/>
      <c r="M47" s="216"/>
      <c r="N47" s="216"/>
      <c r="O47" s="216"/>
      <c r="P47" s="216"/>
      <c r="Q47" s="216"/>
      <c r="R47" s="216"/>
      <c r="S47" s="216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  <c r="BI47" s="193"/>
      <c r="BJ47" s="193"/>
      <c r="BK47" s="193"/>
      <c r="BL47" s="193"/>
      <c r="BM47" s="193"/>
      <c r="BN47" s="193"/>
      <c r="BO47" s="193"/>
      <c r="BP47" s="193"/>
      <c r="BQ47" s="193"/>
      <c r="BR47" s="193"/>
      <c r="BS47" s="193"/>
      <c r="BT47" s="193"/>
      <c r="BU47" s="193"/>
      <c r="BV47" s="193"/>
      <c r="BW47" s="193"/>
      <c r="BX47" s="193"/>
      <c r="BY47" s="193"/>
      <c r="BZ47" s="193"/>
      <c r="CA47" s="193"/>
      <c r="CB47" s="193"/>
      <c r="CC47" s="193"/>
      <c r="CD47" s="193"/>
      <c r="CE47" s="193"/>
      <c r="CF47" s="193"/>
      <c r="CG47" s="193"/>
      <c r="CH47" s="193"/>
      <c r="CI47" s="193"/>
      <c r="CJ47" s="193"/>
      <c r="CK47" s="193"/>
      <c r="CL47" s="193"/>
      <c r="CM47" s="193"/>
      <c r="CN47" s="193"/>
      <c r="CO47" s="193"/>
      <c r="CP47" s="193"/>
      <c r="CQ47" s="193"/>
      <c r="CR47" s="193"/>
      <c r="CS47" s="193"/>
      <c r="CT47" s="193"/>
      <c r="CU47" s="193"/>
      <c r="CV47" s="193"/>
      <c r="CW47" s="193"/>
      <c r="CX47" s="193"/>
      <c r="CY47" s="193"/>
      <c r="CZ47" s="193"/>
      <c r="DA47" s="193"/>
      <c r="DB47" s="193"/>
      <c r="DC47" s="193"/>
      <c r="DD47" s="193"/>
      <c r="DE47" s="193"/>
      <c r="DF47" s="193"/>
      <c r="DG47" s="193"/>
      <c r="DH47" s="193"/>
      <c r="DI47" s="193"/>
      <c r="DJ47" s="193"/>
      <c r="DK47" s="193"/>
      <c r="DL47" s="193"/>
      <c r="DM47" s="193"/>
      <c r="DN47" s="193"/>
      <c r="DO47" s="193"/>
      <c r="DP47" s="193"/>
      <c r="DQ47" s="193"/>
    </row>
    <row r="48" spans="10:121" ht="46.5">
      <c r="K48" s="215"/>
      <c r="L48" s="215"/>
      <c r="M48" s="216"/>
      <c r="N48" s="216"/>
      <c r="O48" s="216"/>
      <c r="P48" s="216"/>
      <c r="Q48" s="216"/>
      <c r="R48" s="216"/>
      <c r="S48" s="216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  <c r="BI48" s="193"/>
      <c r="BJ48" s="193"/>
      <c r="BK48" s="193"/>
      <c r="BL48" s="193"/>
      <c r="BM48" s="193"/>
      <c r="BN48" s="193"/>
      <c r="BO48" s="193"/>
      <c r="BP48" s="193"/>
      <c r="BQ48" s="193"/>
      <c r="BR48" s="193"/>
      <c r="BS48" s="193"/>
      <c r="BT48" s="193"/>
      <c r="BU48" s="193"/>
      <c r="BV48" s="193"/>
      <c r="BW48" s="193"/>
      <c r="BX48" s="193"/>
      <c r="BY48" s="193"/>
      <c r="BZ48" s="193"/>
      <c r="CA48" s="193"/>
      <c r="CB48" s="193"/>
      <c r="CC48" s="193"/>
      <c r="CD48" s="193"/>
      <c r="CE48" s="193"/>
      <c r="CF48" s="193"/>
      <c r="CG48" s="193"/>
      <c r="CH48" s="193"/>
      <c r="CI48" s="193"/>
      <c r="CJ48" s="193"/>
      <c r="CK48" s="193"/>
      <c r="CL48" s="193"/>
      <c r="CM48" s="193"/>
      <c r="CN48" s="193"/>
      <c r="CO48" s="193"/>
      <c r="CP48" s="193"/>
      <c r="CQ48" s="193"/>
      <c r="CR48" s="193"/>
      <c r="CS48" s="193"/>
      <c r="CT48" s="193"/>
      <c r="CU48" s="193"/>
      <c r="CV48" s="193"/>
      <c r="CW48" s="193"/>
      <c r="CX48" s="193"/>
      <c r="CY48" s="193"/>
      <c r="CZ48" s="193"/>
      <c r="DA48" s="193"/>
      <c r="DB48" s="193"/>
      <c r="DC48" s="193"/>
      <c r="DD48" s="193"/>
      <c r="DE48" s="193"/>
      <c r="DF48" s="193"/>
      <c r="DG48" s="193"/>
      <c r="DH48" s="193"/>
      <c r="DI48" s="193"/>
      <c r="DJ48" s="193"/>
      <c r="DK48" s="193"/>
      <c r="DL48" s="193"/>
      <c r="DM48" s="193"/>
      <c r="DN48" s="193"/>
      <c r="DO48" s="193"/>
      <c r="DP48" s="193"/>
      <c r="DQ48" s="193"/>
    </row>
    <row r="49" spans="2:121" ht="46.5">
      <c r="K49" s="215"/>
      <c r="L49" s="215"/>
      <c r="M49" s="216"/>
      <c r="N49" s="216"/>
      <c r="O49" s="216"/>
      <c r="P49" s="216"/>
      <c r="Q49" s="216"/>
      <c r="R49" s="216"/>
      <c r="S49" s="216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193"/>
      <c r="BN49" s="193"/>
      <c r="BO49" s="193"/>
      <c r="BP49" s="193"/>
      <c r="BQ49" s="193"/>
      <c r="BR49" s="193"/>
      <c r="BS49" s="193"/>
      <c r="BT49" s="193"/>
      <c r="BU49" s="193"/>
      <c r="BV49" s="193"/>
      <c r="BW49" s="193"/>
      <c r="BX49" s="193"/>
      <c r="BY49" s="193"/>
      <c r="BZ49" s="193"/>
      <c r="CA49" s="193"/>
      <c r="CB49" s="193"/>
      <c r="CC49" s="193"/>
      <c r="CD49" s="193"/>
      <c r="CE49" s="193"/>
      <c r="CF49" s="193"/>
      <c r="CG49" s="193"/>
      <c r="CH49" s="193"/>
      <c r="CI49" s="193"/>
      <c r="CJ49" s="193"/>
      <c r="CK49" s="193"/>
      <c r="CL49" s="193"/>
      <c r="CM49" s="193"/>
      <c r="CN49" s="193"/>
      <c r="CO49" s="193"/>
      <c r="CP49" s="193"/>
      <c r="CQ49" s="193"/>
      <c r="CR49" s="193"/>
      <c r="CS49" s="193"/>
      <c r="CT49" s="193"/>
      <c r="CU49" s="193"/>
      <c r="CV49" s="193"/>
      <c r="CW49" s="193"/>
      <c r="CX49" s="193"/>
      <c r="CY49" s="193"/>
      <c r="CZ49" s="193"/>
      <c r="DA49" s="193"/>
      <c r="DB49" s="193"/>
      <c r="DC49" s="193"/>
      <c r="DD49" s="193"/>
      <c r="DE49" s="193"/>
      <c r="DF49" s="193"/>
      <c r="DG49" s="193"/>
      <c r="DH49" s="193"/>
      <c r="DI49" s="193"/>
      <c r="DJ49" s="193"/>
      <c r="DK49" s="193"/>
      <c r="DL49" s="193"/>
      <c r="DM49" s="193"/>
      <c r="DN49" s="193"/>
      <c r="DO49" s="193"/>
      <c r="DP49" s="193"/>
      <c r="DQ49" s="193"/>
    </row>
    <row r="50" spans="2:121" ht="46.5">
      <c r="K50" s="215"/>
      <c r="L50" s="215"/>
      <c r="M50" s="216"/>
      <c r="N50" s="216"/>
      <c r="O50" s="216"/>
      <c r="P50" s="216"/>
      <c r="Q50" s="216"/>
      <c r="R50" s="216"/>
      <c r="S50" s="216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  <c r="BM50" s="193"/>
      <c r="BN50" s="193"/>
      <c r="BO50" s="193"/>
      <c r="BP50" s="193"/>
      <c r="BQ50" s="193"/>
      <c r="BR50" s="193"/>
      <c r="BS50" s="193"/>
      <c r="BT50" s="193"/>
      <c r="BU50" s="193"/>
      <c r="BV50" s="193"/>
      <c r="BW50" s="193"/>
      <c r="BX50" s="193"/>
      <c r="BY50" s="193"/>
      <c r="BZ50" s="193"/>
      <c r="CA50" s="193"/>
      <c r="CB50" s="193"/>
      <c r="CC50" s="193"/>
      <c r="CD50" s="193"/>
      <c r="CE50" s="193"/>
      <c r="CF50" s="193"/>
      <c r="CG50" s="193"/>
      <c r="CH50" s="193"/>
      <c r="CI50" s="193"/>
      <c r="CJ50" s="193"/>
      <c r="CK50" s="193"/>
      <c r="CL50" s="193"/>
      <c r="CM50" s="193"/>
      <c r="CN50" s="193"/>
      <c r="CO50" s="193"/>
      <c r="CP50" s="193"/>
      <c r="CQ50" s="193"/>
      <c r="CR50" s="193"/>
      <c r="CS50" s="193"/>
      <c r="CT50" s="193"/>
      <c r="CU50" s="193"/>
      <c r="CV50" s="193"/>
      <c r="CW50" s="193"/>
      <c r="CX50" s="193"/>
      <c r="CY50" s="193"/>
      <c r="CZ50" s="193"/>
      <c r="DA50" s="193"/>
      <c r="DB50" s="193"/>
      <c r="DC50" s="193"/>
      <c r="DD50" s="193"/>
      <c r="DE50" s="193"/>
      <c r="DF50" s="193"/>
      <c r="DG50" s="193"/>
      <c r="DH50" s="193"/>
      <c r="DI50" s="193"/>
      <c r="DJ50" s="193"/>
      <c r="DK50" s="193"/>
      <c r="DL50" s="193"/>
      <c r="DM50" s="193"/>
      <c r="DN50" s="193"/>
      <c r="DO50" s="193"/>
      <c r="DP50" s="193"/>
      <c r="DQ50" s="193"/>
    </row>
    <row r="51" spans="2:121" ht="46.5">
      <c r="K51" s="215"/>
      <c r="L51" s="215"/>
      <c r="M51" s="216"/>
      <c r="N51" s="216"/>
      <c r="O51" s="216"/>
      <c r="P51" s="216"/>
      <c r="Q51" s="216"/>
      <c r="R51" s="216"/>
      <c r="S51" s="216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  <c r="BI51" s="193"/>
      <c r="BJ51" s="193"/>
      <c r="BK51" s="193"/>
      <c r="BL51" s="193"/>
      <c r="BM51" s="193"/>
      <c r="BN51" s="193"/>
      <c r="BO51" s="193"/>
      <c r="BP51" s="193"/>
      <c r="BQ51" s="193"/>
      <c r="BR51" s="193"/>
      <c r="BS51" s="193"/>
      <c r="BT51" s="193"/>
      <c r="BU51" s="193"/>
      <c r="BV51" s="193"/>
      <c r="BW51" s="193"/>
      <c r="BX51" s="193"/>
      <c r="BY51" s="193"/>
      <c r="BZ51" s="193"/>
      <c r="CA51" s="193"/>
      <c r="CB51" s="193"/>
      <c r="CC51" s="193"/>
      <c r="CD51" s="193"/>
      <c r="CE51" s="193"/>
      <c r="CF51" s="193"/>
      <c r="CG51" s="193"/>
      <c r="CH51" s="193"/>
      <c r="CI51" s="193"/>
      <c r="CJ51" s="193"/>
      <c r="CK51" s="193"/>
      <c r="CL51" s="193"/>
      <c r="CM51" s="193"/>
      <c r="CN51" s="193"/>
      <c r="CO51" s="193"/>
      <c r="CP51" s="193"/>
      <c r="CQ51" s="193"/>
      <c r="CR51" s="193"/>
      <c r="CS51" s="193"/>
      <c r="CT51" s="193"/>
      <c r="CU51" s="193"/>
      <c r="CV51" s="193"/>
      <c r="CW51" s="193"/>
      <c r="CX51" s="193"/>
      <c r="CY51" s="193"/>
      <c r="CZ51" s="193"/>
      <c r="DA51" s="193"/>
      <c r="DB51" s="193"/>
      <c r="DC51" s="193"/>
      <c r="DD51" s="193"/>
      <c r="DE51" s="193"/>
      <c r="DF51" s="193"/>
      <c r="DG51" s="193"/>
      <c r="DH51" s="193"/>
      <c r="DI51" s="193"/>
      <c r="DJ51" s="193"/>
      <c r="DK51" s="193"/>
      <c r="DL51" s="193"/>
      <c r="DM51" s="193"/>
      <c r="DN51" s="193"/>
      <c r="DO51" s="193"/>
      <c r="DP51" s="193"/>
      <c r="DQ51" s="193"/>
    </row>
    <row r="52" spans="2:121" ht="46.5">
      <c r="K52" s="215"/>
      <c r="L52" s="215"/>
      <c r="M52" s="216"/>
      <c r="N52" s="216"/>
      <c r="O52" s="216"/>
      <c r="P52" s="216"/>
      <c r="Q52" s="216"/>
      <c r="R52" s="216"/>
      <c r="S52" s="216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  <c r="BM52" s="193"/>
      <c r="BN52" s="193"/>
      <c r="BO52" s="193"/>
      <c r="BP52" s="193"/>
      <c r="BQ52" s="193"/>
      <c r="BR52" s="193"/>
      <c r="BS52" s="193"/>
      <c r="BT52" s="193"/>
      <c r="BU52" s="193"/>
      <c r="BV52" s="193"/>
      <c r="BW52" s="193"/>
      <c r="BX52" s="193"/>
      <c r="BY52" s="193"/>
      <c r="BZ52" s="193"/>
      <c r="CA52" s="193"/>
      <c r="CB52" s="193"/>
      <c r="CC52" s="193"/>
      <c r="CD52" s="193"/>
      <c r="CE52" s="193"/>
      <c r="CF52" s="193"/>
      <c r="CG52" s="193"/>
      <c r="CH52" s="193"/>
      <c r="CI52" s="193"/>
      <c r="CJ52" s="193"/>
      <c r="CK52" s="193"/>
      <c r="CL52" s="193"/>
      <c r="CM52" s="193"/>
      <c r="CN52" s="193"/>
      <c r="CO52" s="193"/>
      <c r="CP52" s="193"/>
      <c r="CQ52" s="193"/>
      <c r="CR52" s="193"/>
      <c r="CS52" s="193"/>
      <c r="CT52" s="193"/>
      <c r="CU52" s="193"/>
      <c r="CV52" s="193"/>
      <c r="CW52" s="193"/>
      <c r="CX52" s="193"/>
      <c r="CY52" s="193"/>
      <c r="CZ52" s="193"/>
      <c r="DA52" s="193"/>
      <c r="DB52" s="193"/>
      <c r="DC52" s="193"/>
      <c r="DD52" s="193"/>
      <c r="DE52" s="193"/>
      <c r="DF52" s="193"/>
      <c r="DG52" s="193"/>
      <c r="DH52" s="193"/>
      <c r="DI52" s="193"/>
      <c r="DJ52" s="193"/>
      <c r="DK52" s="193"/>
      <c r="DL52" s="193"/>
      <c r="DM52" s="193"/>
      <c r="DN52" s="193"/>
      <c r="DO52" s="193"/>
      <c r="DP52" s="193"/>
      <c r="DQ52" s="193"/>
    </row>
    <row r="53" spans="2:121" ht="46.5">
      <c r="K53" s="215"/>
      <c r="L53" s="215"/>
      <c r="M53" s="216"/>
      <c r="N53" s="216"/>
      <c r="O53" s="216"/>
      <c r="P53" s="216"/>
      <c r="Q53" s="216"/>
      <c r="R53" s="216"/>
      <c r="S53" s="216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3"/>
      <c r="BQ53" s="193"/>
      <c r="BR53" s="193"/>
      <c r="BS53" s="193"/>
      <c r="BT53" s="193"/>
      <c r="BU53" s="193"/>
      <c r="BV53" s="193"/>
      <c r="BW53" s="193"/>
      <c r="BX53" s="193"/>
      <c r="BY53" s="193"/>
      <c r="BZ53" s="193"/>
      <c r="CA53" s="193"/>
      <c r="CB53" s="193"/>
      <c r="CC53" s="193"/>
      <c r="CD53" s="193"/>
      <c r="CE53" s="193"/>
      <c r="CF53" s="193"/>
      <c r="CG53" s="193"/>
      <c r="CH53" s="193"/>
      <c r="CI53" s="193"/>
      <c r="CJ53" s="193"/>
      <c r="CK53" s="193"/>
      <c r="CL53" s="193"/>
      <c r="CM53" s="193"/>
      <c r="CN53" s="193"/>
      <c r="CO53" s="193"/>
      <c r="CP53" s="193"/>
      <c r="CQ53" s="193"/>
      <c r="CR53" s="193"/>
      <c r="CS53" s="193"/>
      <c r="CT53" s="193"/>
      <c r="CU53" s="193"/>
      <c r="CV53" s="193"/>
      <c r="CW53" s="193"/>
      <c r="CX53" s="193"/>
      <c r="CY53" s="193"/>
      <c r="CZ53" s="193"/>
      <c r="DA53" s="193"/>
      <c r="DB53" s="193"/>
      <c r="DC53" s="193"/>
      <c r="DD53" s="193"/>
      <c r="DE53" s="193"/>
      <c r="DF53" s="193"/>
      <c r="DG53" s="193"/>
      <c r="DH53" s="193"/>
      <c r="DI53" s="193"/>
      <c r="DJ53" s="193"/>
      <c r="DK53" s="193"/>
      <c r="DL53" s="193"/>
      <c r="DM53" s="193"/>
      <c r="DN53" s="193"/>
      <c r="DO53" s="193"/>
      <c r="DP53" s="193"/>
      <c r="DQ53" s="193"/>
    </row>
    <row r="54" spans="2:121" ht="46.5">
      <c r="K54" s="215"/>
      <c r="L54" s="215"/>
      <c r="M54" s="216"/>
      <c r="N54" s="216"/>
      <c r="O54" s="216"/>
      <c r="P54" s="216"/>
      <c r="Q54" s="216"/>
      <c r="R54" s="216"/>
      <c r="S54" s="216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3"/>
      <c r="AK54" s="193"/>
      <c r="AL54" s="193"/>
      <c r="AM54" s="193"/>
      <c r="AN54" s="193"/>
      <c r="AO54" s="193"/>
      <c r="AP54" s="193"/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93"/>
      <c r="BC54" s="193"/>
      <c r="BD54" s="193"/>
      <c r="BE54" s="193"/>
      <c r="BF54" s="193"/>
      <c r="BG54" s="193"/>
      <c r="BH54" s="193"/>
      <c r="BI54" s="193"/>
      <c r="BJ54" s="193"/>
      <c r="BK54" s="193"/>
      <c r="BL54" s="193"/>
      <c r="BM54" s="193"/>
      <c r="BN54" s="193"/>
      <c r="BO54" s="193"/>
      <c r="BP54" s="193"/>
      <c r="BQ54" s="193"/>
      <c r="BR54" s="193"/>
      <c r="BS54" s="193"/>
      <c r="BT54" s="193"/>
      <c r="BU54" s="193"/>
      <c r="BV54" s="193"/>
      <c r="BW54" s="193"/>
      <c r="BX54" s="193"/>
      <c r="BY54" s="193"/>
      <c r="BZ54" s="193"/>
      <c r="CA54" s="193"/>
      <c r="CB54" s="193"/>
      <c r="CC54" s="193"/>
      <c r="CD54" s="193"/>
      <c r="CE54" s="193"/>
      <c r="CF54" s="193"/>
      <c r="CG54" s="193"/>
      <c r="CH54" s="193"/>
      <c r="CI54" s="193"/>
      <c r="CJ54" s="193"/>
      <c r="CK54" s="193"/>
      <c r="CL54" s="193"/>
      <c r="CM54" s="193"/>
      <c r="CN54" s="193"/>
      <c r="CO54" s="193"/>
      <c r="CP54" s="193"/>
      <c r="CQ54" s="193"/>
      <c r="CR54" s="193"/>
      <c r="CS54" s="193"/>
      <c r="CT54" s="193"/>
      <c r="CU54" s="193"/>
      <c r="CV54" s="193"/>
      <c r="CW54" s="193"/>
      <c r="CX54" s="193"/>
      <c r="CY54" s="193"/>
      <c r="CZ54" s="193"/>
      <c r="DA54" s="193"/>
      <c r="DB54" s="193"/>
      <c r="DC54" s="193"/>
      <c r="DD54" s="193"/>
      <c r="DE54" s="193"/>
      <c r="DF54" s="193"/>
      <c r="DG54" s="193"/>
      <c r="DH54" s="193"/>
      <c r="DI54" s="193"/>
      <c r="DJ54" s="193"/>
      <c r="DK54" s="193"/>
      <c r="DL54" s="193"/>
      <c r="DM54" s="193"/>
      <c r="DN54" s="193"/>
      <c r="DO54" s="193"/>
      <c r="DP54" s="193"/>
      <c r="DQ54" s="193"/>
    </row>
    <row r="57" spans="2:121" ht="78.75" customHeight="1">
      <c r="B57" s="405" t="s">
        <v>70</v>
      </c>
      <c r="C57" s="406"/>
      <c r="G57" s="405" t="s">
        <v>71</v>
      </c>
      <c r="H57" s="405"/>
      <c r="I57" s="405"/>
      <c r="J57" s="406"/>
    </row>
    <row r="58" spans="2:121" ht="33.75" customHeight="1"/>
  </sheetData>
  <mergeCells count="237">
    <mergeCell ref="CN30:CU30"/>
    <mergeCell ref="CW30:DD30"/>
    <mergeCell ref="DF30:DM30"/>
    <mergeCell ref="B31:C31"/>
    <mergeCell ref="D31:E31"/>
    <mergeCell ref="B57:C57"/>
    <mergeCell ref="G57:J57"/>
    <mergeCell ref="DF29:DM29"/>
    <mergeCell ref="K30:R30"/>
    <mergeCell ref="T30:AA30"/>
    <mergeCell ref="AC30:AJ30"/>
    <mergeCell ref="AL30:AS30"/>
    <mergeCell ref="AU30:BB30"/>
    <mergeCell ref="BD30:BK30"/>
    <mergeCell ref="BM30:BT30"/>
    <mergeCell ref="BV30:CC30"/>
    <mergeCell ref="CE30:CL30"/>
    <mergeCell ref="BD29:BK29"/>
    <mergeCell ref="BM29:BT29"/>
    <mergeCell ref="BV29:CC29"/>
    <mergeCell ref="CE29:CL29"/>
    <mergeCell ref="CN29:CU29"/>
    <mergeCell ref="CW29:DD29"/>
    <mergeCell ref="I29:I30"/>
    <mergeCell ref="K29:R29"/>
    <mergeCell ref="T29:AA29"/>
    <mergeCell ref="AC29:AJ29"/>
    <mergeCell ref="AL29:AS29"/>
    <mergeCell ref="AU29:BB29"/>
    <mergeCell ref="B29:B30"/>
    <mergeCell ref="C29:C30"/>
    <mergeCell ref="D29:E30"/>
    <mergeCell ref="F29:F30"/>
    <mergeCell ref="G29:G30"/>
    <mergeCell ref="H29:H30"/>
    <mergeCell ref="CN28:CU28"/>
    <mergeCell ref="CW28:DD28"/>
    <mergeCell ref="DF28:DM28"/>
    <mergeCell ref="K28:R28"/>
    <mergeCell ref="T28:AA28"/>
    <mergeCell ref="AC28:AJ28"/>
    <mergeCell ref="AL28:AS28"/>
    <mergeCell ref="AU28:BB28"/>
    <mergeCell ref="BD28:BK28"/>
    <mergeCell ref="DF26:DM26"/>
    <mergeCell ref="B27:B28"/>
    <mergeCell ref="C27:C28"/>
    <mergeCell ref="D27:E28"/>
    <mergeCell ref="F27:F28"/>
    <mergeCell ref="G27:G28"/>
    <mergeCell ref="H27:H28"/>
    <mergeCell ref="I27:I28"/>
    <mergeCell ref="I25:I26"/>
    <mergeCell ref="BM27:BT27"/>
    <mergeCell ref="BV27:CC27"/>
    <mergeCell ref="CE27:CL27"/>
    <mergeCell ref="CN27:CU27"/>
    <mergeCell ref="CW27:DD27"/>
    <mergeCell ref="DF27:DM27"/>
    <mergeCell ref="K27:R27"/>
    <mergeCell ref="T27:AA27"/>
    <mergeCell ref="AC27:AJ27"/>
    <mergeCell ref="AL27:AS27"/>
    <mergeCell ref="AU27:BB27"/>
    <mergeCell ref="BD27:BK27"/>
    <mergeCell ref="BM28:BT28"/>
    <mergeCell ref="BV28:CC28"/>
    <mergeCell ref="CE28:CL28"/>
    <mergeCell ref="CN25:CU25"/>
    <mergeCell ref="CW25:DD25"/>
    <mergeCell ref="K25:R25"/>
    <mergeCell ref="T25:AA25"/>
    <mergeCell ref="AC25:AJ25"/>
    <mergeCell ref="AL25:AS25"/>
    <mergeCell ref="AU25:BB25"/>
    <mergeCell ref="CN26:CU26"/>
    <mergeCell ref="CW26:DD26"/>
    <mergeCell ref="CW24:DD24"/>
    <mergeCell ref="DF24:DM24"/>
    <mergeCell ref="B25:B26"/>
    <mergeCell ref="C25:C26"/>
    <mergeCell ref="D25:E26"/>
    <mergeCell ref="F25:F26"/>
    <mergeCell ref="G25:G26"/>
    <mergeCell ref="H25:H26"/>
    <mergeCell ref="H23:H24"/>
    <mergeCell ref="I23:I24"/>
    <mergeCell ref="DF25:DM25"/>
    <mergeCell ref="K26:R26"/>
    <mergeCell ref="T26:AA26"/>
    <mergeCell ref="AC26:AJ26"/>
    <mergeCell ref="AL26:AS26"/>
    <mergeCell ref="AU26:BB26"/>
    <mergeCell ref="BD26:BK26"/>
    <mergeCell ref="BM26:BT26"/>
    <mergeCell ref="BV26:CC26"/>
    <mergeCell ref="CE26:CL26"/>
    <mergeCell ref="BD25:BK25"/>
    <mergeCell ref="BM25:BT25"/>
    <mergeCell ref="BV25:CC25"/>
    <mergeCell ref="CE25:CL25"/>
    <mergeCell ref="BM24:BT24"/>
    <mergeCell ref="BV24:CC24"/>
    <mergeCell ref="AU23:BB23"/>
    <mergeCell ref="BD23:BK23"/>
    <mergeCell ref="BM23:BT23"/>
    <mergeCell ref="BV23:CC23"/>
    <mergeCell ref="CE23:CL23"/>
    <mergeCell ref="CN23:CU23"/>
    <mergeCell ref="K23:R23"/>
    <mergeCell ref="T23:AA23"/>
    <mergeCell ref="AC23:AJ23"/>
    <mergeCell ref="AL23:AS23"/>
    <mergeCell ref="CE24:CL24"/>
    <mergeCell ref="CN24:CU24"/>
    <mergeCell ref="BV21:CC21"/>
    <mergeCell ref="CE21:CL21"/>
    <mergeCell ref="CN21:CU21"/>
    <mergeCell ref="CW21:DD21"/>
    <mergeCell ref="DF21:DM21"/>
    <mergeCell ref="B23:B24"/>
    <mergeCell ref="C23:C24"/>
    <mergeCell ref="D23:E24"/>
    <mergeCell ref="F23:F24"/>
    <mergeCell ref="G23:G24"/>
    <mergeCell ref="T21:AA21"/>
    <mergeCell ref="AC21:AJ21"/>
    <mergeCell ref="AL21:AS21"/>
    <mergeCell ref="AU21:BB21"/>
    <mergeCell ref="BD21:BK21"/>
    <mergeCell ref="BM21:BT21"/>
    <mergeCell ref="CW23:DD23"/>
    <mergeCell ref="DF23:DM23"/>
    <mergeCell ref="K24:R24"/>
    <mergeCell ref="T24:AA24"/>
    <mergeCell ref="AC24:AJ24"/>
    <mergeCell ref="AL24:AS24"/>
    <mergeCell ref="AU24:BB24"/>
    <mergeCell ref="BD24:BK24"/>
    <mergeCell ref="B21:B22"/>
    <mergeCell ref="C21:C22"/>
    <mergeCell ref="D21:E22"/>
    <mergeCell ref="F21:F22"/>
    <mergeCell ref="G21:G22"/>
    <mergeCell ref="H21:H22"/>
    <mergeCell ref="I21:I22"/>
    <mergeCell ref="K21:R21"/>
    <mergeCell ref="AU19:BB19"/>
    <mergeCell ref="H19:H20"/>
    <mergeCell ref="I19:I20"/>
    <mergeCell ref="K19:R19"/>
    <mergeCell ref="T19:AA19"/>
    <mergeCell ref="AC19:AJ19"/>
    <mergeCell ref="AL19:AS19"/>
    <mergeCell ref="CN17:CU17"/>
    <mergeCell ref="CW17:DD17"/>
    <mergeCell ref="DF17:DM17"/>
    <mergeCell ref="B19:B20"/>
    <mergeCell ref="C19:C20"/>
    <mergeCell ref="D19:E20"/>
    <mergeCell ref="F19:F20"/>
    <mergeCell ref="G19:G20"/>
    <mergeCell ref="T17:AA17"/>
    <mergeCell ref="AC17:AJ17"/>
    <mergeCell ref="AL17:AS17"/>
    <mergeCell ref="AU17:BB17"/>
    <mergeCell ref="BD17:BK17"/>
    <mergeCell ref="BM17:BT17"/>
    <mergeCell ref="CW19:DD19"/>
    <mergeCell ref="DF19:DM19"/>
    <mergeCell ref="BD19:BK19"/>
    <mergeCell ref="BM19:BT19"/>
    <mergeCell ref="BV19:CC19"/>
    <mergeCell ref="CE19:CL19"/>
    <mergeCell ref="CN19:CU19"/>
    <mergeCell ref="CW15:DD15"/>
    <mergeCell ref="DF15:DM15"/>
    <mergeCell ref="B17:B18"/>
    <mergeCell ref="C17:C18"/>
    <mergeCell ref="D17:E18"/>
    <mergeCell ref="F17:F18"/>
    <mergeCell ref="G17:G18"/>
    <mergeCell ref="H17:H18"/>
    <mergeCell ref="I17:I18"/>
    <mergeCell ref="K17:R17"/>
    <mergeCell ref="AU15:BB15"/>
    <mergeCell ref="BD15:BK15"/>
    <mergeCell ref="BM15:BT15"/>
    <mergeCell ref="BV15:CC15"/>
    <mergeCell ref="CE15:CL15"/>
    <mergeCell ref="CN15:CU15"/>
    <mergeCell ref="H15:H16"/>
    <mergeCell ref="I15:I16"/>
    <mergeCell ref="K15:R15"/>
    <mergeCell ref="T15:AA15"/>
    <mergeCell ref="AC15:AJ15"/>
    <mergeCell ref="AL15:AS15"/>
    <mergeCell ref="BV17:CC17"/>
    <mergeCell ref="CE17:CL17"/>
    <mergeCell ref="B15:B16"/>
    <mergeCell ref="C15:C16"/>
    <mergeCell ref="D15:E16"/>
    <mergeCell ref="F15:F16"/>
    <mergeCell ref="G15:G16"/>
    <mergeCell ref="AU11:BC13"/>
    <mergeCell ref="BD11:BL13"/>
    <mergeCell ref="BM11:BU13"/>
    <mergeCell ref="BV11:CD13"/>
    <mergeCell ref="H11:H14"/>
    <mergeCell ref="I11:I14"/>
    <mergeCell ref="K11:S13"/>
    <mergeCell ref="T11:AB13"/>
    <mergeCell ref="AC11:AK13"/>
    <mergeCell ref="AL11:AT13"/>
    <mergeCell ref="B2:DP3"/>
    <mergeCell ref="B4:E4"/>
    <mergeCell ref="G4:K4"/>
    <mergeCell ref="B5:E5"/>
    <mergeCell ref="B6:E6"/>
    <mergeCell ref="B7:E7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CW11:DE13"/>
    <mergeCell ref="DF11:DN13"/>
    <mergeCell ref="DO11:DO14"/>
    <mergeCell ref="DP11:DP14"/>
    <mergeCell ref="J13:J14"/>
    <mergeCell ref="CE11:CM13"/>
    <mergeCell ref="CN11:CV13"/>
  </mergeCells>
  <pageMargins left="0.70866141732283472" right="0.70866141732283472" top="0.74803149606299213" bottom="0.74803149606299213" header="0.31496062992125984" footer="0.31496062992125984"/>
  <pageSetup paperSize="5" scale="10" orientation="landscape" r:id="rId1"/>
  <headerFooter>
    <oddFooter>&amp;R&amp;10F-PEM-07-00 DIF GuadalajaraPág. &amp;P de &amp;N</oddFooter>
  </headerFooter>
  <rowBreaks count="1" manualBreakCount="1">
    <brk id="56" max="119" man="1"/>
  </rowBreaks>
  <colBreaks count="1" manualBreakCount="1">
    <brk id="121" max="37" man="1"/>
  </colBreaks>
  <ignoredErrors>
    <ignoredError sqref="DN16:DO3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P62"/>
  <sheetViews>
    <sheetView topLeftCell="A13" zoomScale="17" zoomScaleNormal="17" zoomScaleSheetLayoutView="18" workbookViewId="0">
      <selection activeCell="DO18" sqref="DO18:DO30"/>
    </sheetView>
  </sheetViews>
  <sheetFormatPr baseColWidth="10" defaultColWidth="10.85546875" defaultRowHeight="15"/>
  <cols>
    <col min="1" max="1" width="6.5703125" style="60" customWidth="1"/>
    <col min="2" max="2" width="101.140625" style="61" customWidth="1"/>
    <col min="3" max="3" width="81.28515625" style="61" customWidth="1"/>
    <col min="4" max="4" width="34.85546875" style="61" customWidth="1"/>
    <col min="5" max="5" width="24.42578125" style="61" customWidth="1"/>
    <col min="6" max="6" width="77.140625" style="61" customWidth="1"/>
    <col min="7" max="7" width="44.85546875" style="61" customWidth="1"/>
    <col min="8" max="8" width="65.42578125" style="61" customWidth="1"/>
    <col min="9" max="9" width="46.140625" style="61" customWidth="1"/>
    <col min="10" max="10" width="67.140625" style="61" customWidth="1"/>
    <col min="11" max="12" width="30.7109375" style="62" hidden="1" customWidth="1"/>
    <col min="13" max="19" width="30.7109375" style="63" hidden="1" customWidth="1"/>
    <col min="20" max="90" width="30.7109375" style="60" hidden="1" customWidth="1"/>
    <col min="91" max="91" width="13.5703125" style="60" hidden="1" customWidth="1"/>
    <col min="92" max="109" width="30.7109375" style="60" hidden="1" customWidth="1"/>
    <col min="110" max="118" width="30.7109375" style="60" customWidth="1"/>
    <col min="119" max="119" width="52.5703125" style="60" customWidth="1"/>
    <col min="120" max="120" width="94" style="60" customWidth="1"/>
    <col min="121" max="127" width="10.85546875" style="60" customWidth="1"/>
    <col min="128" max="16384" width="10.85546875" style="60"/>
  </cols>
  <sheetData>
    <row r="2" spans="2:120">
      <c r="B2" s="408" t="s">
        <v>26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8"/>
      <c r="AK2" s="408"/>
      <c r="AL2" s="408"/>
      <c r="AM2" s="408"/>
      <c r="AN2" s="408"/>
      <c r="AO2" s="408"/>
      <c r="AP2" s="408"/>
      <c r="AQ2" s="408"/>
      <c r="AR2" s="408"/>
      <c r="AS2" s="408"/>
      <c r="AT2" s="408"/>
      <c r="AU2" s="408"/>
      <c r="AV2" s="408"/>
      <c r="AW2" s="408"/>
      <c r="AX2" s="408"/>
      <c r="AY2" s="408"/>
      <c r="AZ2" s="408"/>
      <c r="BA2" s="408"/>
      <c r="BB2" s="408"/>
      <c r="BC2" s="408"/>
      <c r="BD2" s="408"/>
      <c r="BE2" s="408"/>
      <c r="BF2" s="408"/>
      <c r="BG2" s="408"/>
      <c r="BH2" s="408"/>
      <c r="BI2" s="408"/>
      <c r="BJ2" s="408"/>
      <c r="BK2" s="408"/>
      <c r="BL2" s="408"/>
      <c r="BM2" s="408"/>
      <c r="BN2" s="408"/>
      <c r="BO2" s="408"/>
      <c r="BP2" s="408"/>
      <c r="BQ2" s="408"/>
      <c r="BR2" s="408"/>
      <c r="BS2" s="408"/>
      <c r="BT2" s="408"/>
      <c r="BU2" s="408"/>
      <c r="BV2" s="408"/>
      <c r="BW2" s="408"/>
      <c r="BX2" s="408"/>
      <c r="BY2" s="408"/>
      <c r="BZ2" s="408"/>
      <c r="CA2" s="408"/>
      <c r="CB2" s="408"/>
      <c r="CC2" s="408"/>
      <c r="CD2" s="408"/>
      <c r="CE2" s="408"/>
      <c r="CF2" s="408"/>
      <c r="CG2" s="408"/>
      <c r="CH2" s="408"/>
      <c r="CI2" s="408"/>
      <c r="CJ2" s="408"/>
      <c r="CK2" s="408"/>
      <c r="CL2" s="408"/>
      <c r="CM2" s="408"/>
      <c r="CN2" s="408"/>
      <c r="CO2" s="408"/>
      <c r="CP2" s="408"/>
      <c r="CQ2" s="408"/>
      <c r="CR2" s="408"/>
      <c r="CS2" s="408"/>
      <c r="CT2" s="408"/>
      <c r="CU2" s="408"/>
      <c r="CV2" s="408"/>
      <c r="CW2" s="408"/>
      <c r="CX2" s="408"/>
      <c r="CY2" s="408"/>
      <c r="CZ2" s="408"/>
      <c r="DA2" s="408"/>
      <c r="DB2" s="408"/>
      <c r="DC2" s="408"/>
      <c r="DD2" s="408"/>
      <c r="DE2" s="408"/>
      <c r="DF2" s="408"/>
      <c r="DG2" s="408"/>
      <c r="DH2" s="408"/>
      <c r="DI2" s="408"/>
      <c r="DJ2" s="408"/>
      <c r="DK2" s="408"/>
      <c r="DL2" s="408"/>
      <c r="DM2" s="408"/>
      <c r="DN2" s="408"/>
      <c r="DO2" s="408"/>
      <c r="DP2" s="408"/>
    </row>
    <row r="3" spans="2:120" ht="115.5" customHeight="1"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  <c r="AC3" s="408"/>
      <c r="AD3" s="408"/>
      <c r="AE3" s="408"/>
      <c r="AF3" s="408"/>
      <c r="AG3" s="408"/>
      <c r="AH3" s="408"/>
      <c r="AI3" s="408"/>
      <c r="AJ3" s="408"/>
      <c r="AK3" s="408"/>
      <c r="AL3" s="408"/>
      <c r="AM3" s="408"/>
      <c r="AN3" s="408"/>
      <c r="AO3" s="408"/>
      <c r="AP3" s="408"/>
      <c r="AQ3" s="408"/>
      <c r="AR3" s="408"/>
      <c r="AS3" s="408"/>
      <c r="AT3" s="408"/>
      <c r="AU3" s="408"/>
      <c r="AV3" s="408"/>
      <c r="AW3" s="408"/>
      <c r="AX3" s="408"/>
      <c r="AY3" s="408"/>
      <c r="AZ3" s="408"/>
      <c r="BA3" s="408"/>
      <c r="BB3" s="408"/>
      <c r="BC3" s="408"/>
      <c r="BD3" s="408"/>
      <c r="BE3" s="408"/>
      <c r="BF3" s="408"/>
      <c r="BG3" s="408"/>
      <c r="BH3" s="408"/>
      <c r="BI3" s="408"/>
      <c r="BJ3" s="408"/>
      <c r="BK3" s="408"/>
      <c r="BL3" s="408"/>
      <c r="BM3" s="408"/>
      <c r="BN3" s="408"/>
      <c r="BO3" s="408"/>
      <c r="BP3" s="408"/>
      <c r="BQ3" s="408"/>
      <c r="BR3" s="408"/>
      <c r="BS3" s="408"/>
      <c r="BT3" s="408"/>
      <c r="BU3" s="408"/>
      <c r="BV3" s="408"/>
      <c r="BW3" s="408"/>
      <c r="BX3" s="408"/>
      <c r="BY3" s="408"/>
      <c r="BZ3" s="408"/>
      <c r="CA3" s="408"/>
      <c r="CB3" s="408"/>
      <c r="CC3" s="408"/>
      <c r="CD3" s="408"/>
      <c r="CE3" s="408"/>
      <c r="CF3" s="408"/>
      <c r="CG3" s="408"/>
      <c r="CH3" s="408"/>
      <c r="CI3" s="408"/>
      <c r="CJ3" s="408"/>
      <c r="CK3" s="408"/>
      <c r="CL3" s="408"/>
      <c r="CM3" s="408"/>
      <c r="CN3" s="408"/>
      <c r="CO3" s="408"/>
      <c r="CP3" s="408"/>
      <c r="CQ3" s="408"/>
      <c r="CR3" s="408"/>
      <c r="CS3" s="408"/>
      <c r="CT3" s="408"/>
      <c r="CU3" s="408"/>
      <c r="CV3" s="408"/>
      <c r="CW3" s="408"/>
      <c r="CX3" s="408"/>
      <c r="CY3" s="408"/>
      <c r="CZ3" s="408"/>
      <c r="DA3" s="408"/>
      <c r="DB3" s="408"/>
      <c r="DC3" s="408"/>
      <c r="DD3" s="408"/>
      <c r="DE3" s="408"/>
      <c r="DF3" s="408"/>
      <c r="DG3" s="408"/>
      <c r="DH3" s="408"/>
      <c r="DI3" s="408"/>
      <c r="DJ3" s="408"/>
      <c r="DK3" s="408"/>
      <c r="DL3" s="408"/>
      <c r="DM3" s="408"/>
      <c r="DN3" s="408"/>
      <c r="DO3" s="408"/>
      <c r="DP3" s="408"/>
    </row>
    <row r="4" spans="2:120" ht="127.5" customHeight="1">
      <c r="B4" s="409" t="s">
        <v>77</v>
      </c>
      <c r="C4" s="409"/>
      <c r="D4" s="409"/>
      <c r="E4" s="409"/>
      <c r="F4" s="1"/>
    </row>
    <row r="5" spans="2:120" ht="69.95" customHeight="1">
      <c r="B5" s="341" t="s">
        <v>27</v>
      </c>
      <c r="C5" s="341"/>
      <c r="D5" s="341"/>
      <c r="E5" s="341"/>
      <c r="F5" s="2"/>
      <c r="J5" s="64"/>
      <c r="K5" s="65"/>
      <c r="L5" s="65"/>
      <c r="P5" s="66"/>
      <c r="Q5" s="66"/>
      <c r="R5" s="66"/>
      <c r="S5" s="66"/>
      <c r="T5" s="67"/>
      <c r="U5" s="67"/>
    </row>
    <row r="6" spans="2:120" ht="87" customHeight="1">
      <c r="B6" s="409" t="s">
        <v>20</v>
      </c>
      <c r="C6" s="409"/>
      <c r="D6" s="409"/>
      <c r="E6" s="409"/>
      <c r="F6" s="1"/>
      <c r="J6" s="68"/>
      <c r="K6" s="69"/>
      <c r="L6" s="69"/>
      <c r="P6" s="66"/>
      <c r="Q6" s="66"/>
      <c r="R6" s="66"/>
      <c r="S6" s="66"/>
      <c r="T6" s="70"/>
      <c r="U6" s="70"/>
    </row>
    <row r="7" spans="2:120" ht="77.25" customHeight="1">
      <c r="B7" s="410" t="s">
        <v>28</v>
      </c>
      <c r="C7" s="410"/>
      <c r="D7" s="410"/>
      <c r="E7" s="410"/>
      <c r="F7" s="2"/>
      <c r="P7" s="66"/>
      <c r="Q7" s="66"/>
      <c r="R7" s="66"/>
      <c r="S7" s="66"/>
      <c r="T7" s="67"/>
      <c r="U7" s="67"/>
    </row>
    <row r="8" spans="2:120" ht="77.45" customHeight="1">
      <c r="B8" s="409" t="s">
        <v>29</v>
      </c>
      <c r="C8" s="409"/>
      <c r="D8" s="409"/>
      <c r="E8" s="409"/>
      <c r="F8" s="1"/>
      <c r="P8" s="66"/>
      <c r="Q8" s="66"/>
      <c r="R8" s="66"/>
      <c r="S8" s="66"/>
      <c r="T8" s="67"/>
      <c r="U8" s="67"/>
    </row>
    <row r="9" spans="2:120" ht="103.5" customHeight="1">
      <c r="B9" s="410" t="s">
        <v>30</v>
      </c>
      <c r="C9" s="410"/>
      <c r="D9" s="410"/>
      <c r="E9" s="410"/>
      <c r="F9" s="2"/>
      <c r="K9" s="411" t="s">
        <v>31</v>
      </c>
      <c r="L9" s="411"/>
      <c r="M9" s="411"/>
      <c r="N9" s="411"/>
      <c r="O9" s="411"/>
      <c r="P9" s="411"/>
      <c r="Q9" s="411"/>
      <c r="R9" s="411"/>
      <c r="S9" s="411"/>
      <c r="T9" s="411"/>
      <c r="U9" s="411"/>
      <c r="V9" s="411"/>
      <c r="W9" s="411"/>
      <c r="X9" s="411"/>
      <c r="Y9" s="411"/>
      <c r="Z9" s="411"/>
      <c r="AA9" s="411"/>
      <c r="AB9" s="411"/>
      <c r="AC9" s="411"/>
      <c r="AD9" s="411"/>
      <c r="AE9" s="411"/>
      <c r="AF9" s="411"/>
      <c r="AG9" s="411"/>
      <c r="AH9" s="411"/>
      <c r="AI9" s="411"/>
      <c r="AJ9" s="411"/>
      <c r="AK9" s="411"/>
      <c r="AL9" s="411"/>
      <c r="AM9" s="411"/>
      <c r="AN9" s="411"/>
      <c r="AO9" s="411"/>
      <c r="AP9" s="411"/>
      <c r="AQ9" s="411"/>
      <c r="AR9" s="411"/>
      <c r="AS9" s="411"/>
      <c r="AT9" s="411"/>
      <c r="AU9" s="411"/>
      <c r="AV9" s="411"/>
      <c r="AW9" s="411"/>
      <c r="AX9" s="411"/>
      <c r="AY9" s="411"/>
      <c r="AZ9" s="411"/>
      <c r="BA9" s="411"/>
      <c r="BB9" s="411"/>
      <c r="BC9" s="411"/>
      <c r="BD9" s="411"/>
      <c r="BE9" s="411"/>
      <c r="BF9" s="411"/>
      <c r="BG9" s="411"/>
      <c r="BH9" s="411"/>
      <c r="BI9" s="411"/>
      <c r="BJ9" s="411"/>
      <c r="BK9" s="411"/>
      <c r="BL9" s="411"/>
      <c r="BM9" s="411"/>
      <c r="BN9" s="411"/>
      <c r="BO9" s="411"/>
      <c r="BP9" s="411"/>
      <c r="BQ9" s="411"/>
      <c r="BR9" s="411"/>
      <c r="BS9" s="411"/>
      <c r="BT9" s="411"/>
      <c r="BU9" s="411"/>
      <c r="BV9" s="411"/>
      <c r="BW9" s="411"/>
      <c r="BX9" s="411"/>
      <c r="BY9" s="411"/>
      <c r="BZ9" s="411"/>
      <c r="CA9" s="411"/>
      <c r="CB9" s="411"/>
      <c r="CC9" s="411"/>
      <c r="CD9" s="411"/>
      <c r="CE9" s="411"/>
      <c r="CF9" s="411"/>
      <c r="CG9" s="411"/>
      <c r="CH9" s="411"/>
      <c r="CI9" s="411"/>
      <c r="CJ9" s="411"/>
      <c r="CK9" s="411"/>
      <c r="CL9" s="411"/>
      <c r="CM9" s="411"/>
      <c r="CN9" s="411"/>
      <c r="CO9" s="411"/>
      <c r="CP9" s="411"/>
      <c r="CQ9" s="411"/>
      <c r="CR9" s="411"/>
      <c r="CS9" s="411"/>
      <c r="CT9" s="411"/>
      <c r="CU9" s="411"/>
      <c r="CV9" s="411"/>
      <c r="CW9" s="411"/>
      <c r="CX9" s="411"/>
      <c r="CY9" s="411"/>
      <c r="CZ9" s="411"/>
      <c r="DA9" s="411"/>
      <c r="DB9" s="411"/>
      <c r="DC9" s="411"/>
      <c r="DD9" s="411"/>
      <c r="DE9" s="411"/>
      <c r="DF9" s="411"/>
      <c r="DG9" s="411"/>
      <c r="DH9" s="411"/>
      <c r="DI9" s="411"/>
      <c r="DJ9" s="411"/>
      <c r="DK9" s="411"/>
      <c r="DL9" s="411"/>
      <c r="DM9" s="411"/>
      <c r="DN9" s="411"/>
      <c r="DO9" s="411"/>
      <c r="DP9" s="411"/>
    </row>
    <row r="10" spans="2:120" ht="90" customHeight="1">
      <c r="B10" s="413" t="s">
        <v>32</v>
      </c>
      <c r="C10" s="413" t="s">
        <v>33</v>
      </c>
      <c r="D10" s="413" t="s">
        <v>34</v>
      </c>
      <c r="E10" s="413"/>
      <c r="F10" s="415" t="s">
        <v>35</v>
      </c>
      <c r="G10" s="415" t="s">
        <v>36</v>
      </c>
      <c r="H10" s="417" t="s">
        <v>37</v>
      </c>
      <c r="I10" s="417"/>
      <c r="J10" s="418" t="s">
        <v>38</v>
      </c>
      <c r="K10" s="412"/>
      <c r="L10" s="412"/>
      <c r="M10" s="412"/>
      <c r="N10" s="412"/>
      <c r="O10" s="412"/>
      <c r="P10" s="412"/>
      <c r="Q10" s="412"/>
      <c r="R10" s="412"/>
      <c r="S10" s="412"/>
      <c r="T10" s="412"/>
      <c r="U10" s="412"/>
      <c r="V10" s="412"/>
      <c r="W10" s="412"/>
      <c r="X10" s="412"/>
      <c r="Y10" s="412"/>
      <c r="Z10" s="412"/>
      <c r="AA10" s="412"/>
      <c r="AB10" s="412"/>
      <c r="AC10" s="412"/>
      <c r="AD10" s="412"/>
      <c r="AE10" s="412"/>
      <c r="AF10" s="412"/>
      <c r="AG10" s="412"/>
      <c r="AH10" s="412"/>
      <c r="AI10" s="412"/>
      <c r="AJ10" s="412"/>
      <c r="AK10" s="412"/>
      <c r="AL10" s="412"/>
      <c r="AM10" s="412"/>
      <c r="AN10" s="412"/>
      <c r="AO10" s="412"/>
      <c r="AP10" s="412"/>
      <c r="AQ10" s="412"/>
      <c r="AR10" s="412"/>
      <c r="AS10" s="412"/>
      <c r="AT10" s="412"/>
      <c r="AU10" s="412"/>
      <c r="AV10" s="412"/>
      <c r="AW10" s="412"/>
      <c r="AX10" s="412"/>
      <c r="AY10" s="412"/>
      <c r="AZ10" s="412"/>
      <c r="BA10" s="412"/>
      <c r="BB10" s="412"/>
      <c r="BC10" s="412"/>
      <c r="BD10" s="412"/>
      <c r="BE10" s="412"/>
      <c r="BF10" s="412"/>
      <c r="BG10" s="412"/>
      <c r="BH10" s="412"/>
      <c r="BI10" s="412"/>
      <c r="BJ10" s="412"/>
      <c r="BK10" s="412"/>
      <c r="BL10" s="412"/>
      <c r="BM10" s="412"/>
      <c r="BN10" s="412"/>
      <c r="BO10" s="412"/>
      <c r="BP10" s="412"/>
      <c r="BQ10" s="412"/>
      <c r="BR10" s="412"/>
      <c r="BS10" s="412"/>
      <c r="BT10" s="412"/>
      <c r="BU10" s="412"/>
      <c r="BV10" s="412"/>
      <c r="BW10" s="412"/>
      <c r="BX10" s="412"/>
      <c r="BY10" s="412"/>
      <c r="BZ10" s="412"/>
      <c r="CA10" s="412"/>
      <c r="CB10" s="412"/>
      <c r="CC10" s="412"/>
      <c r="CD10" s="412"/>
      <c r="CE10" s="412"/>
      <c r="CF10" s="412"/>
      <c r="CG10" s="412"/>
      <c r="CH10" s="412"/>
      <c r="CI10" s="412"/>
      <c r="CJ10" s="412"/>
      <c r="CK10" s="412"/>
      <c r="CL10" s="412"/>
      <c r="CM10" s="412"/>
      <c r="CN10" s="412"/>
      <c r="CO10" s="412"/>
      <c r="CP10" s="412"/>
      <c r="CQ10" s="412"/>
      <c r="CR10" s="412"/>
      <c r="CS10" s="412"/>
      <c r="CT10" s="412"/>
      <c r="CU10" s="412"/>
      <c r="CV10" s="412"/>
      <c r="CW10" s="412"/>
      <c r="CX10" s="412"/>
      <c r="CY10" s="412"/>
      <c r="CZ10" s="412"/>
      <c r="DA10" s="412"/>
      <c r="DB10" s="412"/>
      <c r="DC10" s="412"/>
      <c r="DD10" s="412"/>
      <c r="DE10" s="412"/>
      <c r="DF10" s="412"/>
      <c r="DG10" s="412"/>
      <c r="DH10" s="412"/>
      <c r="DI10" s="412"/>
      <c r="DJ10" s="412"/>
      <c r="DK10" s="412"/>
      <c r="DL10" s="412"/>
      <c r="DM10" s="412"/>
      <c r="DN10" s="412"/>
      <c r="DO10" s="412"/>
      <c r="DP10" s="412"/>
    </row>
    <row r="11" spans="2:120" ht="24.95" customHeight="1">
      <c r="B11" s="413"/>
      <c r="C11" s="413"/>
      <c r="D11" s="413"/>
      <c r="E11" s="413"/>
      <c r="F11" s="415"/>
      <c r="G11" s="415"/>
      <c r="H11" s="415" t="s">
        <v>39</v>
      </c>
      <c r="I11" s="415" t="s">
        <v>40</v>
      </c>
      <c r="J11" s="418"/>
      <c r="K11" s="419" t="s">
        <v>41</v>
      </c>
      <c r="L11" s="420"/>
      <c r="M11" s="420"/>
      <c r="N11" s="420"/>
      <c r="O11" s="420"/>
      <c r="P11" s="420"/>
      <c r="Q11" s="420"/>
      <c r="R11" s="420"/>
      <c r="S11" s="421"/>
      <c r="T11" s="419" t="s">
        <v>42</v>
      </c>
      <c r="U11" s="420"/>
      <c r="V11" s="420"/>
      <c r="W11" s="420"/>
      <c r="X11" s="420"/>
      <c r="Y11" s="420"/>
      <c r="Z11" s="420"/>
      <c r="AA11" s="420"/>
      <c r="AB11" s="421"/>
      <c r="AC11" s="419" t="s">
        <v>43</v>
      </c>
      <c r="AD11" s="420"/>
      <c r="AE11" s="420"/>
      <c r="AF11" s="420"/>
      <c r="AG11" s="420"/>
      <c r="AH11" s="420"/>
      <c r="AI11" s="420"/>
      <c r="AJ11" s="420"/>
      <c r="AK11" s="421"/>
      <c r="AL11" s="419" t="s">
        <v>44</v>
      </c>
      <c r="AM11" s="420"/>
      <c r="AN11" s="420"/>
      <c r="AO11" s="420"/>
      <c r="AP11" s="420"/>
      <c r="AQ11" s="420"/>
      <c r="AR11" s="420"/>
      <c r="AS11" s="420"/>
      <c r="AT11" s="421"/>
      <c r="AU11" s="419" t="s">
        <v>45</v>
      </c>
      <c r="AV11" s="420"/>
      <c r="AW11" s="420"/>
      <c r="AX11" s="420"/>
      <c r="AY11" s="420"/>
      <c r="AZ11" s="420"/>
      <c r="BA11" s="420"/>
      <c r="BB11" s="420"/>
      <c r="BC11" s="421"/>
      <c r="BD11" s="419" t="s">
        <v>46</v>
      </c>
      <c r="BE11" s="420"/>
      <c r="BF11" s="420"/>
      <c r="BG11" s="420"/>
      <c r="BH11" s="420"/>
      <c r="BI11" s="420"/>
      <c r="BJ11" s="420"/>
      <c r="BK11" s="420"/>
      <c r="BL11" s="421"/>
      <c r="BM11" s="419" t="s">
        <v>47</v>
      </c>
      <c r="BN11" s="420"/>
      <c r="BO11" s="420"/>
      <c r="BP11" s="420"/>
      <c r="BQ11" s="420"/>
      <c r="BR11" s="420"/>
      <c r="BS11" s="420"/>
      <c r="BT11" s="420"/>
      <c r="BU11" s="421"/>
      <c r="BV11" s="419" t="s">
        <v>48</v>
      </c>
      <c r="BW11" s="420"/>
      <c r="BX11" s="420"/>
      <c r="BY11" s="420"/>
      <c r="BZ11" s="420"/>
      <c r="CA11" s="420"/>
      <c r="CB11" s="420"/>
      <c r="CC11" s="420"/>
      <c r="CD11" s="421"/>
      <c r="CE11" s="419" t="s">
        <v>49</v>
      </c>
      <c r="CF11" s="420"/>
      <c r="CG11" s="420"/>
      <c r="CH11" s="420"/>
      <c r="CI11" s="420"/>
      <c r="CJ11" s="420"/>
      <c r="CK11" s="420"/>
      <c r="CL11" s="420"/>
      <c r="CM11" s="421"/>
      <c r="CN11" s="419" t="s">
        <v>50</v>
      </c>
      <c r="CO11" s="420"/>
      <c r="CP11" s="420"/>
      <c r="CQ11" s="420"/>
      <c r="CR11" s="420"/>
      <c r="CS11" s="420"/>
      <c r="CT11" s="420"/>
      <c r="CU11" s="420"/>
      <c r="CV11" s="421"/>
      <c r="CW11" s="419" t="s">
        <v>51</v>
      </c>
      <c r="CX11" s="420"/>
      <c r="CY11" s="420"/>
      <c r="CZ11" s="420"/>
      <c r="DA11" s="420"/>
      <c r="DB11" s="420"/>
      <c r="DC11" s="420"/>
      <c r="DD11" s="420"/>
      <c r="DE11" s="421"/>
      <c r="DF11" s="419" t="s">
        <v>52</v>
      </c>
      <c r="DG11" s="420"/>
      <c r="DH11" s="420"/>
      <c r="DI11" s="420"/>
      <c r="DJ11" s="420"/>
      <c r="DK11" s="420"/>
      <c r="DL11" s="420"/>
      <c r="DM11" s="420"/>
      <c r="DN11" s="421"/>
      <c r="DO11" s="428" t="s">
        <v>53</v>
      </c>
      <c r="DP11" s="431" t="s">
        <v>54</v>
      </c>
    </row>
    <row r="12" spans="2:120" ht="48" customHeight="1">
      <c r="B12" s="413"/>
      <c r="C12" s="413"/>
      <c r="D12" s="413"/>
      <c r="E12" s="413"/>
      <c r="F12" s="415"/>
      <c r="G12" s="415"/>
      <c r="H12" s="415"/>
      <c r="I12" s="415"/>
      <c r="J12" s="418"/>
      <c r="K12" s="422"/>
      <c r="L12" s="423"/>
      <c r="M12" s="423"/>
      <c r="N12" s="423"/>
      <c r="O12" s="423"/>
      <c r="P12" s="423"/>
      <c r="Q12" s="423"/>
      <c r="R12" s="423"/>
      <c r="S12" s="424"/>
      <c r="T12" s="422"/>
      <c r="U12" s="423"/>
      <c r="V12" s="423"/>
      <c r="W12" s="423"/>
      <c r="X12" s="423"/>
      <c r="Y12" s="423"/>
      <c r="Z12" s="423"/>
      <c r="AA12" s="423"/>
      <c r="AB12" s="424"/>
      <c r="AC12" s="422"/>
      <c r="AD12" s="423"/>
      <c r="AE12" s="423"/>
      <c r="AF12" s="423"/>
      <c r="AG12" s="423"/>
      <c r="AH12" s="423"/>
      <c r="AI12" s="423"/>
      <c r="AJ12" s="423"/>
      <c r="AK12" s="424"/>
      <c r="AL12" s="422"/>
      <c r="AM12" s="423"/>
      <c r="AN12" s="423"/>
      <c r="AO12" s="423"/>
      <c r="AP12" s="423"/>
      <c r="AQ12" s="423"/>
      <c r="AR12" s="423"/>
      <c r="AS12" s="423"/>
      <c r="AT12" s="424"/>
      <c r="AU12" s="422"/>
      <c r="AV12" s="423"/>
      <c r="AW12" s="423"/>
      <c r="AX12" s="423"/>
      <c r="AY12" s="423"/>
      <c r="AZ12" s="423"/>
      <c r="BA12" s="423"/>
      <c r="BB12" s="423"/>
      <c r="BC12" s="424"/>
      <c r="BD12" s="422"/>
      <c r="BE12" s="423"/>
      <c r="BF12" s="423"/>
      <c r="BG12" s="423"/>
      <c r="BH12" s="423"/>
      <c r="BI12" s="423"/>
      <c r="BJ12" s="423"/>
      <c r="BK12" s="423"/>
      <c r="BL12" s="424"/>
      <c r="BM12" s="422"/>
      <c r="BN12" s="423"/>
      <c r="BO12" s="423"/>
      <c r="BP12" s="423"/>
      <c r="BQ12" s="423"/>
      <c r="BR12" s="423"/>
      <c r="BS12" s="423"/>
      <c r="BT12" s="423"/>
      <c r="BU12" s="424"/>
      <c r="BV12" s="422"/>
      <c r="BW12" s="423"/>
      <c r="BX12" s="423"/>
      <c r="BY12" s="423"/>
      <c r="BZ12" s="423"/>
      <c r="CA12" s="423"/>
      <c r="CB12" s="423"/>
      <c r="CC12" s="423"/>
      <c r="CD12" s="424"/>
      <c r="CE12" s="422"/>
      <c r="CF12" s="423"/>
      <c r="CG12" s="423"/>
      <c r="CH12" s="423"/>
      <c r="CI12" s="423"/>
      <c r="CJ12" s="423"/>
      <c r="CK12" s="423"/>
      <c r="CL12" s="423"/>
      <c r="CM12" s="424"/>
      <c r="CN12" s="422"/>
      <c r="CO12" s="423"/>
      <c r="CP12" s="423"/>
      <c r="CQ12" s="423"/>
      <c r="CR12" s="423"/>
      <c r="CS12" s="423"/>
      <c r="CT12" s="423"/>
      <c r="CU12" s="423"/>
      <c r="CV12" s="424"/>
      <c r="CW12" s="422"/>
      <c r="CX12" s="423"/>
      <c r="CY12" s="423"/>
      <c r="CZ12" s="423"/>
      <c r="DA12" s="423"/>
      <c r="DB12" s="423"/>
      <c r="DC12" s="423"/>
      <c r="DD12" s="423"/>
      <c r="DE12" s="424"/>
      <c r="DF12" s="422"/>
      <c r="DG12" s="423"/>
      <c r="DH12" s="423"/>
      <c r="DI12" s="423"/>
      <c r="DJ12" s="423"/>
      <c r="DK12" s="423"/>
      <c r="DL12" s="423"/>
      <c r="DM12" s="423"/>
      <c r="DN12" s="424"/>
      <c r="DO12" s="429"/>
      <c r="DP12" s="432"/>
    </row>
    <row r="13" spans="2:120" ht="78" customHeight="1">
      <c r="B13" s="413"/>
      <c r="C13" s="413"/>
      <c r="D13" s="413"/>
      <c r="E13" s="413"/>
      <c r="F13" s="415"/>
      <c r="G13" s="415"/>
      <c r="H13" s="415"/>
      <c r="I13" s="415"/>
      <c r="J13" s="434" t="s">
        <v>55</v>
      </c>
      <c r="K13" s="425"/>
      <c r="L13" s="426"/>
      <c r="M13" s="426"/>
      <c r="N13" s="426"/>
      <c r="O13" s="426"/>
      <c r="P13" s="426"/>
      <c r="Q13" s="426"/>
      <c r="R13" s="426"/>
      <c r="S13" s="427"/>
      <c r="T13" s="425"/>
      <c r="U13" s="426"/>
      <c r="V13" s="426"/>
      <c r="W13" s="426"/>
      <c r="X13" s="426"/>
      <c r="Y13" s="426"/>
      <c r="Z13" s="426"/>
      <c r="AA13" s="426"/>
      <c r="AB13" s="427"/>
      <c r="AC13" s="425"/>
      <c r="AD13" s="426"/>
      <c r="AE13" s="426"/>
      <c r="AF13" s="426"/>
      <c r="AG13" s="426"/>
      <c r="AH13" s="426"/>
      <c r="AI13" s="426"/>
      <c r="AJ13" s="426"/>
      <c r="AK13" s="427"/>
      <c r="AL13" s="425"/>
      <c r="AM13" s="426"/>
      <c r="AN13" s="426"/>
      <c r="AO13" s="426"/>
      <c r="AP13" s="426"/>
      <c r="AQ13" s="426"/>
      <c r="AR13" s="426"/>
      <c r="AS13" s="426"/>
      <c r="AT13" s="427"/>
      <c r="AU13" s="425"/>
      <c r="AV13" s="426"/>
      <c r="AW13" s="426"/>
      <c r="AX13" s="426"/>
      <c r="AY13" s="426"/>
      <c r="AZ13" s="426"/>
      <c r="BA13" s="426"/>
      <c r="BB13" s="426"/>
      <c r="BC13" s="427"/>
      <c r="BD13" s="425"/>
      <c r="BE13" s="426"/>
      <c r="BF13" s="426"/>
      <c r="BG13" s="426"/>
      <c r="BH13" s="426"/>
      <c r="BI13" s="426"/>
      <c r="BJ13" s="426"/>
      <c r="BK13" s="426"/>
      <c r="BL13" s="427"/>
      <c r="BM13" s="425"/>
      <c r="BN13" s="426"/>
      <c r="BO13" s="426"/>
      <c r="BP13" s="426"/>
      <c r="BQ13" s="426"/>
      <c r="BR13" s="426"/>
      <c r="BS13" s="426"/>
      <c r="BT13" s="426"/>
      <c r="BU13" s="427"/>
      <c r="BV13" s="425"/>
      <c r="BW13" s="426"/>
      <c r="BX13" s="426"/>
      <c r="BY13" s="426"/>
      <c r="BZ13" s="426"/>
      <c r="CA13" s="426"/>
      <c r="CB13" s="426"/>
      <c r="CC13" s="426"/>
      <c r="CD13" s="427"/>
      <c r="CE13" s="425"/>
      <c r="CF13" s="426"/>
      <c r="CG13" s="426"/>
      <c r="CH13" s="426"/>
      <c r="CI13" s="426"/>
      <c r="CJ13" s="426"/>
      <c r="CK13" s="426"/>
      <c r="CL13" s="426"/>
      <c r="CM13" s="427"/>
      <c r="CN13" s="425"/>
      <c r="CO13" s="426"/>
      <c r="CP13" s="426"/>
      <c r="CQ13" s="426"/>
      <c r="CR13" s="426"/>
      <c r="CS13" s="426"/>
      <c r="CT13" s="426"/>
      <c r="CU13" s="426"/>
      <c r="CV13" s="427"/>
      <c r="CW13" s="425"/>
      <c r="CX13" s="426"/>
      <c r="CY13" s="426"/>
      <c r="CZ13" s="426"/>
      <c r="DA13" s="426"/>
      <c r="DB13" s="426"/>
      <c r="DC13" s="426"/>
      <c r="DD13" s="426"/>
      <c r="DE13" s="427"/>
      <c r="DF13" s="425"/>
      <c r="DG13" s="426"/>
      <c r="DH13" s="426"/>
      <c r="DI13" s="426"/>
      <c r="DJ13" s="426"/>
      <c r="DK13" s="426"/>
      <c r="DL13" s="426"/>
      <c r="DM13" s="426"/>
      <c r="DN13" s="427"/>
      <c r="DO13" s="429"/>
      <c r="DP13" s="432"/>
    </row>
    <row r="14" spans="2:120" ht="77.25" customHeight="1">
      <c r="B14" s="414"/>
      <c r="C14" s="414"/>
      <c r="D14" s="414"/>
      <c r="E14" s="414"/>
      <c r="F14" s="416"/>
      <c r="G14" s="416"/>
      <c r="H14" s="416"/>
      <c r="I14" s="416"/>
      <c r="J14" s="434"/>
      <c r="K14" s="71" t="s">
        <v>56</v>
      </c>
      <c r="L14" s="71" t="s">
        <v>57</v>
      </c>
      <c r="M14" s="71" t="s">
        <v>58</v>
      </c>
      <c r="N14" s="71" t="s">
        <v>59</v>
      </c>
      <c r="O14" s="71" t="s">
        <v>60</v>
      </c>
      <c r="P14" s="71" t="s">
        <v>61</v>
      </c>
      <c r="Q14" s="71" t="s">
        <v>62</v>
      </c>
      <c r="R14" s="71" t="s">
        <v>63</v>
      </c>
      <c r="S14" s="71" t="s">
        <v>64</v>
      </c>
      <c r="T14" s="71" t="s">
        <v>56</v>
      </c>
      <c r="U14" s="71" t="s">
        <v>57</v>
      </c>
      <c r="V14" s="71" t="s">
        <v>58</v>
      </c>
      <c r="W14" s="71" t="s">
        <v>59</v>
      </c>
      <c r="X14" s="71" t="s">
        <v>60</v>
      </c>
      <c r="Y14" s="71" t="s">
        <v>61</v>
      </c>
      <c r="Z14" s="71" t="s">
        <v>62</v>
      </c>
      <c r="AA14" s="71" t="s">
        <v>63</v>
      </c>
      <c r="AB14" s="71" t="s">
        <v>64</v>
      </c>
      <c r="AC14" s="71" t="s">
        <v>56</v>
      </c>
      <c r="AD14" s="71" t="s">
        <v>57</v>
      </c>
      <c r="AE14" s="71" t="s">
        <v>58</v>
      </c>
      <c r="AF14" s="71" t="s">
        <v>59</v>
      </c>
      <c r="AG14" s="71" t="s">
        <v>60</v>
      </c>
      <c r="AH14" s="71" t="s">
        <v>61</v>
      </c>
      <c r="AI14" s="71" t="s">
        <v>62</v>
      </c>
      <c r="AJ14" s="71" t="s">
        <v>63</v>
      </c>
      <c r="AK14" s="71" t="s">
        <v>64</v>
      </c>
      <c r="AL14" s="71" t="s">
        <v>56</v>
      </c>
      <c r="AM14" s="71" t="s">
        <v>57</v>
      </c>
      <c r="AN14" s="71" t="s">
        <v>58</v>
      </c>
      <c r="AO14" s="71" t="s">
        <v>59</v>
      </c>
      <c r="AP14" s="71" t="s">
        <v>60</v>
      </c>
      <c r="AQ14" s="71" t="s">
        <v>61</v>
      </c>
      <c r="AR14" s="71" t="s">
        <v>62</v>
      </c>
      <c r="AS14" s="71" t="s">
        <v>63</v>
      </c>
      <c r="AT14" s="71" t="s">
        <v>64</v>
      </c>
      <c r="AU14" s="71" t="s">
        <v>56</v>
      </c>
      <c r="AV14" s="71" t="s">
        <v>57</v>
      </c>
      <c r="AW14" s="71" t="s">
        <v>58</v>
      </c>
      <c r="AX14" s="71" t="s">
        <v>59</v>
      </c>
      <c r="AY14" s="71" t="s">
        <v>60</v>
      </c>
      <c r="AZ14" s="71" t="s">
        <v>61</v>
      </c>
      <c r="BA14" s="71" t="s">
        <v>62</v>
      </c>
      <c r="BB14" s="71" t="s">
        <v>63</v>
      </c>
      <c r="BC14" s="71" t="s">
        <v>64</v>
      </c>
      <c r="BD14" s="71" t="s">
        <v>56</v>
      </c>
      <c r="BE14" s="71" t="s">
        <v>57</v>
      </c>
      <c r="BF14" s="71" t="s">
        <v>58</v>
      </c>
      <c r="BG14" s="71" t="s">
        <v>59</v>
      </c>
      <c r="BH14" s="71" t="s">
        <v>60</v>
      </c>
      <c r="BI14" s="71" t="s">
        <v>61</v>
      </c>
      <c r="BJ14" s="71" t="s">
        <v>62</v>
      </c>
      <c r="BK14" s="71" t="s">
        <v>63</v>
      </c>
      <c r="BL14" s="71" t="s">
        <v>64</v>
      </c>
      <c r="BM14" s="71" t="s">
        <v>56</v>
      </c>
      <c r="BN14" s="71" t="s">
        <v>57</v>
      </c>
      <c r="BO14" s="71" t="s">
        <v>58</v>
      </c>
      <c r="BP14" s="71" t="s">
        <v>59</v>
      </c>
      <c r="BQ14" s="71" t="s">
        <v>60</v>
      </c>
      <c r="BR14" s="71" t="s">
        <v>61</v>
      </c>
      <c r="BS14" s="71" t="s">
        <v>62</v>
      </c>
      <c r="BT14" s="71" t="s">
        <v>63</v>
      </c>
      <c r="BU14" s="71" t="s">
        <v>64</v>
      </c>
      <c r="BV14" s="71" t="s">
        <v>56</v>
      </c>
      <c r="BW14" s="71" t="s">
        <v>57</v>
      </c>
      <c r="BX14" s="71" t="s">
        <v>58</v>
      </c>
      <c r="BY14" s="71" t="s">
        <v>59</v>
      </c>
      <c r="BZ14" s="71" t="s">
        <v>60</v>
      </c>
      <c r="CA14" s="71" t="s">
        <v>61</v>
      </c>
      <c r="CB14" s="71" t="s">
        <v>62</v>
      </c>
      <c r="CC14" s="71" t="s">
        <v>63</v>
      </c>
      <c r="CD14" s="71" t="s">
        <v>64</v>
      </c>
      <c r="CE14" s="71" t="s">
        <v>56</v>
      </c>
      <c r="CF14" s="71" t="s">
        <v>57</v>
      </c>
      <c r="CG14" s="71" t="s">
        <v>58</v>
      </c>
      <c r="CH14" s="71" t="s">
        <v>59</v>
      </c>
      <c r="CI14" s="71" t="s">
        <v>60</v>
      </c>
      <c r="CJ14" s="71" t="s">
        <v>61</v>
      </c>
      <c r="CK14" s="71" t="s">
        <v>62</v>
      </c>
      <c r="CL14" s="71" t="s">
        <v>63</v>
      </c>
      <c r="CM14" s="71" t="s">
        <v>64</v>
      </c>
      <c r="CN14" s="71" t="s">
        <v>56</v>
      </c>
      <c r="CO14" s="71" t="s">
        <v>57</v>
      </c>
      <c r="CP14" s="71" t="s">
        <v>58</v>
      </c>
      <c r="CQ14" s="71" t="s">
        <v>59</v>
      </c>
      <c r="CR14" s="71" t="s">
        <v>60</v>
      </c>
      <c r="CS14" s="71" t="s">
        <v>61</v>
      </c>
      <c r="CT14" s="71" t="s">
        <v>62</v>
      </c>
      <c r="CU14" s="71" t="s">
        <v>63</v>
      </c>
      <c r="CV14" s="71" t="s">
        <v>64</v>
      </c>
      <c r="CW14" s="71" t="s">
        <v>56</v>
      </c>
      <c r="CX14" s="71" t="s">
        <v>57</v>
      </c>
      <c r="CY14" s="71" t="s">
        <v>58</v>
      </c>
      <c r="CZ14" s="71" t="s">
        <v>59</v>
      </c>
      <c r="DA14" s="71" t="s">
        <v>60</v>
      </c>
      <c r="DB14" s="71" t="s">
        <v>61</v>
      </c>
      <c r="DC14" s="71" t="s">
        <v>62</v>
      </c>
      <c r="DD14" s="71" t="s">
        <v>63</v>
      </c>
      <c r="DE14" s="71" t="s">
        <v>64</v>
      </c>
      <c r="DF14" s="71" t="s">
        <v>56</v>
      </c>
      <c r="DG14" s="71" t="s">
        <v>57</v>
      </c>
      <c r="DH14" s="71" t="s">
        <v>58</v>
      </c>
      <c r="DI14" s="71" t="s">
        <v>59</v>
      </c>
      <c r="DJ14" s="71" t="s">
        <v>60</v>
      </c>
      <c r="DK14" s="71" t="s">
        <v>61</v>
      </c>
      <c r="DL14" s="72" t="s">
        <v>62</v>
      </c>
      <c r="DM14" s="72" t="s">
        <v>63</v>
      </c>
      <c r="DN14" s="72" t="s">
        <v>64</v>
      </c>
      <c r="DO14" s="430"/>
      <c r="DP14" s="433"/>
    </row>
    <row r="15" spans="2:120" ht="287.25" hidden="1" customHeight="1">
      <c r="B15" s="435" t="s">
        <v>78</v>
      </c>
      <c r="C15" s="435" t="s">
        <v>79</v>
      </c>
      <c r="D15" s="435" t="s">
        <v>73</v>
      </c>
      <c r="E15" s="435"/>
      <c r="F15" s="436" t="s">
        <v>80</v>
      </c>
      <c r="G15" s="437">
        <v>1657</v>
      </c>
      <c r="H15" s="435" t="s">
        <v>81</v>
      </c>
      <c r="I15" s="447">
        <v>1657</v>
      </c>
      <c r="J15" s="73" t="s">
        <v>65</v>
      </c>
      <c r="K15" s="449">
        <v>170</v>
      </c>
      <c r="L15" s="450"/>
      <c r="M15" s="450"/>
      <c r="N15" s="450"/>
      <c r="O15" s="450"/>
      <c r="P15" s="450"/>
      <c r="Q15" s="450"/>
      <c r="R15" s="451"/>
      <c r="S15" s="74">
        <f>SUM(K15:R15)</f>
        <v>170</v>
      </c>
      <c r="T15" s="449">
        <v>157</v>
      </c>
      <c r="U15" s="450"/>
      <c r="V15" s="450"/>
      <c r="W15" s="450"/>
      <c r="X15" s="450"/>
      <c r="Y15" s="450"/>
      <c r="Z15" s="450"/>
      <c r="AA15" s="451"/>
      <c r="AB15" s="74">
        <f>SUM(T15:AA15)</f>
        <v>157</v>
      </c>
      <c r="AC15" s="449">
        <v>150</v>
      </c>
      <c r="AD15" s="450"/>
      <c r="AE15" s="450"/>
      <c r="AF15" s="450"/>
      <c r="AG15" s="450"/>
      <c r="AH15" s="450"/>
      <c r="AI15" s="450"/>
      <c r="AJ15" s="451"/>
      <c r="AK15" s="74">
        <f>SUM(AC15:AJ15)</f>
        <v>150</v>
      </c>
      <c r="AL15" s="449">
        <v>80</v>
      </c>
      <c r="AM15" s="450"/>
      <c r="AN15" s="450"/>
      <c r="AO15" s="450"/>
      <c r="AP15" s="450"/>
      <c r="AQ15" s="450"/>
      <c r="AR15" s="450"/>
      <c r="AS15" s="451"/>
      <c r="AT15" s="74">
        <f>SUM(AL15:AS15)</f>
        <v>80</v>
      </c>
      <c r="AU15" s="449">
        <v>120</v>
      </c>
      <c r="AV15" s="450"/>
      <c r="AW15" s="450"/>
      <c r="AX15" s="450"/>
      <c r="AY15" s="450"/>
      <c r="AZ15" s="450"/>
      <c r="BA15" s="450"/>
      <c r="BB15" s="451"/>
      <c r="BC15" s="74">
        <f>SUM(AU15:BB15)</f>
        <v>120</v>
      </c>
      <c r="BD15" s="449">
        <v>150</v>
      </c>
      <c r="BE15" s="450"/>
      <c r="BF15" s="450"/>
      <c r="BG15" s="450"/>
      <c r="BH15" s="450"/>
      <c r="BI15" s="450"/>
      <c r="BJ15" s="450"/>
      <c r="BK15" s="451"/>
      <c r="BL15" s="74">
        <f>SUM(BD15:BK15)</f>
        <v>150</v>
      </c>
      <c r="BM15" s="449">
        <v>130</v>
      </c>
      <c r="BN15" s="450"/>
      <c r="BO15" s="450"/>
      <c r="BP15" s="450"/>
      <c r="BQ15" s="450"/>
      <c r="BR15" s="450"/>
      <c r="BS15" s="450"/>
      <c r="BT15" s="451"/>
      <c r="BU15" s="74">
        <f>SUM(BM15:BT15)</f>
        <v>130</v>
      </c>
      <c r="BV15" s="449">
        <v>170</v>
      </c>
      <c r="BW15" s="450"/>
      <c r="BX15" s="450"/>
      <c r="BY15" s="450"/>
      <c r="BZ15" s="450"/>
      <c r="CA15" s="450"/>
      <c r="CB15" s="450"/>
      <c r="CC15" s="451"/>
      <c r="CD15" s="74">
        <f>SUM(BV15:CC15)</f>
        <v>170</v>
      </c>
      <c r="CE15" s="449">
        <v>130</v>
      </c>
      <c r="CF15" s="450"/>
      <c r="CG15" s="450"/>
      <c r="CH15" s="450"/>
      <c r="CI15" s="450"/>
      <c r="CJ15" s="450"/>
      <c r="CK15" s="450"/>
      <c r="CL15" s="451"/>
      <c r="CM15" s="74">
        <f>SUM(CE15:CL15)</f>
        <v>130</v>
      </c>
      <c r="CN15" s="438">
        <v>150</v>
      </c>
      <c r="CO15" s="439"/>
      <c r="CP15" s="439"/>
      <c r="CQ15" s="439"/>
      <c r="CR15" s="439"/>
      <c r="CS15" s="439"/>
      <c r="CT15" s="439"/>
      <c r="CU15" s="440"/>
      <c r="CV15" s="75">
        <f>SUM(CN15:CU15)</f>
        <v>150</v>
      </c>
      <c r="CW15" s="438">
        <v>150</v>
      </c>
      <c r="CX15" s="439"/>
      <c r="CY15" s="439"/>
      <c r="CZ15" s="439"/>
      <c r="DA15" s="439"/>
      <c r="DB15" s="439"/>
      <c r="DC15" s="439"/>
      <c r="DD15" s="440"/>
      <c r="DE15" s="75">
        <f>SUM(CW15:DD15)</f>
        <v>150</v>
      </c>
      <c r="DF15" s="438">
        <v>100</v>
      </c>
      <c r="DG15" s="439"/>
      <c r="DH15" s="439"/>
      <c r="DI15" s="439"/>
      <c r="DJ15" s="439"/>
      <c r="DK15" s="439"/>
      <c r="DL15" s="439"/>
      <c r="DM15" s="440"/>
      <c r="DN15" s="75">
        <f>SUM(DF15:DM15)</f>
        <v>100</v>
      </c>
      <c r="DO15" s="76">
        <f>S15+AB15+AK15+AT15+BC15+BL15+BU15+CD15+CM15+CV15+DE15+DN15</f>
        <v>1657</v>
      </c>
      <c r="DP15" s="77"/>
    </row>
    <row r="16" spans="2:120" ht="186.95" customHeight="1">
      <c r="B16" s="435"/>
      <c r="C16" s="435"/>
      <c r="D16" s="435"/>
      <c r="E16" s="435"/>
      <c r="F16" s="436"/>
      <c r="G16" s="435"/>
      <c r="H16" s="435"/>
      <c r="I16" s="448"/>
      <c r="J16" s="78" t="s">
        <v>66</v>
      </c>
      <c r="K16" s="74">
        <v>0</v>
      </c>
      <c r="L16" s="74">
        <v>0</v>
      </c>
      <c r="M16" s="74">
        <v>5</v>
      </c>
      <c r="N16" s="74">
        <v>8</v>
      </c>
      <c r="O16" s="74">
        <v>107</v>
      </c>
      <c r="P16" s="74">
        <v>42</v>
      </c>
      <c r="Q16" s="74">
        <v>5</v>
      </c>
      <c r="R16" s="74">
        <v>3</v>
      </c>
      <c r="S16" s="79">
        <f t="shared" ref="S16:S30" si="0">SUM(K16:R16)</f>
        <v>170</v>
      </c>
      <c r="T16" s="74">
        <v>0</v>
      </c>
      <c r="U16" s="74">
        <v>0</v>
      </c>
      <c r="V16" s="74">
        <v>3</v>
      </c>
      <c r="W16" s="74">
        <v>6</v>
      </c>
      <c r="X16" s="74">
        <v>95</v>
      </c>
      <c r="Y16" s="74">
        <v>37</v>
      </c>
      <c r="Z16" s="74">
        <v>11</v>
      </c>
      <c r="AA16" s="74">
        <v>5</v>
      </c>
      <c r="AB16" s="79">
        <f t="shared" ref="AB16:AB30" si="1">SUM(T16:AA16)</f>
        <v>157</v>
      </c>
      <c r="AC16" s="74">
        <v>3</v>
      </c>
      <c r="AD16" s="74">
        <v>2</v>
      </c>
      <c r="AE16" s="74">
        <v>7</v>
      </c>
      <c r="AF16" s="74">
        <v>2</v>
      </c>
      <c r="AG16" s="74">
        <v>74</v>
      </c>
      <c r="AH16" s="74">
        <v>23</v>
      </c>
      <c r="AI16" s="74">
        <v>12</v>
      </c>
      <c r="AJ16" s="74">
        <v>7</v>
      </c>
      <c r="AK16" s="79">
        <f t="shared" ref="AK16:AK30" si="2">SUM(AC16:AJ16)</f>
        <v>130</v>
      </c>
      <c r="AL16" s="74">
        <v>0</v>
      </c>
      <c r="AM16" s="74">
        <v>0</v>
      </c>
      <c r="AN16" s="74">
        <v>0</v>
      </c>
      <c r="AO16" s="74">
        <v>0</v>
      </c>
      <c r="AP16" s="74">
        <v>0</v>
      </c>
      <c r="AQ16" s="74">
        <v>0</v>
      </c>
      <c r="AR16" s="74">
        <v>0</v>
      </c>
      <c r="AS16" s="74">
        <v>0</v>
      </c>
      <c r="AT16" s="74">
        <f t="shared" ref="AT16:AT30" si="3">SUM(AL16:AS16)</f>
        <v>0</v>
      </c>
      <c r="AU16" s="74">
        <v>0</v>
      </c>
      <c r="AV16" s="74">
        <v>0</v>
      </c>
      <c r="AW16" s="74">
        <v>0</v>
      </c>
      <c r="AX16" s="74">
        <v>0</v>
      </c>
      <c r="AY16" s="74">
        <v>0</v>
      </c>
      <c r="AZ16" s="74">
        <v>0</v>
      </c>
      <c r="BA16" s="74">
        <v>0</v>
      </c>
      <c r="BB16" s="74">
        <v>0</v>
      </c>
      <c r="BC16" s="74">
        <f t="shared" ref="BC16:BC30" si="4">SUM(AU16:BB16)</f>
        <v>0</v>
      </c>
      <c r="BD16" s="74">
        <v>0</v>
      </c>
      <c r="BE16" s="74">
        <v>0</v>
      </c>
      <c r="BF16" s="74">
        <v>0</v>
      </c>
      <c r="BG16" s="74">
        <v>0</v>
      </c>
      <c r="BH16" s="74">
        <v>0</v>
      </c>
      <c r="BI16" s="74">
        <v>0</v>
      </c>
      <c r="BJ16" s="74">
        <v>0</v>
      </c>
      <c r="BK16" s="74">
        <v>0</v>
      </c>
      <c r="BL16" s="74">
        <f t="shared" ref="BL16:BL30" si="5">SUM(BD16:BK16)</f>
        <v>0</v>
      </c>
      <c r="BM16" s="74">
        <v>5</v>
      </c>
      <c r="BN16" s="74">
        <v>6</v>
      </c>
      <c r="BO16" s="74">
        <v>12</v>
      </c>
      <c r="BP16" s="74">
        <v>4</v>
      </c>
      <c r="BQ16" s="74">
        <v>73</v>
      </c>
      <c r="BR16" s="74">
        <v>49</v>
      </c>
      <c r="BS16" s="74">
        <v>14</v>
      </c>
      <c r="BT16" s="74">
        <v>10</v>
      </c>
      <c r="BU16" s="74">
        <f t="shared" ref="BU16:BU30" si="6">SUM(BM16:BT16)</f>
        <v>173</v>
      </c>
      <c r="BV16" s="74">
        <v>0</v>
      </c>
      <c r="BW16" s="74">
        <v>0</v>
      </c>
      <c r="BX16" s="74">
        <v>4</v>
      </c>
      <c r="BY16" s="74">
        <v>8</v>
      </c>
      <c r="BZ16" s="74">
        <v>102</v>
      </c>
      <c r="CA16" s="74">
        <v>35</v>
      </c>
      <c r="CB16" s="74">
        <v>4</v>
      </c>
      <c r="CC16" s="74">
        <v>7</v>
      </c>
      <c r="CD16" s="74">
        <f t="shared" ref="CD16:CD30" si="7">SUM(BV16:CC16)</f>
        <v>160</v>
      </c>
      <c r="CE16" s="80">
        <v>0</v>
      </c>
      <c r="CF16" s="80">
        <v>2</v>
      </c>
      <c r="CG16" s="80">
        <v>18</v>
      </c>
      <c r="CH16" s="80">
        <v>5</v>
      </c>
      <c r="CI16" s="80">
        <v>107</v>
      </c>
      <c r="CJ16" s="80">
        <v>44</v>
      </c>
      <c r="CK16" s="80">
        <v>27</v>
      </c>
      <c r="CL16" s="80">
        <v>18</v>
      </c>
      <c r="CM16" s="80">
        <f>SUM(CE16:CL16)</f>
        <v>221</v>
      </c>
      <c r="CN16" s="80">
        <v>5</v>
      </c>
      <c r="CO16" s="80">
        <v>3</v>
      </c>
      <c r="CP16" s="80">
        <v>4</v>
      </c>
      <c r="CQ16" s="80">
        <v>3</v>
      </c>
      <c r="CR16" s="80">
        <v>54</v>
      </c>
      <c r="CS16" s="80">
        <v>18</v>
      </c>
      <c r="CT16" s="80">
        <v>66</v>
      </c>
      <c r="CU16" s="80">
        <v>32</v>
      </c>
      <c r="CV16" s="80">
        <f t="shared" ref="CV16:CV30" si="8">SUM(CN16:CU16)</f>
        <v>185</v>
      </c>
      <c r="CW16" s="80">
        <v>1</v>
      </c>
      <c r="CX16" s="80">
        <v>1</v>
      </c>
      <c r="CY16" s="80">
        <v>17</v>
      </c>
      <c r="CZ16" s="80">
        <v>12</v>
      </c>
      <c r="DA16" s="80">
        <v>81</v>
      </c>
      <c r="DB16" s="80">
        <v>35</v>
      </c>
      <c r="DC16" s="80">
        <v>7</v>
      </c>
      <c r="DD16" s="80">
        <v>3</v>
      </c>
      <c r="DE16" s="80">
        <f t="shared" ref="DE16:DE30" si="9">SUM(CW16:DD16)</f>
        <v>157</v>
      </c>
      <c r="DF16" s="80">
        <v>6</v>
      </c>
      <c r="DG16" s="80">
        <v>6</v>
      </c>
      <c r="DH16" s="80">
        <v>10</v>
      </c>
      <c r="DI16" s="80">
        <v>1</v>
      </c>
      <c r="DJ16" s="80">
        <v>47</v>
      </c>
      <c r="DK16" s="80">
        <v>39</v>
      </c>
      <c r="DL16" s="80">
        <v>5</v>
      </c>
      <c r="DM16" s="80">
        <v>3</v>
      </c>
      <c r="DN16" s="80">
        <f t="shared" ref="DN16:DN30" si="10">SUM(DF16:DM16)</f>
        <v>117</v>
      </c>
      <c r="DO16" s="81">
        <f t="shared" ref="DO16:DO34" si="11">S16+AB16+AK16+AT16+BC16+BL16+BU16+CD16+CM16+CV16+DE16+DN16</f>
        <v>1470</v>
      </c>
      <c r="DP16" s="77" t="s">
        <v>116</v>
      </c>
    </row>
    <row r="17" spans="2:120" ht="234.75" hidden="1" customHeight="1">
      <c r="B17" s="441" t="s">
        <v>78</v>
      </c>
      <c r="C17" s="441" t="s">
        <v>74</v>
      </c>
      <c r="D17" s="443" t="s">
        <v>82</v>
      </c>
      <c r="E17" s="444"/>
      <c r="F17" s="436" t="s">
        <v>83</v>
      </c>
      <c r="G17" s="437">
        <v>1181</v>
      </c>
      <c r="H17" s="435" t="s">
        <v>84</v>
      </c>
      <c r="I17" s="447">
        <v>1181</v>
      </c>
      <c r="J17" s="73" t="s">
        <v>65</v>
      </c>
      <c r="K17" s="449">
        <v>92</v>
      </c>
      <c r="L17" s="450"/>
      <c r="M17" s="450"/>
      <c r="N17" s="450"/>
      <c r="O17" s="450"/>
      <c r="P17" s="450"/>
      <c r="Q17" s="450"/>
      <c r="R17" s="451"/>
      <c r="S17" s="74">
        <f>SUM(K17:R17)</f>
        <v>92</v>
      </c>
      <c r="T17" s="449">
        <v>82</v>
      </c>
      <c r="U17" s="450"/>
      <c r="V17" s="450"/>
      <c r="W17" s="450"/>
      <c r="X17" s="450"/>
      <c r="Y17" s="450"/>
      <c r="Z17" s="450"/>
      <c r="AA17" s="451"/>
      <c r="AB17" s="74">
        <f>SUM(T17:AA17)</f>
        <v>82</v>
      </c>
      <c r="AC17" s="449">
        <v>95</v>
      </c>
      <c r="AD17" s="450"/>
      <c r="AE17" s="450"/>
      <c r="AF17" s="450"/>
      <c r="AG17" s="450"/>
      <c r="AH17" s="450"/>
      <c r="AI17" s="450"/>
      <c r="AJ17" s="451"/>
      <c r="AK17" s="74">
        <f>SUM(AC17:AJ17)</f>
        <v>95</v>
      </c>
      <c r="AL17" s="449">
        <v>85</v>
      </c>
      <c r="AM17" s="450"/>
      <c r="AN17" s="450"/>
      <c r="AO17" s="450"/>
      <c r="AP17" s="450"/>
      <c r="AQ17" s="450"/>
      <c r="AR17" s="450"/>
      <c r="AS17" s="451"/>
      <c r="AT17" s="74">
        <f>SUM(AL17:AS17)</f>
        <v>85</v>
      </c>
      <c r="AU17" s="449">
        <v>89</v>
      </c>
      <c r="AV17" s="450"/>
      <c r="AW17" s="450"/>
      <c r="AX17" s="450"/>
      <c r="AY17" s="450"/>
      <c r="AZ17" s="450"/>
      <c r="BA17" s="450"/>
      <c r="BB17" s="451"/>
      <c r="BC17" s="74">
        <f>SUM(AU17:BB17)</f>
        <v>89</v>
      </c>
      <c r="BD17" s="449">
        <v>87</v>
      </c>
      <c r="BE17" s="450"/>
      <c r="BF17" s="450"/>
      <c r="BG17" s="450"/>
      <c r="BH17" s="450"/>
      <c r="BI17" s="450"/>
      <c r="BJ17" s="450"/>
      <c r="BK17" s="451"/>
      <c r="BL17" s="74">
        <f>SUM(BD17:BK17)</f>
        <v>87</v>
      </c>
      <c r="BM17" s="449">
        <v>130</v>
      </c>
      <c r="BN17" s="450"/>
      <c r="BO17" s="450"/>
      <c r="BP17" s="450"/>
      <c r="BQ17" s="450"/>
      <c r="BR17" s="450"/>
      <c r="BS17" s="450"/>
      <c r="BT17" s="451"/>
      <c r="BU17" s="74">
        <f>SUM(BM17:BT17)</f>
        <v>130</v>
      </c>
      <c r="BV17" s="449">
        <v>160</v>
      </c>
      <c r="BW17" s="450"/>
      <c r="BX17" s="450"/>
      <c r="BY17" s="450"/>
      <c r="BZ17" s="450"/>
      <c r="CA17" s="450"/>
      <c r="CB17" s="450"/>
      <c r="CC17" s="451"/>
      <c r="CD17" s="74">
        <f>SUM(BV17:CC17)</f>
        <v>160</v>
      </c>
      <c r="CE17" s="452">
        <v>140</v>
      </c>
      <c r="CF17" s="452"/>
      <c r="CG17" s="452"/>
      <c r="CH17" s="452"/>
      <c r="CI17" s="452"/>
      <c r="CJ17" s="452"/>
      <c r="CK17" s="452"/>
      <c r="CL17" s="452"/>
      <c r="CM17" s="80">
        <f t="shared" ref="CM17:CM34" si="12">SUM(CE17:CL17)</f>
        <v>140</v>
      </c>
      <c r="CN17" s="452">
        <v>79</v>
      </c>
      <c r="CO17" s="452"/>
      <c r="CP17" s="452"/>
      <c r="CQ17" s="452"/>
      <c r="CR17" s="452"/>
      <c r="CS17" s="452"/>
      <c r="CT17" s="452"/>
      <c r="CU17" s="452"/>
      <c r="CV17" s="80">
        <f>SUM(CN17:CU17)</f>
        <v>79</v>
      </c>
      <c r="CW17" s="452">
        <v>82</v>
      </c>
      <c r="CX17" s="452"/>
      <c r="CY17" s="452"/>
      <c r="CZ17" s="452"/>
      <c r="DA17" s="452"/>
      <c r="DB17" s="452"/>
      <c r="DC17" s="452"/>
      <c r="DD17" s="452"/>
      <c r="DE17" s="80">
        <f>SUM(CW17:DD17)</f>
        <v>82</v>
      </c>
      <c r="DF17" s="452">
        <v>60</v>
      </c>
      <c r="DG17" s="452"/>
      <c r="DH17" s="452"/>
      <c r="DI17" s="452"/>
      <c r="DJ17" s="452"/>
      <c r="DK17" s="452"/>
      <c r="DL17" s="452"/>
      <c r="DM17" s="452"/>
      <c r="DN17" s="80">
        <f>SUM(DF17:DM17)</f>
        <v>60</v>
      </c>
      <c r="DO17" s="81">
        <f t="shared" si="11"/>
        <v>1181</v>
      </c>
      <c r="DP17" s="77"/>
    </row>
    <row r="18" spans="2:120" ht="164.1" customHeight="1">
      <c r="B18" s="442"/>
      <c r="C18" s="442"/>
      <c r="D18" s="445"/>
      <c r="E18" s="446"/>
      <c r="F18" s="436"/>
      <c r="G18" s="435"/>
      <c r="H18" s="435"/>
      <c r="I18" s="448"/>
      <c r="J18" s="78" t="s">
        <v>66</v>
      </c>
      <c r="K18" s="74">
        <v>0</v>
      </c>
      <c r="L18" s="74">
        <v>0</v>
      </c>
      <c r="M18" s="74">
        <v>1</v>
      </c>
      <c r="N18" s="74">
        <v>0</v>
      </c>
      <c r="O18" s="74">
        <v>66</v>
      </c>
      <c r="P18" s="74">
        <v>25</v>
      </c>
      <c r="Q18" s="74">
        <v>0</v>
      </c>
      <c r="R18" s="74">
        <v>0</v>
      </c>
      <c r="S18" s="82">
        <f t="shared" si="0"/>
        <v>92</v>
      </c>
      <c r="T18" s="74">
        <v>0</v>
      </c>
      <c r="U18" s="74">
        <v>0</v>
      </c>
      <c r="V18" s="74">
        <v>0</v>
      </c>
      <c r="W18" s="74">
        <v>0</v>
      </c>
      <c r="X18" s="74">
        <v>55</v>
      </c>
      <c r="Y18" s="74">
        <v>21</v>
      </c>
      <c r="Z18" s="74">
        <v>5</v>
      </c>
      <c r="AA18" s="74">
        <v>1</v>
      </c>
      <c r="AB18" s="82">
        <f t="shared" si="1"/>
        <v>82</v>
      </c>
      <c r="AC18" s="74">
        <v>0</v>
      </c>
      <c r="AD18" s="74">
        <v>0</v>
      </c>
      <c r="AE18" s="74">
        <v>5</v>
      </c>
      <c r="AF18" s="74">
        <v>1</v>
      </c>
      <c r="AG18" s="74">
        <v>41</v>
      </c>
      <c r="AH18" s="74">
        <v>11</v>
      </c>
      <c r="AI18" s="74">
        <v>3</v>
      </c>
      <c r="AJ18" s="74">
        <v>1</v>
      </c>
      <c r="AK18" s="82">
        <f t="shared" si="2"/>
        <v>62</v>
      </c>
      <c r="AL18" s="74">
        <v>0</v>
      </c>
      <c r="AM18" s="74">
        <v>0</v>
      </c>
      <c r="AN18" s="74">
        <v>0</v>
      </c>
      <c r="AO18" s="74">
        <v>0</v>
      </c>
      <c r="AP18" s="74">
        <v>0</v>
      </c>
      <c r="AQ18" s="74">
        <v>0</v>
      </c>
      <c r="AR18" s="74">
        <v>0</v>
      </c>
      <c r="AS18" s="74">
        <v>0</v>
      </c>
      <c r="AT18" s="79">
        <f t="shared" si="3"/>
        <v>0</v>
      </c>
      <c r="AU18" s="74">
        <v>0</v>
      </c>
      <c r="AV18" s="74">
        <v>0</v>
      </c>
      <c r="AW18" s="74">
        <v>0</v>
      </c>
      <c r="AX18" s="74">
        <v>0</v>
      </c>
      <c r="AY18" s="74">
        <v>0</v>
      </c>
      <c r="AZ18" s="74">
        <v>0</v>
      </c>
      <c r="BA18" s="74">
        <v>0</v>
      </c>
      <c r="BB18" s="74">
        <v>0</v>
      </c>
      <c r="BC18" s="79">
        <f t="shared" si="4"/>
        <v>0</v>
      </c>
      <c r="BD18" s="74">
        <v>0</v>
      </c>
      <c r="BE18" s="74">
        <v>0</v>
      </c>
      <c r="BF18" s="74">
        <v>0</v>
      </c>
      <c r="BG18" s="74">
        <v>0</v>
      </c>
      <c r="BH18" s="74">
        <v>0</v>
      </c>
      <c r="BI18" s="74">
        <v>0</v>
      </c>
      <c r="BJ18" s="74">
        <v>0</v>
      </c>
      <c r="BK18" s="74">
        <v>0</v>
      </c>
      <c r="BL18" s="79">
        <f t="shared" si="5"/>
        <v>0</v>
      </c>
      <c r="BM18" s="74">
        <v>0</v>
      </c>
      <c r="BN18" s="74">
        <v>0</v>
      </c>
      <c r="BO18" s="74">
        <v>12</v>
      </c>
      <c r="BP18" s="74">
        <v>4</v>
      </c>
      <c r="BQ18" s="74">
        <v>52</v>
      </c>
      <c r="BR18" s="74">
        <v>30</v>
      </c>
      <c r="BS18" s="74">
        <v>2</v>
      </c>
      <c r="BT18" s="74">
        <v>3</v>
      </c>
      <c r="BU18" s="79">
        <f t="shared" si="6"/>
        <v>103</v>
      </c>
      <c r="BV18" s="74">
        <v>0</v>
      </c>
      <c r="BW18" s="74">
        <v>0</v>
      </c>
      <c r="BX18" s="74">
        <v>1</v>
      </c>
      <c r="BY18" s="74">
        <v>0</v>
      </c>
      <c r="BZ18" s="74">
        <v>62</v>
      </c>
      <c r="CA18" s="74">
        <v>20</v>
      </c>
      <c r="CB18" s="74">
        <v>1</v>
      </c>
      <c r="CC18" s="74">
        <v>3</v>
      </c>
      <c r="CD18" s="79">
        <f t="shared" si="7"/>
        <v>87</v>
      </c>
      <c r="CE18" s="80">
        <v>0</v>
      </c>
      <c r="CF18" s="80">
        <v>0</v>
      </c>
      <c r="CG18" s="80">
        <v>6</v>
      </c>
      <c r="CH18" s="80">
        <v>0</v>
      </c>
      <c r="CI18" s="80">
        <v>64</v>
      </c>
      <c r="CJ18" s="80">
        <v>27</v>
      </c>
      <c r="CK18" s="80">
        <v>0</v>
      </c>
      <c r="CL18" s="80">
        <v>2</v>
      </c>
      <c r="CM18" s="80">
        <f t="shared" si="12"/>
        <v>99</v>
      </c>
      <c r="CN18" s="80">
        <v>0</v>
      </c>
      <c r="CO18" s="80">
        <v>0</v>
      </c>
      <c r="CP18" s="80">
        <v>4</v>
      </c>
      <c r="CQ18" s="80">
        <v>1</v>
      </c>
      <c r="CR18" s="80">
        <v>53</v>
      </c>
      <c r="CS18" s="80">
        <v>18</v>
      </c>
      <c r="CT18" s="80">
        <v>3</v>
      </c>
      <c r="CU18" s="80">
        <v>2</v>
      </c>
      <c r="CV18" s="80">
        <f t="shared" si="8"/>
        <v>81</v>
      </c>
      <c r="CW18" s="80">
        <v>0</v>
      </c>
      <c r="CX18" s="80">
        <v>0</v>
      </c>
      <c r="CY18" s="80">
        <v>7</v>
      </c>
      <c r="CZ18" s="80">
        <v>2</v>
      </c>
      <c r="DA18" s="80">
        <v>43</v>
      </c>
      <c r="DB18" s="80">
        <v>23</v>
      </c>
      <c r="DC18" s="80">
        <v>2</v>
      </c>
      <c r="DD18" s="80">
        <v>1</v>
      </c>
      <c r="DE18" s="80">
        <f t="shared" si="9"/>
        <v>78</v>
      </c>
      <c r="DF18" s="80">
        <v>0</v>
      </c>
      <c r="DG18" s="80">
        <v>0</v>
      </c>
      <c r="DH18" s="80">
        <v>8</v>
      </c>
      <c r="DI18" s="80">
        <v>0</v>
      </c>
      <c r="DJ18" s="80">
        <v>14</v>
      </c>
      <c r="DK18" s="80">
        <v>6</v>
      </c>
      <c r="DL18" s="80">
        <v>0</v>
      </c>
      <c r="DM18" s="80">
        <v>0</v>
      </c>
      <c r="DN18" s="80">
        <f t="shared" si="10"/>
        <v>28</v>
      </c>
      <c r="DO18" s="81">
        <f t="shared" si="11"/>
        <v>712</v>
      </c>
      <c r="DP18" s="77" t="s">
        <v>116</v>
      </c>
    </row>
    <row r="19" spans="2:120" ht="234.75" hidden="1" customHeight="1">
      <c r="B19" s="441" t="s">
        <v>78</v>
      </c>
      <c r="C19" s="441" t="s">
        <v>74</v>
      </c>
      <c r="D19" s="443" t="s">
        <v>82</v>
      </c>
      <c r="E19" s="444"/>
      <c r="F19" s="453" t="s">
        <v>85</v>
      </c>
      <c r="G19" s="442">
        <v>476</v>
      </c>
      <c r="H19" s="442" t="s">
        <v>86</v>
      </c>
      <c r="I19" s="455">
        <v>476</v>
      </c>
      <c r="J19" s="73" t="s">
        <v>65</v>
      </c>
      <c r="K19" s="449">
        <v>53</v>
      </c>
      <c r="L19" s="450"/>
      <c r="M19" s="450"/>
      <c r="N19" s="450"/>
      <c r="O19" s="450"/>
      <c r="P19" s="450"/>
      <c r="Q19" s="450"/>
      <c r="R19" s="451"/>
      <c r="S19" s="82">
        <f>SUM(K19:R19)</f>
        <v>53</v>
      </c>
      <c r="T19" s="449">
        <v>49</v>
      </c>
      <c r="U19" s="450"/>
      <c r="V19" s="450"/>
      <c r="W19" s="450"/>
      <c r="X19" s="450"/>
      <c r="Y19" s="450"/>
      <c r="Z19" s="450"/>
      <c r="AA19" s="451"/>
      <c r="AB19" s="82">
        <f>SUM(T19:AA19)</f>
        <v>49</v>
      </c>
      <c r="AC19" s="449">
        <v>45</v>
      </c>
      <c r="AD19" s="450"/>
      <c r="AE19" s="450"/>
      <c r="AF19" s="450"/>
      <c r="AG19" s="450"/>
      <c r="AH19" s="450"/>
      <c r="AI19" s="450"/>
      <c r="AJ19" s="451"/>
      <c r="AK19" s="82">
        <f>SUM(AC19:AJ19)</f>
        <v>45</v>
      </c>
      <c r="AL19" s="449">
        <v>30</v>
      </c>
      <c r="AM19" s="450"/>
      <c r="AN19" s="450"/>
      <c r="AO19" s="450"/>
      <c r="AP19" s="450"/>
      <c r="AQ19" s="450"/>
      <c r="AR19" s="450"/>
      <c r="AS19" s="451"/>
      <c r="AT19" s="79">
        <f>SUM(AL19:AS19)</f>
        <v>30</v>
      </c>
      <c r="AU19" s="449">
        <v>35</v>
      </c>
      <c r="AV19" s="450"/>
      <c r="AW19" s="450"/>
      <c r="AX19" s="450"/>
      <c r="AY19" s="450"/>
      <c r="AZ19" s="450"/>
      <c r="BA19" s="450"/>
      <c r="BB19" s="451"/>
      <c r="BC19" s="79">
        <f>SUM(AU19:BB19)</f>
        <v>35</v>
      </c>
      <c r="BD19" s="449">
        <v>36</v>
      </c>
      <c r="BE19" s="450"/>
      <c r="BF19" s="450"/>
      <c r="BG19" s="450"/>
      <c r="BH19" s="450"/>
      <c r="BI19" s="450"/>
      <c r="BJ19" s="450"/>
      <c r="BK19" s="451"/>
      <c r="BL19" s="79">
        <f>SUM(BD19:BK19)</f>
        <v>36</v>
      </c>
      <c r="BM19" s="449">
        <v>50</v>
      </c>
      <c r="BN19" s="450"/>
      <c r="BO19" s="450"/>
      <c r="BP19" s="450"/>
      <c r="BQ19" s="450"/>
      <c r="BR19" s="450"/>
      <c r="BS19" s="450"/>
      <c r="BT19" s="451"/>
      <c r="BU19" s="79">
        <f>SUM(BM19:BT19)</f>
        <v>50</v>
      </c>
      <c r="BV19" s="449">
        <v>52</v>
      </c>
      <c r="BW19" s="450"/>
      <c r="BX19" s="450"/>
      <c r="BY19" s="450"/>
      <c r="BZ19" s="450"/>
      <c r="CA19" s="450"/>
      <c r="CB19" s="450"/>
      <c r="CC19" s="451"/>
      <c r="CD19" s="79">
        <f>SUM(BV19:CC19)</f>
        <v>52</v>
      </c>
      <c r="CE19" s="452">
        <v>51</v>
      </c>
      <c r="CF19" s="452"/>
      <c r="CG19" s="452"/>
      <c r="CH19" s="452"/>
      <c r="CI19" s="452"/>
      <c r="CJ19" s="452"/>
      <c r="CK19" s="452"/>
      <c r="CL19" s="452"/>
      <c r="CM19" s="80">
        <f t="shared" si="12"/>
        <v>51</v>
      </c>
      <c r="CN19" s="452">
        <v>30</v>
      </c>
      <c r="CO19" s="452"/>
      <c r="CP19" s="452"/>
      <c r="CQ19" s="452"/>
      <c r="CR19" s="452"/>
      <c r="CS19" s="452"/>
      <c r="CT19" s="452"/>
      <c r="CU19" s="452"/>
      <c r="CV19" s="80">
        <f>SUM(CN19:CU19)</f>
        <v>30</v>
      </c>
      <c r="CW19" s="452">
        <v>25</v>
      </c>
      <c r="CX19" s="452"/>
      <c r="CY19" s="452"/>
      <c r="CZ19" s="452"/>
      <c r="DA19" s="452"/>
      <c r="DB19" s="452"/>
      <c r="DC19" s="452"/>
      <c r="DD19" s="452"/>
      <c r="DE19" s="80">
        <f>SUM(CW19:DD19)</f>
        <v>25</v>
      </c>
      <c r="DF19" s="452">
        <v>20</v>
      </c>
      <c r="DG19" s="452"/>
      <c r="DH19" s="452"/>
      <c r="DI19" s="452"/>
      <c r="DJ19" s="452"/>
      <c r="DK19" s="452"/>
      <c r="DL19" s="452"/>
      <c r="DM19" s="452"/>
      <c r="DN19" s="80">
        <f>SUM(DF19:DM19)</f>
        <v>20</v>
      </c>
      <c r="DO19" s="81">
        <f t="shared" si="11"/>
        <v>476</v>
      </c>
      <c r="DP19" s="77"/>
    </row>
    <row r="20" spans="2:120" ht="234.75" customHeight="1">
      <c r="B20" s="442"/>
      <c r="C20" s="442"/>
      <c r="D20" s="445"/>
      <c r="E20" s="446"/>
      <c r="F20" s="454"/>
      <c r="G20" s="435"/>
      <c r="H20" s="435"/>
      <c r="I20" s="448"/>
      <c r="J20" s="78" t="s">
        <v>66</v>
      </c>
      <c r="K20" s="74">
        <v>0</v>
      </c>
      <c r="L20" s="74">
        <v>0</v>
      </c>
      <c r="M20" s="74">
        <v>0</v>
      </c>
      <c r="N20" s="74">
        <v>0</v>
      </c>
      <c r="O20" s="74">
        <v>39</v>
      </c>
      <c r="P20" s="74">
        <v>14</v>
      </c>
      <c r="Q20" s="74">
        <v>0</v>
      </c>
      <c r="R20" s="74">
        <v>0</v>
      </c>
      <c r="S20" s="82">
        <f t="shared" si="0"/>
        <v>53</v>
      </c>
      <c r="T20" s="74">
        <v>0</v>
      </c>
      <c r="U20" s="74">
        <v>0</v>
      </c>
      <c r="V20" s="74">
        <v>0</v>
      </c>
      <c r="W20" s="74">
        <v>0</v>
      </c>
      <c r="X20" s="74">
        <v>37</v>
      </c>
      <c r="Y20" s="74">
        <v>12</v>
      </c>
      <c r="Z20" s="74">
        <v>0</v>
      </c>
      <c r="AA20" s="74">
        <v>0</v>
      </c>
      <c r="AB20" s="82">
        <f t="shared" si="1"/>
        <v>49</v>
      </c>
      <c r="AC20" s="74">
        <v>0</v>
      </c>
      <c r="AD20" s="74">
        <v>0</v>
      </c>
      <c r="AE20" s="74">
        <v>0</v>
      </c>
      <c r="AF20" s="74">
        <v>0</v>
      </c>
      <c r="AG20" s="74">
        <v>32</v>
      </c>
      <c r="AH20" s="74">
        <v>10</v>
      </c>
      <c r="AI20" s="74">
        <v>0</v>
      </c>
      <c r="AJ20" s="74">
        <v>0</v>
      </c>
      <c r="AK20" s="82">
        <f t="shared" si="2"/>
        <v>42</v>
      </c>
      <c r="AL20" s="74">
        <v>0</v>
      </c>
      <c r="AM20" s="74">
        <v>0</v>
      </c>
      <c r="AN20" s="74">
        <v>0</v>
      </c>
      <c r="AO20" s="74">
        <v>0</v>
      </c>
      <c r="AP20" s="74">
        <v>0</v>
      </c>
      <c r="AQ20" s="74">
        <v>0</v>
      </c>
      <c r="AR20" s="74">
        <v>0</v>
      </c>
      <c r="AS20" s="74">
        <v>0</v>
      </c>
      <c r="AT20" s="79">
        <f t="shared" si="3"/>
        <v>0</v>
      </c>
      <c r="AU20" s="74">
        <v>0</v>
      </c>
      <c r="AV20" s="74">
        <v>0</v>
      </c>
      <c r="AW20" s="74">
        <v>0</v>
      </c>
      <c r="AX20" s="74">
        <v>0</v>
      </c>
      <c r="AY20" s="74">
        <v>0</v>
      </c>
      <c r="AZ20" s="74">
        <v>0</v>
      </c>
      <c r="BA20" s="74">
        <v>0</v>
      </c>
      <c r="BB20" s="74">
        <v>0</v>
      </c>
      <c r="BC20" s="79">
        <f t="shared" si="4"/>
        <v>0</v>
      </c>
      <c r="BD20" s="74">
        <v>0</v>
      </c>
      <c r="BE20" s="74">
        <v>0</v>
      </c>
      <c r="BF20" s="74">
        <v>0</v>
      </c>
      <c r="BG20" s="74">
        <v>0</v>
      </c>
      <c r="BH20" s="74">
        <v>0</v>
      </c>
      <c r="BI20" s="74">
        <v>0</v>
      </c>
      <c r="BJ20" s="74">
        <v>0</v>
      </c>
      <c r="BK20" s="74">
        <v>0</v>
      </c>
      <c r="BL20" s="79">
        <f t="shared" si="5"/>
        <v>0</v>
      </c>
      <c r="BM20" s="74">
        <v>0</v>
      </c>
      <c r="BN20" s="74">
        <v>0</v>
      </c>
      <c r="BO20" s="74">
        <v>0</v>
      </c>
      <c r="BP20" s="74">
        <v>0</v>
      </c>
      <c r="BQ20" s="74">
        <v>16</v>
      </c>
      <c r="BR20" s="74">
        <v>16</v>
      </c>
      <c r="BS20" s="74">
        <v>0</v>
      </c>
      <c r="BT20" s="74">
        <v>0</v>
      </c>
      <c r="BU20" s="79">
        <f t="shared" si="6"/>
        <v>32</v>
      </c>
      <c r="BV20" s="74">
        <v>0</v>
      </c>
      <c r="BW20" s="74">
        <v>0</v>
      </c>
      <c r="BX20" s="74">
        <v>0</v>
      </c>
      <c r="BY20" s="74">
        <v>0</v>
      </c>
      <c r="BZ20" s="74">
        <v>37</v>
      </c>
      <c r="CA20" s="74">
        <v>12</v>
      </c>
      <c r="CB20" s="74">
        <v>0</v>
      </c>
      <c r="CC20" s="74">
        <v>0</v>
      </c>
      <c r="CD20" s="79">
        <f t="shared" si="7"/>
        <v>49</v>
      </c>
      <c r="CE20" s="80">
        <v>0</v>
      </c>
      <c r="CF20" s="80">
        <v>0</v>
      </c>
      <c r="CG20" s="80">
        <v>0</v>
      </c>
      <c r="CH20" s="80">
        <v>0</v>
      </c>
      <c r="CI20" s="80">
        <v>43</v>
      </c>
      <c r="CJ20" s="80">
        <v>15</v>
      </c>
      <c r="CK20" s="80">
        <v>0</v>
      </c>
      <c r="CL20" s="80">
        <v>0</v>
      </c>
      <c r="CM20" s="80">
        <f t="shared" si="12"/>
        <v>58</v>
      </c>
      <c r="CN20" s="80">
        <v>0</v>
      </c>
      <c r="CO20" s="80">
        <v>0</v>
      </c>
      <c r="CP20" s="80">
        <v>0</v>
      </c>
      <c r="CQ20" s="80">
        <v>0</v>
      </c>
      <c r="CR20" s="80">
        <v>0</v>
      </c>
      <c r="CS20" s="80">
        <v>0</v>
      </c>
      <c r="CT20" s="80">
        <v>46</v>
      </c>
      <c r="CU20" s="80">
        <v>18</v>
      </c>
      <c r="CV20" s="80">
        <f t="shared" si="8"/>
        <v>64</v>
      </c>
      <c r="CW20" s="80">
        <v>0</v>
      </c>
      <c r="CX20" s="80">
        <v>0</v>
      </c>
      <c r="CY20" s="80">
        <v>0</v>
      </c>
      <c r="CZ20" s="80">
        <v>0</v>
      </c>
      <c r="DA20" s="80">
        <v>33</v>
      </c>
      <c r="DB20" s="80">
        <v>10</v>
      </c>
      <c r="DC20" s="80">
        <v>0</v>
      </c>
      <c r="DD20" s="83">
        <v>0</v>
      </c>
      <c r="DE20" s="80">
        <f t="shared" si="9"/>
        <v>43</v>
      </c>
      <c r="DF20" s="80">
        <v>0</v>
      </c>
      <c r="DG20" s="80">
        <v>0</v>
      </c>
      <c r="DH20" s="80">
        <v>0</v>
      </c>
      <c r="DI20" s="80">
        <v>0</v>
      </c>
      <c r="DJ20" s="80">
        <v>33</v>
      </c>
      <c r="DK20" s="80">
        <v>33</v>
      </c>
      <c r="DL20" s="80">
        <v>0</v>
      </c>
      <c r="DM20" s="80">
        <v>0</v>
      </c>
      <c r="DN20" s="80">
        <f t="shared" si="10"/>
        <v>66</v>
      </c>
      <c r="DO20" s="81">
        <f t="shared" si="11"/>
        <v>456</v>
      </c>
      <c r="DP20" s="77" t="s">
        <v>116</v>
      </c>
    </row>
    <row r="21" spans="2:120" ht="288.75" hidden="1" customHeight="1">
      <c r="B21" s="441" t="s">
        <v>78</v>
      </c>
      <c r="C21" s="441" t="s">
        <v>74</v>
      </c>
      <c r="D21" s="443" t="s">
        <v>82</v>
      </c>
      <c r="E21" s="444"/>
      <c r="F21" s="453" t="s">
        <v>87</v>
      </c>
      <c r="G21" s="435">
        <v>203</v>
      </c>
      <c r="H21" s="435" t="s">
        <v>88</v>
      </c>
      <c r="I21" s="435">
        <v>203</v>
      </c>
      <c r="J21" s="73" t="s">
        <v>65</v>
      </c>
      <c r="K21" s="449">
        <v>12</v>
      </c>
      <c r="L21" s="450"/>
      <c r="M21" s="450"/>
      <c r="N21" s="450"/>
      <c r="O21" s="450"/>
      <c r="P21" s="450"/>
      <c r="Q21" s="450"/>
      <c r="R21" s="451"/>
      <c r="S21" s="82">
        <f>SUM(K21:R21)</f>
        <v>12</v>
      </c>
      <c r="T21" s="449">
        <v>9</v>
      </c>
      <c r="U21" s="450"/>
      <c r="V21" s="450"/>
      <c r="W21" s="450"/>
      <c r="X21" s="450"/>
      <c r="Y21" s="450"/>
      <c r="Z21" s="450"/>
      <c r="AA21" s="451"/>
      <c r="AB21" s="82">
        <f>SUM(T21:AA21)</f>
        <v>9</v>
      </c>
      <c r="AC21" s="449">
        <v>18</v>
      </c>
      <c r="AD21" s="450"/>
      <c r="AE21" s="450"/>
      <c r="AF21" s="450"/>
      <c r="AG21" s="450"/>
      <c r="AH21" s="450"/>
      <c r="AI21" s="450"/>
      <c r="AJ21" s="451"/>
      <c r="AK21" s="82">
        <f>SUM(AC21:AJ21)</f>
        <v>18</v>
      </c>
      <c r="AL21" s="449">
        <v>15</v>
      </c>
      <c r="AM21" s="450"/>
      <c r="AN21" s="450"/>
      <c r="AO21" s="450"/>
      <c r="AP21" s="450"/>
      <c r="AQ21" s="450"/>
      <c r="AR21" s="450"/>
      <c r="AS21" s="451"/>
      <c r="AT21" s="79">
        <f>SUM(AL21:AS21)</f>
        <v>15</v>
      </c>
      <c r="AU21" s="449">
        <v>20</v>
      </c>
      <c r="AV21" s="450"/>
      <c r="AW21" s="450"/>
      <c r="AX21" s="450"/>
      <c r="AY21" s="450"/>
      <c r="AZ21" s="450"/>
      <c r="BA21" s="450"/>
      <c r="BB21" s="451"/>
      <c r="BC21" s="79">
        <f>SUM(AU21:BB21)</f>
        <v>20</v>
      </c>
      <c r="BD21" s="449">
        <v>18</v>
      </c>
      <c r="BE21" s="450"/>
      <c r="BF21" s="450"/>
      <c r="BG21" s="450"/>
      <c r="BH21" s="450"/>
      <c r="BI21" s="450"/>
      <c r="BJ21" s="450"/>
      <c r="BK21" s="451"/>
      <c r="BL21" s="79">
        <f>SUM(BD21:BK21)</f>
        <v>18</v>
      </c>
      <c r="BM21" s="449">
        <v>20</v>
      </c>
      <c r="BN21" s="450"/>
      <c r="BO21" s="450"/>
      <c r="BP21" s="450"/>
      <c r="BQ21" s="450"/>
      <c r="BR21" s="450"/>
      <c r="BS21" s="450"/>
      <c r="BT21" s="451"/>
      <c r="BU21" s="79">
        <f>SUM(BM21:BT21)</f>
        <v>20</v>
      </c>
      <c r="BV21" s="449">
        <v>21</v>
      </c>
      <c r="BW21" s="450"/>
      <c r="BX21" s="450"/>
      <c r="BY21" s="450"/>
      <c r="BZ21" s="450"/>
      <c r="CA21" s="450"/>
      <c r="CB21" s="450"/>
      <c r="CC21" s="451"/>
      <c r="CD21" s="79">
        <f>SUM(BV21:CC21)</f>
        <v>21</v>
      </c>
      <c r="CE21" s="452">
        <v>22</v>
      </c>
      <c r="CF21" s="452"/>
      <c r="CG21" s="452"/>
      <c r="CH21" s="452"/>
      <c r="CI21" s="452"/>
      <c r="CJ21" s="452"/>
      <c r="CK21" s="452"/>
      <c r="CL21" s="452"/>
      <c r="CM21" s="80">
        <f t="shared" si="12"/>
        <v>22</v>
      </c>
      <c r="CN21" s="452">
        <v>17</v>
      </c>
      <c r="CO21" s="452"/>
      <c r="CP21" s="452"/>
      <c r="CQ21" s="452"/>
      <c r="CR21" s="452"/>
      <c r="CS21" s="452"/>
      <c r="CT21" s="452"/>
      <c r="CU21" s="452"/>
      <c r="CV21" s="80">
        <f>SUM(CN21:CU21)</f>
        <v>17</v>
      </c>
      <c r="CW21" s="452">
        <v>16</v>
      </c>
      <c r="CX21" s="452"/>
      <c r="CY21" s="452"/>
      <c r="CZ21" s="452"/>
      <c r="DA21" s="452"/>
      <c r="DB21" s="452"/>
      <c r="DC21" s="452"/>
      <c r="DD21" s="452"/>
      <c r="DE21" s="80">
        <f>SUM(CW21:DD21)</f>
        <v>16</v>
      </c>
      <c r="DF21" s="452">
        <v>15</v>
      </c>
      <c r="DG21" s="452"/>
      <c r="DH21" s="452"/>
      <c r="DI21" s="452"/>
      <c r="DJ21" s="452"/>
      <c r="DK21" s="452"/>
      <c r="DL21" s="452"/>
      <c r="DM21" s="452"/>
      <c r="DN21" s="80">
        <f>SUM(DF21:DM21)</f>
        <v>15</v>
      </c>
      <c r="DO21" s="81">
        <f t="shared" si="11"/>
        <v>203</v>
      </c>
      <c r="DP21" s="77"/>
    </row>
    <row r="22" spans="2:120" ht="221.25" customHeight="1">
      <c r="B22" s="442"/>
      <c r="C22" s="442"/>
      <c r="D22" s="445"/>
      <c r="E22" s="446"/>
      <c r="F22" s="454"/>
      <c r="G22" s="435"/>
      <c r="H22" s="435"/>
      <c r="I22" s="435"/>
      <c r="J22" s="78" t="s">
        <v>66</v>
      </c>
      <c r="K22" s="84">
        <v>0</v>
      </c>
      <c r="L22" s="84">
        <v>0</v>
      </c>
      <c r="M22" s="84">
        <v>0</v>
      </c>
      <c r="N22" s="84">
        <v>0</v>
      </c>
      <c r="O22" s="84">
        <v>2</v>
      </c>
      <c r="P22" s="84">
        <v>3</v>
      </c>
      <c r="Q22" s="84">
        <v>4</v>
      </c>
      <c r="R22" s="84">
        <v>3</v>
      </c>
      <c r="S22" s="82">
        <f t="shared" si="0"/>
        <v>12</v>
      </c>
      <c r="T22" s="84">
        <v>0</v>
      </c>
      <c r="U22" s="84">
        <v>0</v>
      </c>
      <c r="V22" s="84">
        <v>0</v>
      </c>
      <c r="W22" s="84">
        <v>0</v>
      </c>
      <c r="X22" s="84">
        <v>2</v>
      </c>
      <c r="Y22" s="84">
        <v>2</v>
      </c>
      <c r="Z22" s="84">
        <v>3</v>
      </c>
      <c r="AA22" s="84">
        <v>2</v>
      </c>
      <c r="AB22" s="82">
        <f t="shared" si="1"/>
        <v>9</v>
      </c>
      <c r="AC22" s="84">
        <v>0</v>
      </c>
      <c r="AD22" s="84">
        <v>0</v>
      </c>
      <c r="AE22" s="84">
        <v>0</v>
      </c>
      <c r="AF22" s="84">
        <v>0</v>
      </c>
      <c r="AG22" s="84">
        <v>1</v>
      </c>
      <c r="AH22" s="84">
        <v>2</v>
      </c>
      <c r="AI22" s="84">
        <v>4</v>
      </c>
      <c r="AJ22" s="84">
        <v>3</v>
      </c>
      <c r="AK22" s="82">
        <f t="shared" si="2"/>
        <v>10</v>
      </c>
      <c r="AL22" s="84">
        <v>0</v>
      </c>
      <c r="AM22" s="84">
        <v>0</v>
      </c>
      <c r="AN22" s="84">
        <v>0</v>
      </c>
      <c r="AO22" s="84">
        <v>0</v>
      </c>
      <c r="AP22" s="84">
        <v>0</v>
      </c>
      <c r="AQ22" s="84">
        <v>0</v>
      </c>
      <c r="AR22" s="84">
        <v>0</v>
      </c>
      <c r="AS22" s="84">
        <v>0</v>
      </c>
      <c r="AT22" s="79">
        <f t="shared" si="3"/>
        <v>0</v>
      </c>
      <c r="AU22" s="84">
        <v>0</v>
      </c>
      <c r="AV22" s="84">
        <v>0</v>
      </c>
      <c r="AW22" s="84">
        <v>0</v>
      </c>
      <c r="AX22" s="84">
        <v>0</v>
      </c>
      <c r="AY22" s="84">
        <v>0</v>
      </c>
      <c r="AZ22" s="84">
        <v>0</v>
      </c>
      <c r="BA22" s="84">
        <v>0</v>
      </c>
      <c r="BB22" s="84">
        <v>0</v>
      </c>
      <c r="BC22" s="79">
        <f t="shared" si="4"/>
        <v>0</v>
      </c>
      <c r="BD22" s="84">
        <v>0</v>
      </c>
      <c r="BE22" s="84">
        <v>0</v>
      </c>
      <c r="BF22" s="84">
        <v>0</v>
      </c>
      <c r="BG22" s="84">
        <v>0</v>
      </c>
      <c r="BH22" s="84">
        <v>0</v>
      </c>
      <c r="BI22" s="84">
        <v>0</v>
      </c>
      <c r="BJ22" s="84">
        <v>0</v>
      </c>
      <c r="BK22" s="84">
        <v>0</v>
      </c>
      <c r="BL22" s="79">
        <f t="shared" si="5"/>
        <v>0</v>
      </c>
      <c r="BM22" s="84">
        <v>0</v>
      </c>
      <c r="BN22" s="84">
        <v>0</v>
      </c>
      <c r="BO22" s="84">
        <v>0</v>
      </c>
      <c r="BP22" s="84">
        <v>0</v>
      </c>
      <c r="BQ22" s="84">
        <v>5</v>
      </c>
      <c r="BR22" s="84">
        <v>3</v>
      </c>
      <c r="BS22" s="84">
        <v>5</v>
      </c>
      <c r="BT22" s="84">
        <v>5</v>
      </c>
      <c r="BU22" s="79">
        <f t="shared" si="6"/>
        <v>18</v>
      </c>
      <c r="BV22" s="84">
        <v>0</v>
      </c>
      <c r="BW22" s="84">
        <v>0</v>
      </c>
      <c r="BX22" s="84">
        <v>0</v>
      </c>
      <c r="BY22" s="84">
        <v>0</v>
      </c>
      <c r="BZ22" s="84">
        <v>0</v>
      </c>
      <c r="CA22" s="84">
        <v>0</v>
      </c>
      <c r="CB22" s="84">
        <v>0</v>
      </c>
      <c r="CC22" s="84">
        <v>0</v>
      </c>
      <c r="CD22" s="79">
        <f t="shared" si="7"/>
        <v>0</v>
      </c>
      <c r="CE22" s="85">
        <v>0</v>
      </c>
      <c r="CF22" s="85">
        <v>0</v>
      </c>
      <c r="CG22" s="85">
        <v>0</v>
      </c>
      <c r="CH22" s="85">
        <v>0</v>
      </c>
      <c r="CI22" s="85">
        <v>0</v>
      </c>
      <c r="CJ22" s="85">
        <v>1</v>
      </c>
      <c r="CK22" s="85">
        <v>3</v>
      </c>
      <c r="CL22" s="85">
        <v>1</v>
      </c>
      <c r="CM22" s="80">
        <f t="shared" si="12"/>
        <v>5</v>
      </c>
      <c r="CN22" s="86">
        <v>0</v>
      </c>
      <c r="CO22" s="86">
        <v>0</v>
      </c>
      <c r="CP22" s="86">
        <v>0</v>
      </c>
      <c r="CQ22" s="86">
        <v>1</v>
      </c>
      <c r="CR22" s="86">
        <v>0</v>
      </c>
      <c r="CS22" s="86">
        <v>0</v>
      </c>
      <c r="CT22" s="86">
        <v>2</v>
      </c>
      <c r="CU22" s="86">
        <v>4</v>
      </c>
      <c r="CV22" s="80">
        <f t="shared" si="8"/>
        <v>7</v>
      </c>
      <c r="CW22" s="86">
        <v>0</v>
      </c>
      <c r="CX22" s="86">
        <v>0</v>
      </c>
      <c r="CY22" s="86">
        <v>0</v>
      </c>
      <c r="CZ22" s="86">
        <v>0</v>
      </c>
      <c r="DA22" s="86">
        <v>3</v>
      </c>
      <c r="DB22" s="86">
        <v>2</v>
      </c>
      <c r="DC22" s="86">
        <v>2</v>
      </c>
      <c r="DD22" s="86">
        <v>0</v>
      </c>
      <c r="DE22" s="80">
        <f t="shared" si="9"/>
        <v>7</v>
      </c>
      <c r="DF22" s="86">
        <v>0</v>
      </c>
      <c r="DG22" s="86">
        <v>0</v>
      </c>
      <c r="DH22" s="86">
        <v>0</v>
      </c>
      <c r="DI22" s="86">
        <v>0</v>
      </c>
      <c r="DJ22" s="86">
        <v>0</v>
      </c>
      <c r="DK22" s="86">
        <v>0</v>
      </c>
      <c r="DL22" s="86">
        <v>1</v>
      </c>
      <c r="DM22" s="86">
        <v>0</v>
      </c>
      <c r="DN22" s="80">
        <f t="shared" si="10"/>
        <v>1</v>
      </c>
      <c r="DO22" s="81">
        <f t="shared" si="11"/>
        <v>69</v>
      </c>
      <c r="DP22" s="77" t="s">
        <v>116</v>
      </c>
    </row>
    <row r="23" spans="2:120" ht="270" hidden="1" customHeight="1">
      <c r="B23" s="441" t="s">
        <v>78</v>
      </c>
      <c r="C23" s="441" t="s">
        <v>74</v>
      </c>
      <c r="D23" s="443" t="s">
        <v>82</v>
      </c>
      <c r="E23" s="444"/>
      <c r="F23" s="453" t="s">
        <v>89</v>
      </c>
      <c r="G23" s="435">
        <v>229</v>
      </c>
      <c r="H23" s="435" t="s">
        <v>90</v>
      </c>
      <c r="I23" s="457">
        <v>229</v>
      </c>
      <c r="J23" s="87" t="s">
        <v>65</v>
      </c>
      <c r="K23" s="449">
        <v>13</v>
      </c>
      <c r="L23" s="450"/>
      <c r="M23" s="450"/>
      <c r="N23" s="450"/>
      <c r="O23" s="450"/>
      <c r="P23" s="450"/>
      <c r="Q23" s="450"/>
      <c r="R23" s="451"/>
      <c r="S23" s="82">
        <f>SUM(K23:R23)</f>
        <v>13</v>
      </c>
      <c r="T23" s="449">
        <v>12</v>
      </c>
      <c r="U23" s="450"/>
      <c r="V23" s="450"/>
      <c r="W23" s="450"/>
      <c r="X23" s="450"/>
      <c r="Y23" s="450"/>
      <c r="Z23" s="450"/>
      <c r="AA23" s="451"/>
      <c r="AB23" s="82">
        <f>SUM(T23:AA23)</f>
        <v>12</v>
      </c>
      <c r="AC23" s="449">
        <v>19</v>
      </c>
      <c r="AD23" s="450"/>
      <c r="AE23" s="450"/>
      <c r="AF23" s="450"/>
      <c r="AG23" s="450"/>
      <c r="AH23" s="450"/>
      <c r="AI23" s="450"/>
      <c r="AJ23" s="451"/>
      <c r="AK23" s="82">
        <f>SUM(AC23:AJ23)</f>
        <v>19</v>
      </c>
      <c r="AL23" s="449">
        <v>17</v>
      </c>
      <c r="AM23" s="450"/>
      <c r="AN23" s="450"/>
      <c r="AO23" s="450"/>
      <c r="AP23" s="450"/>
      <c r="AQ23" s="450"/>
      <c r="AR23" s="450"/>
      <c r="AS23" s="451"/>
      <c r="AT23" s="79">
        <f>SUM(AL23:AS23)</f>
        <v>17</v>
      </c>
      <c r="AU23" s="449">
        <v>19</v>
      </c>
      <c r="AV23" s="450"/>
      <c r="AW23" s="450"/>
      <c r="AX23" s="450"/>
      <c r="AY23" s="450"/>
      <c r="AZ23" s="450"/>
      <c r="BA23" s="450"/>
      <c r="BB23" s="451"/>
      <c r="BC23" s="79">
        <f>SUM(AU23:BB23)</f>
        <v>19</v>
      </c>
      <c r="BD23" s="449">
        <v>20</v>
      </c>
      <c r="BE23" s="450"/>
      <c r="BF23" s="450"/>
      <c r="BG23" s="450"/>
      <c r="BH23" s="450"/>
      <c r="BI23" s="450"/>
      <c r="BJ23" s="450"/>
      <c r="BK23" s="451"/>
      <c r="BL23" s="79">
        <f>SUM(BD23:BK23)</f>
        <v>20</v>
      </c>
      <c r="BM23" s="449">
        <v>20</v>
      </c>
      <c r="BN23" s="450"/>
      <c r="BO23" s="450"/>
      <c r="BP23" s="450"/>
      <c r="BQ23" s="450"/>
      <c r="BR23" s="450"/>
      <c r="BS23" s="450"/>
      <c r="BT23" s="451"/>
      <c r="BU23" s="79">
        <f>SUM(BM23:BT23)</f>
        <v>20</v>
      </c>
      <c r="BV23" s="449">
        <v>23</v>
      </c>
      <c r="BW23" s="450"/>
      <c r="BX23" s="450"/>
      <c r="BY23" s="450"/>
      <c r="BZ23" s="450"/>
      <c r="CA23" s="450"/>
      <c r="CB23" s="450"/>
      <c r="CC23" s="451"/>
      <c r="CD23" s="79">
        <f>SUM(BV23:CC23)</f>
        <v>23</v>
      </c>
      <c r="CE23" s="452">
        <v>25</v>
      </c>
      <c r="CF23" s="452"/>
      <c r="CG23" s="452"/>
      <c r="CH23" s="452"/>
      <c r="CI23" s="452"/>
      <c r="CJ23" s="452"/>
      <c r="CK23" s="452"/>
      <c r="CL23" s="452"/>
      <c r="CM23" s="80">
        <f t="shared" si="12"/>
        <v>25</v>
      </c>
      <c r="CN23" s="452">
        <v>21</v>
      </c>
      <c r="CO23" s="452"/>
      <c r="CP23" s="452"/>
      <c r="CQ23" s="452"/>
      <c r="CR23" s="452"/>
      <c r="CS23" s="452"/>
      <c r="CT23" s="452"/>
      <c r="CU23" s="452"/>
      <c r="CV23" s="80">
        <f>SUM(CN23:CU23)</f>
        <v>21</v>
      </c>
      <c r="CW23" s="452">
        <v>20</v>
      </c>
      <c r="CX23" s="452"/>
      <c r="CY23" s="452"/>
      <c r="CZ23" s="452"/>
      <c r="DA23" s="452"/>
      <c r="DB23" s="452"/>
      <c r="DC23" s="452"/>
      <c r="DD23" s="452"/>
      <c r="DE23" s="80">
        <f>SUM(CW23:DD23)</f>
        <v>20</v>
      </c>
      <c r="DF23" s="452">
        <v>20</v>
      </c>
      <c r="DG23" s="452"/>
      <c r="DH23" s="452"/>
      <c r="DI23" s="452"/>
      <c r="DJ23" s="452"/>
      <c r="DK23" s="452"/>
      <c r="DL23" s="452"/>
      <c r="DM23" s="452"/>
      <c r="DN23" s="80">
        <f>SUM(DF23:DM23)</f>
        <v>20</v>
      </c>
      <c r="DO23" s="81">
        <f t="shared" si="11"/>
        <v>229</v>
      </c>
      <c r="DP23" s="77"/>
    </row>
    <row r="24" spans="2:120" ht="165" customHeight="1">
      <c r="B24" s="442"/>
      <c r="C24" s="442"/>
      <c r="D24" s="445"/>
      <c r="E24" s="446"/>
      <c r="F24" s="454"/>
      <c r="G24" s="435"/>
      <c r="H24" s="435"/>
      <c r="I24" s="447"/>
      <c r="J24" s="78" t="s">
        <v>66</v>
      </c>
      <c r="K24" s="84">
        <v>0</v>
      </c>
      <c r="L24" s="84">
        <v>0</v>
      </c>
      <c r="M24" s="84">
        <v>4</v>
      </c>
      <c r="N24" s="84">
        <v>8</v>
      </c>
      <c r="O24" s="84">
        <v>0</v>
      </c>
      <c r="P24" s="84">
        <v>0</v>
      </c>
      <c r="Q24" s="84">
        <v>1</v>
      </c>
      <c r="R24" s="84">
        <v>0</v>
      </c>
      <c r="S24" s="82">
        <f t="shared" si="0"/>
        <v>13</v>
      </c>
      <c r="T24" s="84">
        <v>0</v>
      </c>
      <c r="U24" s="84">
        <v>0</v>
      </c>
      <c r="V24" s="84">
        <v>3</v>
      </c>
      <c r="W24" s="84">
        <v>6</v>
      </c>
      <c r="X24" s="84">
        <v>1</v>
      </c>
      <c r="Y24" s="84">
        <v>2</v>
      </c>
      <c r="Z24" s="84">
        <v>0</v>
      </c>
      <c r="AA24" s="84">
        <v>0</v>
      </c>
      <c r="AB24" s="82">
        <f t="shared" si="1"/>
        <v>12</v>
      </c>
      <c r="AC24" s="84">
        <v>3</v>
      </c>
      <c r="AD24" s="84">
        <v>2</v>
      </c>
      <c r="AE24" s="84">
        <v>2</v>
      </c>
      <c r="AF24" s="84">
        <v>1</v>
      </c>
      <c r="AG24" s="84">
        <v>0</v>
      </c>
      <c r="AH24" s="84">
        <v>0</v>
      </c>
      <c r="AI24" s="84">
        <v>1</v>
      </c>
      <c r="AJ24" s="84">
        <v>0</v>
      </c>
      <c r="AK24" s="82">
        <f t="shared" si="2"/>
        <v>9</v>
      </c>
      <c r="AL24" s="84">
        <v>0</v>
      </c>
      <c r="AM24" s="84">
        <v>0</v>
      </c>
      <c r="AN24" s="84">
        <v>0</v>
      </c>
      <c r="AO24" s="84">
        <v>0</v>
      </c>
      <c r="AP24" s="84">
        <v>0</v>
      </c>
      <c r="AQ24" s="84">
        <v>0</v>
      </c>
      <c r="AR24" s="84">
        <v>0</v>
      </c>
      <c r="AS24" s="84">
        <v>0</v>
      </c>
      <c r="AT24" s="79">
        <f t="shared" si="3"/>
        <v>0</v>
      </c>
      <c r="AU24" s="84">
        <v>0</v>
      </c>
      <c r="AV24" s="84">
        <v>0</v>
      </c>
      <c r="AW24" s="84">
        <v>0</v>
      </c>
      <c r="AX24" s="84">
        <v>0</v>
      </c>
      <c r="AY24" s="84">
        <v>0</v>
      </c>
      <c r="AZ24" s="84">
        <v>0</v>
      </c>
      <c r="BA24" s="84">
        <v>0</v>
      </c>
      <c r="BB24" s="84">
        <v>0</v>
      </c>
      <c r="BC24" s="79">
        <f t="shared" si="4"/>
        <v>0</v>
      </c>
      <c r="BD24" s="84">
        <v>0</v>
      </c>
      <c r="BE24" s="84">
        <v>0</v>
      </c>
      <c r="BF24" s="84">
        <v>0</v>
      </c>
      <c r="BG24" s="84">
        <v>0</v>
      </c>
      <c r="BH24" s="84">
        <v>0</v>
      </c>
      <c r="BI24" s="84">
        <v>0</v>
      </c>
      <c r="BJ24" s="84">
        <v>0</v>
      </c>
      <c r="BK24" s="84">
        <v>0</v>
      </c>
      <c r="BL24" s="79">
        <f t="shared" si="5"/>
        <v>0</v>
      </c>
      <c r="BM24" s="84">
        <v>5</v>
      </c>
      <c r="BN24" s="84">
        <v>6</v>
      </c>
      <c r="BO24" s="84">
        <v>0</v>
      </c>
      <c r="BP24" s="84">
        <v>0</v>
      </c>
      <c r="BQ24" s="84">
        <v>0</v>
      </c>
      <c r="BR24" s="84">
        <v>0</v>
      </c>
      <c r="BS24" s="84">
        <v>2</v>
      </c>
      <c r="BT24" s="84">
        <v>2</v>
      </c>
      <c r="BU24" s="79">
        <f t="shared" si="6"/>
        <v>15</v>
      </c>
      <c r="BV24" s="84">
        <v>0</v>
      </c>
      <c r="BW24" s="84">
        <v>0</v>
      </c>
      <c r="BX24" s="84">
        <v>3</v>
      </c>
      <c r="BY24" s="84">
        <v>8</v>
      </c>
      <c r="BZ24" s="84">
        <v>3</v>
      </c>
      <c r="CA24" s="84">
        <v>3</v>
      </c>
      <c r="CB24" s="84">
        <v>0</v>
      </c>
      <c r="CC24" s="84">
        <v>2</v>
      </c>
      <c r="CD24" s="79">
        <f t="shared" si="7"/>
        <v>19</v>
      </c>
      <c r="CE24" s="85">
        <v>0</v>
      </c>
      <c r="CF24" s="85">
        <v>2</v>
      </c>
      <c r="CG24" s="85">
        <v>12</v>
      </c>
      <c r="CH24" s="85">
        <v>5</v>
      </c>
      <c r="CI24" s="85">
        <v>0</v>
      </c>
      <c r="CJ24" s="85">
        <v>1</v>
      </c>
      <c r="CK24" s="85">
        <v>1</v>
      </c>
      <c r="CL24" s="85">
        <v>0</v>
      </c>
      <c r="CM24" s="80">
        <f t="shared" si="12"/>
        <v>21</v>
      </c>
      <c r="CN24" s="86">
        <v>5</v>
      </c>
      <c r="CO24" s="86">
        <v>3</v>
      </c>
      <c r="CP24" s="86">
        <v>0</v>
      </c>
      <c r="CQ24" s="86">
        <v>1</v>
      </c>
      <c r="CR24" s="86">
        <v>1</v>
      </c>
      <c r="CS24" s="86">
        <v>0</v>
      </c>
      <c r="CT24" s="86">
        <v>0</v>
      </c>
      <c r="CU24" s="86">
        <v>0</v>
      </c>
      <c r="CV24" s="80">
        <f t="shared" si="8"/>
        <v>10</v>
      </c>
      <c r="CW24" s="86">
        <v>1</v>
      </c>
      <c r="CX24" s="86">
        <v>1</v>
      </c>
      <c r="CY24" s="86">
        <v>10</v>
      </c>
      <c r="CZ24" s="86">
        <v>10</v>
      </c>
      <c r="DA24" s="86">
        <v>2</v>
      </c>
      <c r="DB24" s="86">
        <v>0</v>
      </c>
      <c r="DC24" s="86">
        <v>1</v>
      </c>
      <c r="DD24" s="86">
        <v>0</v>
      </c>
      <c r="DE24" s="80">
        <f t="shared" si="9"/>
        <v>25</v>
      </c>
      <c r="DF24" s="86">
        <v>6</v>
      </c>
      <c r="DG24" s="86">
        <v>6</v>
      </c>
      <c r="DH24" s="86">
        <v>2</v>
      </c>
      <c r="DI24" s="86">
        <v>1</v>
      </c>
      <c r="DJ24" s="86">
        <v>0</v>
      </c>
      <c r="DK24" s="86">
        <v>0</v>
      </c>
      <c r="DL24" s="86">
        <v>1</v>
      </c>
      <c r="DM24" s="86">
        <v>0</v>
      </c>
      <c r="DN24" s="80">
        <f t="shared" si="10"/>
        <v>16</v>
      </c>
      <c r="DO24" s="81">
        <f t="shared" si="11"/>
        <v>140</v>
      </c>
      <c r="DP24" s="77" t="s">
        <v>116</v>
      </c>
    </row>
    <row r="25" spans="2:120" ht="165" hidden="1" customHeight="1">
      <c r="B25" s="453" t="s">
        <v>78</v>
      </c>
      <c r="C25" s="441" t="s">
        <v>74</v>
      </c>
      <c r="D25" s="443" t="s">
        <v>82</v>
      </c>
      <c r="E25" s="444"/>
      <c r="F25" s="453" t="s">
        <v>85</v>
      </c>
      <c r="G25" s="441">
        <v>46</v>
      </c>
      <c r="H25" s="441" t="s">
        <v>91</v>
      </c>
      <c r="I25" s="456">
        <v>46</v>
      </c>
      <c r="J25" s="87" t="s">
        <v>65</v>
      </c>
      <c r="K25" s="449">
        <v>3</v>
      </c>
      <c r="L25" s="450"/>
      <c r="M25" s="450"/>
      <c r="N25" s="450"/>
      <c r="O25" s="450"/>
      <c r="P25" s="450"/>
      <c r="Q25" s="450"/>
      <c r="R25" s="451"/>
      <c r="S25" s="82">
        <f>SUM(K25:R25)</f>
        <v>3</v>
      </c>
      <c r="T25" s="449">
        <v>4</v>
      </c>
      <c r="U25" s="450"/>
      <c r="V25" s="450"/>
      <c r="W25" s="450"/>
      <c r="X25" s="450"/>
      <c r="Y25" s="450"/>
      <c r="Z25" s="450"/>
      <c r="AA25" s="451"/>
      <c r="AB25" s="82">
        <f>SUM(T25:AA25)</f>
        <v>4</v>
      </c>
      <c r="AC25" s="449">
        <v>4</v>
      </c>
      <c r="AD25" s="450"/>
      <c r="AE25" s="450"/>
      <c r="AF25" s="450"/>
      <c r="AG25" s="450"/>
      <c r="AH25" s="450"/>
      <c r="AI25" s="450"/>
      <c r="AJ25" s="451"/>
      <c r="AK25" s="82">
        <f>SUM(AC25:AJ25)</f>
        <v>4</v>
      </c>
      <c r="AL25" s="449">
        <v>4</v>
      </c>
      <c r="AM25" s="450"/>
      <c r="AN25" s="450"/>
      <c r="AO25" s="450"/>
      <c r="AP25" s="450"/>
      <c r="AQ25" s="450"/>
      <c r="AR25" s="450"/>
      <c r="AS25" s="451"/>
      <c r="AT25" s="79">
        <f>SUM(AL25:AS25)</f>
        <v>4</v>
      </c>
      <c r="AU25" s="449">
        <v>4</v>
      </c>
      <c r="AV25" s="450"/>
      <c r="AW25" s="450"/>
      <c r="AX25" s="450"/>
      <c r="AY25" s="450"/>
      <c r="AZ25" s="450"/>
      <c r="BA25" s="450"/>
      <c r="BB25" s="451"/>
      <c r="BC25" s="79">
        <f>SUM(AU25:BB25)</f>
        <v>4</v>
      </c>
      <c r="BD25" s="449">
        <v>4</v>
      </c>
      <c r="BE25" s="450"/>
      <c r="BF25" s="450"/>
      <c r="BG25" s="450"/>
      <c r="BH25" s="450"/>
      <c r="BI25" s="450"/>
      <c r="BJ25" s="450"/>
      <c r="BK25" s="451"/>
      <c r="BL25" s="79">
        <f>SUM(BD25:BK25)</f>
        <v>4</v>
      </c>
      <c r="BM25" s="449">
        <v>5</v>
      </c>
      <c r="BN25" s="450"/>
      <c r="BO25" s="450"/>
      <c r="BP25" s="450"/>
      <c r="BQ25" s="450"/>
      <c r="BR25" s="450"/>
      <c r="BS25" s="450"/>
      <c r="BT25" s="451"/>
      <c r="BU25" s="79">
        <f>SUM(BM25:BT25)</f>
        <v>5</v>
      </c>
      <c r="BV25" s="449">
        <v>5</v>
      </c>
      <c r="BW25" s="450"/>
      <c r="BX25" s="450"/>
      <c r="BY25" s="450"/>
      <c r="BZ25" s="450"/>
      <c r="CA25" s="450"/>
      <c r="CB25" s="450"/>
      <c r="CC25" s="451"/>
      <c r="CD25" s="79">
        <f>SUM(BV25:CC25)</f>
        <v>5</v>
      </c>
      <c r="CE25" s="452">
        <v>5</v>
      </c>
      <c r="CF25" s="452"/>
      <c r="CG25" s="452"/>
      <c r="CH25" s="452"/>
      <c r="CI25" s="452"/>
      <c r="CJ25" s="452"/>
      <c r="CK25" s="452"/>
      <c r="CL25" s="452"/>
      <c r="CM25" s="80">
        <f t="shared" si="12"/>
        <v>5</v>
      </c>
      <c r="CN25" s="452">
        <v>4</v>
      </c>
      <c r="CO25" s="452"/>
      <c r="CP25" s="452"/>
      <c r="CQ25" s="452"/>
      <c r="CR25" s="452"/>
      <c r="CS25" s="452"/>
      <c r="CT25" s="452"/>
      <c r="CU25" s="452"/>
      <c r="CV25" s="80">
        <f>SUM(CN25:CU25)</f>
        <v>4</v>
      </c>
      <c r="CW25" s="452">
        <v>3</v>
      </c>
      <c r="CX25" s="452"/>
      <c r="CY25" s="452"/>
      <c r="CZ25" s="452"/>
      <c r="DA25" s="452"/>
      <c r="DB25" s="452"/>
      <c r="DC25" s="452"/>
      <c r="DD25" s="452"/>
      <c r="DE25" s="80">
        <f>SUM(CW25:DD25)</f>
        <v>3</v>
      </c>
      <c r="DF25" s="452">
        <v>1</v>
      </c>
      <c r="DG25" s="452"/>
      <c r="DH25" s="452"/>
      <c r="DI25" s="452"/>
      <c r="DJ25" s="452"/>
      <c r="DK25" s="452"/>
      <c r="DL25" s="452"/>
      <c r="DM25" s="452"/>
      <c r="DN25" s="80">
        <f>SUM(DF25:DM25)</f>
        <v>1</v>
      </c>
      <c r="DO25" s="81">
        <f t="shared" si="11"/>
        <v>46</v>
      </c>
      <c r="DP25" s="77"/>
    </row>
    <row r="26" spans="2:120" ht="165" customHeight="1">
      <c r="B26" s="454"/>
      <c r="C26" s="442"/>
      <c r="D26" s="445"/>
      <c r="E26" s="446"/>
      <c r="F26" s="454"/>
      <c r="G26" s="442"/>
      <c r="H26" s="442"/>
      <c r="I26" s="457"/>
      <c r="J26" s="78" t="s">
        <v>66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2">
        <f t="shared" si="0"/>
        <v>0</v>
      </c>
      <c r="T26" s="84">
        <v>0</v>
      </c>
      <c r="U26" s="84">
        <v>0</v>
      </c>
      <c r="V26" s="84">
        <v>0</v>
      </c>
      <c r="W26" s="84">
        <v>0</v>
      </c>
      <c r="X26" s="84">
        <v>0</v>
      </c>
      <c r="Y26" s="84">
        <v>0</v>
      </c>
      <c r="Z26" s="84">
        <v>1</v>
      </c>
      <c r="AA26" s="84">
        <v>0</v>
      </c>
      <c r="AB26" s="82">
        <f t="shared" si="1"/>
        <v>1</v>
      </c>
      <c r="AC26" s="84">
        <v>0</v>
      </c>
      <c r="AD26" s="84">
        <v>0</v>
      </c>
      <c r="AE26" s="84">
        <v>0</v>
      </c>
      <c r="AF26" s="84">
        <v>0</v>
      </c>
      <c r="AG26" s="84">
        <v>0</v>
      </c>
      <c r="AH26" s="84">
        <v>0</v>
      </c>
      <c r="AI26" s="84">
        <v>0</v>
      </c>
      <c r="AJ26" s="84">
        <v>0</v>
      </c>
      <c r="AK26" s="82">
        <f t="shared" si="2"/>
        <v>0</v>
      </c>
      <c r="AL26" s="84">
        <v>0</v>
      </c>
      <c r="AM26" s="84">
        <v>0</v>
      </c>
      <c r="AN26" s="84">
        <v>0</v>
      </c>
      <c r="AO26" s="84">
        <v>0</v>
      </c>
      <c r="AP26" s="84">
        <v>0</v>
      </c>
      <c r="AQ26" s="84">
        <v>0</v>
      </c>
      <c r="AR26" s="84">
        <v>0</v>
      </c>
      <c r="AS26" s="84">
        <v>0</v>
      </c>
      <c r="AT26" s="79">
        <f t="shared" si="3"/>
        <v>0</v>
      </c>
      <c r="AU26" s="84">
        <v>0</v>
      </c>
      <c r="AV26" s="84">
        <v>0</v>
      </c>
      <c r="AW26" s="84">
        <v>0</v>
      </c>
      <c r="AX26" s="84">
        <v>0</v>
      </c>
      <c r="AY26" s="84">
        <v>0</v>
      </c>
      <c r="AZ26" s="84">
        <v>0</v>
      </c>
      <c r="BA26" s="84">
        <v>0</v>
      </c>
      <c r="BB26" s="84">
        <v>0</v>
      </c>
      <c r="BC26" s="79">
        <f t="shared" si="4"/>
        <v>0</v>
      </c>
      <c r="BD26" s="84">
        <v>0</v>
      </c>
      <c r="BE26" s="84">
        <v>0</v>
      </c>
      <c r="BF26" s="84">
        <v>0</v>
      </c>
      <c r="BG26" s="84">
        <v>0</v>
      </c>
      <c r="BH26" s="84">
        <v>0</v>
      </c>
      <c r="BI26" s="84">
        <v>0</v>
      </c>
      <c r="BJ26" s="84">
        <v>0</v>
      </c>
      <c r="BK26" s="84">
        <v>0</v>
      </c>
      <c r="BL26" s="79">
        <f t="shared" si="5"/>
        <v>0</v>
      </c>
      <c r="BM26" s="84">
        <v>0</v>
      </c>
      <c r="BN26" s="84">
        <v>0</v>
      </c>
      <c r="BO26" s="84">
        <v>0</v>
      </c>
      <c r="BP26" s="84">
        <v>0</v>
      </c>
      <c r="BQ26" s="84">
        <v>0</v>
      </c>
      <c r="BR26" s="84">
        <v>0</v>
      </c>
      <c r="BS26" s="84">
        <v>0</v>
      </c>
      <c r="BT26" s="84">
        <v>0</v>
      </c>
      <c r="BU26" s="79">
        <f t="shared" si="6"/>
        <v>0</v>
      </c>
      <c r="BV26" s="84">
        <v>0</v>
      </c>
      <c r="BW26" s="84">
        <v>0</v>
      </c>
      <c r="BX26" s="84">
        <v>0</v>
      </c>
      <c r="BY26" s="84">
        <v>0</v>
      </c>
      <c r="BZ26" s="84">
        <v>0</v>
      </c>
      <c r="CA26" s="84">
        <v>0</v>
      </c>
      <c r="CB26" s="84">
        <v>0</v>
      </c>
      <c r="CC26" s="84">
        <v>0</v>
      </c>
      <c r="CD26" s="79">
        <f t="shared" si="7"/>
        <v>0</v>
      </c>
      <c r="CE26" s="85">
        <v>0</v>
      </c>
      <c r="CF26" s="85">
        <v>0</v>
      </c>
      <c r="CG26" s="85">
        <v>0</v>
      </c>
      <c r="CH26" s="85">
        <v>0</v>
      </c>
      <c r="CI26" s="85">
        <v>0</v>
      </c>
      <c r="CJ26" s="85">
        <v>0</v>
      </c>
      <c r="CK26" s="85">
        <v>0</v>
      </c>
      <c r="CL26" s="85">
        <v>0</v>
      </c>
      <c r="CM26" s="80">
        <f t="shared" si="12"/>
        <v>0</v>
      </c>
      <c r="CN26" s="86">
        <v>0</v>
      </c>
      <c r="CO26" s="86">
        <v>0</v>
      </c>
      <c r="CP26" s="86">
        <v>0</v>
      </c>
      <c r="CQ26" s="86">
        <v>0</v>
      </c>
      <c r="CR26" s="86">
        <v>0</v>
      </c>
      <c r="CS26" s="86">
        <v>0</v>
      </c>
      <c r="CT26" s="86">
        <v>0</v>
      </c>
      <c r="CU26" s="86">
        <v>0</v>
      </c>
      <c r="CV26" s="80">
        <f t="shared" si="8"/>
        <v>0</v>
      </c>
      <c r="CW26" s="86">
        <v>0</v>
      </c>
      <c r="CX26" s="86">
        <v>0</v>
      </c>
      <c r="CY26" s="86">
        <v>0</v>
      </c>
      <c r="CZ26" s="86">
        <v>0</v>
      </c>
      <c r="DA26" s="86">
        <v>0</v>
      </c>
      <c r="DB26" s="86">
        <v>0</v>
      </c>
      <c r="DC26" s="86">
        <v>0</v>
      </c>
      <c r="DD26" s="86">
        <v>0</v>
      </c>
      <c r="DE26" s="80">
        <f t="shared" si="9"/>
        <v>0</v>
      </c>
      <c r="DF26" s="86">
        <v>0</v>
      </c>
      <c r="DG26" s="86">
        <v>0</v>
      </c>
      <c r="DH26" s="86">
        <v>0</v>
      </c>
      <c r="DI26" s="86">
        <v>0</v>
      </c>
      <c r="DJ26" s="86">
        <v>0</v>
      </c>
      <c r="DK26" s="86">
        <v>0</v>
      </c>
      <c r="DL26" s="86">
        <v>0</v>
      </c>
      <c r="DM26" s="86">
        <v>0</v>
      </c>
      <c r="DN26" s="80">
        <f t="shared" si="10"/>
        <v>0</v>
      </c>
      <c r="DO26" s="81">
        <f t="shared" si="11"/>
        <v>1</v>
      </c>
      <c r="DP26" s="77" t="s">
        <v>116</v>
      </c>
    </row>
    <row r="27" spans="2:120" ht="165" hidden="1" customHeight="1">
      <c r="B27" s="453" t="s">
        <v>78</v>
      </c>
      <c r="C27" s="441" t="s">
        <v>74</v>
      </c>
      <c r="D27" s="443" t="s">
        <v>82</v>
      </c>
      <c r="E27" s="444"/>
      <c r="F27" s="453" t="s">
        <v>92</v>
      </c>
      <c r="G27" s="441">
        <v>156</v>
      </c>
      <c r="H27" s="441" t="s">
        <v>93</v>
      </c>
      <c r="I27" s="456">
        <v>156</v>
      </c>
      <c r="J27" s="87" t="s">
        <v>65</v>
      </c>
      <c r="K27" s="449">
        <v>3</v>
      </c>
      <c r="L27" s="450"/>
      <c r="M27" s="450"/>
      <c r="N27" s="450"/>
      <c r="O27" s="450"/>
      <c r="P27" s="450"/>
      <c r="Q27" s="450"/>
      <c r="R27" s="451"/>
      <c r="S27" s="82">
        <f>SUM(K27:R27)</f>
        <v>3</v>
      </c>
      <c r="T27" s="449">
        <v>5</v>
      </c>
      <c r="U27" s="450"/>
      <c r="V27" s="450"/>
      <c r="W27" s="450"/>
      <c r="X27" s="450"/>
      <c r="Y27" s="450"/>
      <c r="Z27" s="450"/>
      <c r="AA27" s="451"/>
      <c r="AB27" s="82">
        <f>SUM(T27:AA27)</f>
        <v>5</v>
      </c>
      <c r="AC27" s="449">
        <v>8</v>
      </c>
      <c r="AD27" s="450"/>
      <c r="AE27" s="450"/>
      <c r="AF27" s="450"/>
      <c r="AG27" s="450"/>
      <c r="AH27" s="450"/>
      <c r="AI27" s="450"/>
      <c r="AJ27" s="451"/>
      <c r="AK27" s="82">
        <f>SUM(AC27:AJ27)</f>
        <v>8</v>
      </c>
      <c r="AL27" s="449">
        <v>13</v>
      </c>
      <c r="AM27" s="450"/>
      <c r="AN27" s="450"/>
      <c r="AO27" s="450"/>
      <c r="AP27" s="450"/>
      <c r="AQ27" s="450"/>
      <c r="AR27" s="450"/>
      <c r="AS27" s="451"/>
      <c r="AT27" s="79">
        <f>SUM(AL27:AS27)</f>
        <v>13</v>
      </c>
      <c r="AU27" s="449">
        <v>10</v>
      </c>
      <c r="AV27" s="450"/>
      <c r="AW27" s="450"/>
      <c r="AX27" s="450"/>
      <c r="AY27" s="450"/>
      <c r="AZ27" s="450"/>
      <c r="BA27" s="450"/>
      <c r="BB27" s="451"/>
      <c r="BC27" s="79">
        <f>SUM(AU27:BB27)</f>
        <v>10</v>
      </c>
      <c r="BD27" s="449">
        <v>12</v>
      </c>
      <c r="BE27" s="450"/>
      <c r="BF27" s="450"/>
      <c r="BG27" s="450"/>
      <c r="BH27" s="450"/>
      <c r="BI27" s="450"/>
      <c r="BJ27" s="450"/>
      <c r="BK27" s="451"/>
      <c r="BL27" s="79">
        <f>SUM(BD27:BK27)</f>
        <v>12</v>
      </c>
      <c r="BM27" s="449">
        <v>15</v>
      </c>
      <c r="BN27" s="450"/>
      <c r="BO27" s="450"/>
      <c r="BP27" s="450"/>
      <c r="BQ27" s="450"/>
      <c r="BR27" s="450"/>
      <c r="BS27" s="450"/>
      <c r="BT27" s="451"/>
      <c r="BU27" s="79">
        <f>SUM(BM27:BT27)</f>
        <v>15</v>
      </c>
      <c r="BV27" s="449">
        <v>25</v>
      </c>
      <c r="BW27" s="450"/>
      <c r="BX27" s="450"/>
      <c r="BY27" s="450"/>
      <c r="BZ27" s="450"/>
      <c r="CA27" s="450"/>
      <c r="CB27" s="450"/>
      <c r="CC27" s="451"/>
      <c r="CD27" s="79">
        <f>SUM(BV27:CC27)</f>
        <v>25</v>
      </c>
      <c r="CE27" s="452">
        <v>20</v>
      </c>
      <c r="CF27" s="452"/>
      <c r="CG27" s="452"/>
      <c r="CH27" s="452"/>
      <c r="CI27" s="452"/>
      <c r="CJ27" s="452"/>
      <c r="CK27" s="452"/>
      <c r="CL27" s="452"/>
      <c r="CM27" s="80">
        <f t="shared" si="12"/>
        <v>20</v>
      </c>
      <c r="CN27" s="452">
        <v>20</v>
      </c>
      <c r="CO27" s="452"/>
      <c r="CP27" s="452"/>
      <c r="CQ27" s="452"/>
      <c r="CR27" s="452"/>
      <c r="CS27" s="452"/>
      <c r="CT27" s="452"/>
      <c r="CU27" s="452"/>
      <c r="CV27" s="80">
        <f>SUM(CN27:CU27)</f>
        <v>20</v>
      </c>
      <c r="CW27" s="452">
        <v>15</v>
      </c>
      <c r="CX27" s="452"/>
      <c r="CY27" s="452"/>
      <c r="CZ27" s="452"/>
      <c r="DA27" s="452"/>
      <c r="DB27" s="452"/>
      <c r="DC27" s="452"/>
      <c r="DD27" s="452"/>
      <c r="DE27" s="80">
        <f>SUM(CW27:DD27)</f>
        <v>15</v>
      </c>
      <c r="DF27" s="452">
        <v>10</v>
      </c>
      <c r="DG27" s="452"/>
      <c r="DH27" s="452"/>
      <c r="DI27" s="452"/>
      <c r="DJ27" s="452"/>
      <c r="DK27" s="452"/>
      <c r="DL27" s="452"/>
      <c r="DM27" s="452"/>
      <c r="DN27" s="80">
        <f>SUM(DF27:DM27)</f>
        <v>10</v>
      </c>
      <c r="DO27" s="81">
        <f t="shared" si="11"/>
        <v>156</v>
      </c>
      <c r="DP27" s="77"/>
    </row>
    <row r="28" spans="2:120" ht="165" customHeight="1">
      <c r="B28" s="454"/>
      <c r="C28" s="442"/>
      <c r="D28" s="445"/>
      <c r="E28" s="446"/>
      <c r="F28" s="454"/>
      <c r="G28" s="442"/>
      <c r="H28" s="442" t="s">
        <v>94</v>
      </c>
      <c r="I28" s="457"/>
      <c r="J28" s="78" t="s">
        <v>66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2">
        <f t="shared" si="0"/>
        <v>0</v>
      </c>
      <c r="T28" s="84">
        <v>0</v>
      </c>
      <c r="U28" s="84">
        <v>0</v>
      </c>
      <c r="V28" s="84">
        <v>0</v>
      </c>
      <c r="W28" s="84">
        <v>0</v>
      </c>
      <c r="X28" s="84">
        <v>0</v>
      </c>
      <c r="Y28" s="84">
        <v>0</v>
      </c>
      <c r="Z28" s="84">
        <v>3</v>
      </c>
      <c r="AA28" s="84">
        <v>0</v>
      </c>
      <c r="AB28" s="82">
        <f t="shared" si="1"/>
        <v>3</v>
      </c>
      <c r="AC28" s="84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4</v>
      </c>
      <c r="AJ28" s="84">
        <v>3</v>
      </c>
      <c r="AK28" s="82">
        <f t="shared" si="2"/>
        <v>7</v>
      </c>
      <c r="AL28" s="84">
        <v>0</v>
      </c>
      <c r="AM28" s="84">
        <v>0</v>
      </c>
      <c r="AN28" s="84">
        <v>0</v>
      </c>
      <c r="AO28" s="84">
        <v>0</v>
      </c>
      <c r="AP28" s="84">
        <v>0</v>
      </c>
      <c r="AQ28" s="84">
        <v>0</v>
      </c>
      <c r="AR28" s="84">
        <v>0</v>
      </c>
      <c r="AS28" s="84">
        <v>0</v>
      </c>
      <c r="AT28" s="79">
        <f t="shared" si="3"/>
        <v>0</v>
      </c>
      <c r="AU28" s="84">
        <v>0</v>
      </c>
      <c r="AV28" s="84">
        <v>0</v>
      </c>
      <c r="AW28" s="84">
        <v>0</v>
      </c>
      <c r="AX28" s="84">
        <v>0</v>
      </c>
      <c r="AY28" s="84">
        <v>0</v>
      </c>
      <c r="AZ28" s="84">
        <v>0</v>
      </c>
      <c r="BA28" s="84">
        <v>0</v>
      </c>
      <c r="BB28" s="84">
        <v>0</v>
      </c>
      <c r="BC28" s="79">
        <f t="shared" si="4"/>
        <v>0</v>
      </c>
      <c r="BD28" s="84">
        <v>0</v>
      </c>
      <c r="BE28" s="84">
        <v>0</v>
      </c>
      <c r="BF28" s="84">
        <v>0</v>
      </c>
      <c r="BG28" s="84">
        <v>0</v>
      </c>
      <c r="BH28" s="84">
        <v>0</v>
      </c>
      <c r="BI28" s="84">
        <v>0</v>
      </c>
      <c r="BJ28" s="84">
        <v>0</v>
      </c>
      <c r="BK28" s="84">
        <v>0</v>
      </c>
      <c r="BL28" s="79">
        <f t="shared" si="5"/>
        <v>0</v>
      </c>
      <c r="BM28" s="84">
        <v>0</v>
      </c>
      <c r="BN28" s="84">
        <v>0</v>
      </c>
      <c r="BO28" s="84">
        <v>0</v>
      </c>
      <c r="BP28" s="84">
        <v>0</v>
      </c>
      <c r="BQ28" s="84">
        <v>0</v>
      </c>
      <c r="BR28" s="84">
        <v>0</v>
      </c>
      <c r="BS28" s="84">
        <v>5</v>
      </c>
      <c r="BT28" s="84">
        <v>0</v>
      </c>
      <c r="BU28" s="79">
        <f t="shared" si="6"/>
        <v>5</v>
      </c>
      <c r="BV28" s="84">
        <v>0</v>
      </c>
      <c r="BW28" s="84">
        <v>0</v>
      </c>
      <c r="BX28" s="84">
        <v>0</v>
      </c>
      <c r="BY28" s="84">
        <v>0</v>
      </c>
      <c r="BZ28" s="84">
        <v>0</v>
      </c>
      <c r="CA28" s="84">
        <v>0</v>
      </c>
      <c r="CB28" s="84">
        <v>3</v>
      </c>
      <c r="CC28" s="84">
        <v>2</v>
      </c>
      <c r="CD28" s="79">
        <f t="shared" si="7"/>
        <v>5</v>
      </c>
      <c r="CE28" s="85">
        <v>0</v>
      </c>
      <c r="CF28" s="85">
        <v>0</v>
      </c>
      <c r="CG28" s="85">
        <v>0</v>
      </c>
      <c r="CH28" s="85">
        <v>0</v>
      </c>
      <c r="CI28" s="85">
        <v>0</v>
      </c>
      <c r="CJ28" s="85">
        <v>0</v>
      </c>
      <c r="CK28" s="85">
        <v>18</v>
      </c>
      <c r="CL28" s="85">
        <v>12</v>
      </c>
      <c r="CM28" s="80">
        <f t="shared" si="12"/>
        <v>30</v>
      </c>
      <c r="CN28" s="86">
        <v>0</v>
      </c>
      <c r="CO28" s="86">
        <v>0</v>
      </c>
      <c r="CP28" s="86">
        <v>0</v>
      </c>
      <c r="CQ28" s="86">
        <v>0</v>
      </c>
      <c r="CR28" s="86">
        <v>0</v>
      </c>
      <c r="CS28" s="86">
        <v>0</v>
      </c>
      <c r="CT28" s="86">
        <v>13</v>
      </c>
      <c r="CU28" s="86">
        <v>7</v>
      </c>
      <c r="CV28" s="80">
        <f t="shared" si="8"/>
        <v>20</v>
      </c>
      <c r="CW28" s="86">
        <v>0</v>
      </c>
      <c r="CX28" s="86">
        <v>0</v>
      </c>
      <c r="CY28" s="86">
        <v>0</v>
      </c>
      <c r="CZ28" s="86">
        <v>0</v>
      </c>
      <c r="DA28" s="86">
        <v>0</v>
      </c>
      <c r="DB28" s="86">
        <v>0</v>
      </c>
      <c r="DC28" s="86">
        <v>0</v>
      </c>
      <c r="DD28" s="86">
        <v>0</v>
      </c>
      <c r="DE28" s="80">
        <f t="shared" si="9"/>
        <v>0</v>
      </c>
      <c r="DF28" s="86">
        <v>0</v>
      </c>
      <c r="DG28" s="86">
        <v>0</v>
      </c>
      <c r="DH28" s="86">
        <v>0</v>
      </c>
      <c r="DI28" s="86">
        <v>0</v>
      </c>
      <c r="DJ28" s="86">
        <v>0</v>
      </c>
      <c r="DK28" s="86">
        <v>0</v>
      </c>
      <c r="DL28" s="86">
        <v>0</v>
      </c>
      <c r="DM28" s="86">
        <v>0</v>
      </c>
      <c r="DN28" s="80">
        <f t="shared" si="10"/>
        <v>0</v>
      </c>
      <c r="DO28" s="81">
        <f t="shared" si="11"/>
        <v>70</v>
      </c>
      <c r="DP28" s="77" t="s">
        <v>116</v>
      </c>
    </row>
    <row r="29" spans="2:120" ht="165" hidden="1" customHeight="1">
      <c r="B29" s="453" t="s">
        <v>78</v>
      </c>
      <c r="C29" s="441" t="s">
        <v>74</v>
      </c>
      <c r="D29" s="443" t="s">
        <v>82</v>
      </c>
      <c r="E29" s="444"/>
      <c r="F29" s="453" t="s">
        <v>95</v>
      </c>
      <c r="G29" s="441">
        <v>79</v>
      </c>
      <c r="H29" s="441" t="s">
        <v>96</v>
      </c>
      <c r="I29" s="456">
        <v>79</v>
      </c>
      <c r="J29" s="87" t="s">
        <v>65</v>
      </c>
      <c r="K29" s="449">
        <v>5</v>
      </c>
      <c r="L29" s="450"/>
      <c r="M29" s="450"/>
      <c r="N29" s="450"/>
      <c r="O29" s="450"/>
      <c r="P29" s="450"/>
      <c r="Q29" s="450"/>
      <c r="R29" s="451"/>
      <c r="S29" s="82">
        <f>SUM(K29:R29)</f>
        <v>5</v>
      </c>
      <c r="T29" s="449">
        <v>5</v>
      </c>
      <c r="U29" s="450"/>
      <c r="V29" s="450"/>
      <c r="W29" s="450"/>
      <c r="X29" s="450"/>
      <c r="Y29" s="450"/>
      <c r="Z29" s="450"/>
      <c r="AA29" s="451"/>
      <c r="AB29" s="82">
        <f>SUM(T29:AA29)</f>
        <v>5</v>
      </c>
      <c r="AC29" s="449">
        <v>6</v>
      </c>
      <c r="AD29" s="450"/>
      <c r="AE29" s="450"/>
      <c r="AF29" s="450"/>
      <c r="AG29" s="450"/>
      <c r="AH29" s="450"/>
      <c r="AI29" s="450"/>
      <c r="AJ29" s="451"/>
      <c r="AK29" s="82">
        <f>SUM(AC29:AJ29)</f>
        <v>6</v>
      </c>
      <c r="AL29" s="449">
        <v>5</v>
      </c>
      <c r="AM29" s="450"/>
      <c r="AN29" s="450"/>
      <c r="AO29" s="450"/>
      <c r="AP29" s="450"/>
      <c r="AQ29" s="450"/>
      <c r="AR29" s="450"/>
      <c r="AS29" s="451"/>
      <c r="AT29" s="79">
        <f>SUM(AL29:AS29)</f>
        <v>5</v>
      </c>
      <c r="AU29" s="449">
        <v>6</v>
      </c>
      <c r="AV29" s="450"/>
      <c r="AW29" s="450"/>
      <c r="AX29" s="450"/>
      <c r="AY29" s="450"/>
      <c r="AZ29" s="450"/>
      <c r="BA29" s="450"/>
      <c r="BB29" s="451"/>
      <c r="BC29" s="79">
        <f>SUM(AU29:BB29)</f>
        <v>6</v>
      </c>
      <c r="BD29" s="449">
        <v>9</v>
      </c>
      <c r="BE29" s="450"/>
      <c r="BF29" s="450"/>
      <c r="BG29" s="450"/>
      <c r="BH29" s="450"/>
      <c r="BI29" s="450"/>
      <c r="BJ29" s="450"/>
      <c r="BK29" s="451"/>
      <c r="BL29" s="79">
        <f>SUM(BD29:BK29)</f>
        <v>9</v>
      </c>
      <c r="BM29" s="449">
        <v>8</v>
      </c>
      <c r="BN29" s="450"/>
      <c r="BO29" s="450"/>
      <c r="BP29" s="450"/>
      <c r="BQ29" s="450"/>
      <c r="BR29" s="450"/>
      <c r="BS29" s="450"/>
      <c r="BT29" s="451"/>
      <c r="BU29" s="79">
        <f>SUM(BM29:BT29)</f>
        <v>8</v>
      </c>
      <c r="BV29" s="449">
        <v>7</v>
      </c>
      <c r="BW29" s="450"/>
      <c r="BX29" s="450"/>
      <c r="BY29" s="450"/>
      <c r="BZ29" s="450"/>
      <c r="CA29" s="450"/>
      <c r="CB29" s="450"/>
      <c r="CC29" s="451"/>
      <c r="CD29" s="79">
        <f>SUM(BV29:CC29)</f>
        <v>7</v>
      </c>
      <c r="CE29" s="452">
        <v>10</v>
      </c>
      <c r="CF29" s="452"/>
      <c r="CG29" s="452"/>
      <c r="CH29" s="452"/>
      <c r="CI29" s="452"/>
      <c r="CJ29" s="452"/>
      <c r="CK29" s="452"/>
      <c r="CL29" s="452"/>
      <c r="CM29" s="80">
        <f t="shared" si="12"/>
        <v>10</v>
      </c>
      <c r="CN29" s="452">
        <v>7</v>
      </c>
      <c r="CO29" s="452"/>
      <c r="CP29" s="452"/>
      <c r="CQ29" s="452"/>
      <c r="CR29" s="452"/>
      <c r="CS29" s="452"/>
      <c r="CT29" s="452"/>
      <c r="CU29" s="452"/>
      <c r="CV29" s="80">
        <f>SUM(CN29:CU29)</f>
        <v>7</v>
      </c>
      <c r="CW29" s="452">
        <v>6</v>
      </c>
      <c r="CX29" s="452"/>
      <c r="CY29" s="452"/>
      <c r="CZ29" s="452"/>
      <c r="DA29" s="452"/>
      <c r="DB29" s="452"/>
      <c r="DC29" s="452"/>
      <c r="DD29" s="452"/>
      <c r="DE29" s="80">
        <f>SUM(CW29:DD29)</f>
        <v>6</v>
      </c>
      <c r="DF29" s="452">
        <v>5</v>
      </c>
      <c r="DG29" s="452"/>
      <c r="DH29" s="452"/>
      <c r="DI29" s="452"/>
      <c r="DJ29" s="452"/>
      <c r="DK29" s="452"/>
      <c r="DL29" s="452"/>
      <c r="DM29" s="452"/>
      <c r="DN29" s="80">
        <f>SUM(DF29:DM29)</f>
        <v>5</v>
      </c>
      <c r="DO29" s="81">
        <f t="shared" si="11"/>
        <v>79</v>
      </c>
      <c r="DP29" s="77"/>
    </row>
    <row r="30" spans="2:120" ht="165" customHeight="1">
      <c r="B30" s="454"/>
      <c r="C30" s="442"/>
      <c r="D30" s="445"/>
      <c r="E30" s="446"/>
      <c r="F30" s="454"/>
      <c r="G30" s="442"/>
      <c r="H30" s="442"/>
      <c r="I30" s="457"/>
      <c r="J30" s="78" t="s">
        <v>66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2">
        <f t="shared" si="0"/>
        <v>0</v>
      </c>
      <c r="T30" s="84">
        <v>0</v>
      </c>
      <c r="U30" s="84">
        <v>0</v>
      </c>
      <c r="V30" s="84">
        <v>0</v>
      </c>
      <c r="W30" s="84">
        <v>0</v>
      </c>
      <c r="X30" s="84">
        <v>0</v>
      </c>
      <c r="Y30" s="84">
        <v>0</v>
      </c>
      <c r="Z30" s="84">
        <v>3</v>
      </c>
      <c r="AA30" s="84">
        <v>2</v>
      </c>
      <c r="AB30" s="82">
        <f t="shared" si="1"/>
        <v>5</v>
      </c>
      <c r="AC30" s="84">
        <v>0</v>
      </c>
      <c r="AD30" s="84">
        <v>0</v>
      </c>
      <c r="AE30" s="84">
        <v>0</v>
      </c>
      <c r="AF30" s="84">
        <v>0</v>
      </c>
      <c r="AG30" s="84">
        <v>0</v>
      </c>
      <c r="AH30" s="84">
        <v>0</v>
      </c>
      <c r="AI30" s="84">
        <v>0</v>
      </c>
      <c r="AJ30" s="84">
        <v>0</v>
      </c>
      <c r="AK30" s="82">
        <f t="shared" si="2"/>
        <v>0</v>
      </c>
      <c r="AL30" s="84">
        <v>0</v>
      </c>
      <c r="AM30" s="84">
        <v>0</v>
      </c>
      <c r="AN30" s="84">
        <v>0</v>
      </c>
      <c r="AO30" s="84">
        <v>0</v>
      </c>
      <c r="AP30" s="84">
        <v>0</v>
      </c>
      <c r="AQ30" s="84">
        <v>0</v>
      </c>
      <c r="AR30" s="84">
        <v>0</v>
      </c>
      <c r="AS30" s="84">
        <v>0</v>
      </c>
      <c r="AT30" s="79">
        <f t="shared" si="3"/>
        <v>0</v>
      </c>
      <c r="AU30" s="84">
        <v>0</v>
      </c>
      <c r="AV30" s="84">
        <v>0</v>
      </c>
      <c r="AW30" s="84">
        <v>0</v>
      </c>
      <c r="AX30" s="84">
        <v>0</v>
      </c>
      <c r="AY30" s="84">
        <v>0</v>
      </c>
      <c r="AZ30" s="84">
        <v>0</v>
      </c>
      <c r="BA30" s="84">
        <v>0</v>
      </c>
      <c r="BB30" s="84">
        <v>0</v>
      </c>
      <c r="BC30" s="79">
        <f t="shared" si="4"/>
        <v>0</v>
      </c>
      <c r="BD30" s="84">
        <v>0</v>
      </c>
      <c r="BE30" s="84">
        <v>0</v>
      </c>
      <c r="BF30" s="84">
        <v>0</v>
      </c>
      <c r="BG30" s="84">
        <v>0</v>
      </c>
      <c r="BH30" s="84">
        <v>0</v>
      </c>
      <c r="BI30" s="84">
        <v>0</v>
      </c>
      <c r="BJ30" s="84">
        <v>0</v>
      </c>
      <c r="BK30" s="84">
        <v>0</v>
      </c>
      <c r="BL30" s="79">
        <f t="shared" si="5"/>
        <v>0</v>
      </c>
      <c r="BM30" s="84">
        <v>0</v>
      </c>
      <c r="BN30" s="84">
        <v>0</v>
      </c>
      <c r="BO30" s="84">
        <v>0</v>
      </c>
      <c r="BP30" s="84">
        <v>0</v>
      </c>
      <c r="BQ30" s="84">
        <v>0</v>
      </c>
      <c r="BR30" s="84">
        <v>0</v>
      </c>
      <c r="BS30" s="84">
        <v>0</v>
      </c>
      <c r="BT30" s="84">
        <v>0</v>
      </c>
      <c r="BU30" s="79">
        <f t="shared" si="6"/>
        <v>0</v>
      </c>
      <c r="BV30" s="84">
        <v>0</v>
      </c>
      <c r="BW30" s="84">
        <v>0</v>
      </c>
      <c r="BX30" s="84">
        <v>0</v>
      </c>
      <c r="BY30" s="84">
        <v>0</v>
      </c>
      <c r="BZ30" s="84">
        <v>0</v>
      </c>
      <c r="CA30" s="84">
        <v>0</v>
      </c>
      <c r="CB30" s="84">
        <v>0</v>
      </c>
      <c r="CC30" s="84">
        <v>0</v>
      </c>
      <c r="CD30" s="79">
        <f t="shared" si="7"/>
        <v>0</v>
      </c>
      <c r="CE30" s="85">
        <v>0</v>
      </c>
      <c r="CF30" s="85">
        <v>0</v>
      </c>
      <c r="CG30" s="85">
        <v>0</v>
      </c>
      <c r="CH30" s="85">
        <v>0</v>
      </c>
      <c r="CI30" s="85">
        <v>0</v>
      </c>
      <c r="CJ30" s="85">
        <v>0</v>
      </c>
      <c r="CK30" s="85">
        <v>5</v>
      </c>
      <c r="CL30" s="85">
        <v>3</v>
      </c>
      <c r="CM30" s="80">
        <f t="shared" si="12"/>
        <v>8</v>
      </c>
      <c r="CN30" s="86">
        <v>0</v>
      </c>
      <c r="CO30" s="86">
        <v>0</v>
      </c>
      <c r="CP30" s="86">
        <v>0</v>
      </c>
      <c r="CQ30" s="86">
        <v>0</v>
      </c>
      <c r="CR30" s="86">
        <v>0</v>
      </c>
      <c r="CS30" s="86">
        <v>0</v>
      </c>
      <c r="CT30" s="86">
        <v>2</v>
      </c>
      <c r="CU30" s="86">
        <v>1</v>
      </c>
      <c r="CV30" s="80">
        <f t="shared" si="8"/>
        <v>3</v>
      </c>
      <c r="CW30" s="86">
        <v>0</v>
      </c>
      <c r="CX30" s="86">
        <v>0</v>
      </c>
      <c r="CY30" s="86">
        <v>0</v>
      </c>
      <c r="CZ30" s="86">
        <v>0</v>
      </c>
      <c r="DA30" s="86">
        <v>0</v>
      </c>
      <c r="DB30" s="86">
        <v>0</v>
      </c>
      <c r="DC30" s="86">
        <v>2</v>
      </c>
      <c r="DD30" s="86">
        <v>2</v>
      </c>
      <c r="DE30" s="80">
        <f t="shared" si="9"/>
        <v>4</v>
      </c>
      <c r="DF30" s="86">
        <v>0</v>
      </c>
      <c r="DG30" s="86">
        <v>0</v>
      </c>
      <c r="DH30" s="86">
        <v>0</v>
      </c>
      <c r="DI30" s="86">
        <v>0</v>
      </c>
      <c r="DJ30" s="86">
        <v>0</v>
      </c>
      <c r="DK30" s="86">
        <v>0</v>
      </c>
      <c r="DL30" s="86">
        <v>3</v>
      </c>
      <c r="DM30" s="86">
        <v>3</v>
      </c>
      <c r="DN30" s="80">
        <f t="shared" si="10"/>
        <v>6</v>
      </c>
      <c r="DO30" s="81">
        <f t="shared" si="11"/>
        <v>26</v>
      </c>
      <c r="DP30" s="77" t="s">
        <v>116</v>
      </c>
    </row>
    <row r="31" spans="2:120" ht="251.25" hidden="1" customHeight="1">
      <c r="B31" s="436" t="s">
        <v>75</v>
      </c>
      <c r="C31" s="441" t="s">
        <v>9</v>
      </c>
      <c r="D31" s="443" t="s">
        <v>97</v>
      </c>
      <c r="E31" s="444"/>
      <c r="F31" s="453" t="s">
        <v>98</v>
      </c>
      <c r="G31" s="441">
        <v>1</v>
      </c>
      <c r="H31" s="441" t="s">
        <v>98</v>
      </c>
      <c r="I31" s="448">
        <v>1</v>
      </c>
      <c r="J31" s="87" t="s">
        <v>65</v>
      </c>
      <c r="K31" s="458">
        <v>0</v>
      </c>
      <c r="L31" s="458"/>
      <c r="M31" s="458"/>
      <c r="N31" s="458"/>
      <c r="O31" s="458"/>
      <c r="P31" s="458"/>
      <c r="Q31" s="458"/>
      <c r="R31" s="458"/>
      <c r="S31" s="88">
        <f>SUM(K31:R31)</f>
        <v>0</v>
      </c>
      <c r="T31" s="458">
        <v>0</v>
      </c>
      <c r="U31" s="458"/>
      <c r="V31" s="458"/>
      <c r="W31" s="458"/>
      <c r="X31" s="458"/>
      <c r="Y31" s="458"/>
      <c r="Z31" s="458"/>
      <c r="AA31" s="458"/>
      <c r="AB31" s="88">
        <f>SUM(T31:AA31)</f>
        <v>0</v>
      </c>
      <c r="AC31" s="458">
        <v>0</v>
      </c>
      <c r="AD31" s="458"/>
      <c r="AE31" s="458"/>
      <c r="AF31" s="458"/>
      <c r="AG31" s="458"/>
      <c r="AH31" s="458"/>
      <c r="AI31" s="458"/>
      <c r="AJ31" s="458"/>
      <c r="AK31" s="88">
        <f>SUM(AC31:AJ31)</f>
        <v>0</v>
      </c>
      <c r="AL31" s="458">
        <v>0</v>
      </c>
      <c r="AM31" s="458"/>
      <c r="AN31" s="458"/>
      <c r="AO31" s="458"/>
      <c r="AP31" s="458"/>
      <c r="AQ31" s="458"/>
      <c r="AR31" s="458"/>
      <c r="AS31" s="458"/>
      <c r="AT31" s="88">
        <f>SUM(AL31:AS31)</f>
        <v>0</v>
      </c>
      <c r="AU31" s="458">
        <v>0</v>
      </c>
      <c r="AV31" s="458"/>
      <c r="AW31" s="458"/>
      <c r="AX31" s="458"/>
      <c r="AY31" s="458"/>
      <c r="AZ31" s="458"/>
      <c r="BA31" s="458"/>
      <c r="BB31" s="458"/>
      <c r="BC31" s="88">
        <f>SUM(AU31:BB31)</f>
        <v>0</v>
      </c>
      <c r="BD31" s="458">
        <v>0</v>
      </c>
      <c r="BE31" s="458"/>
      <c r="BF31" s="458"/>
      <c r="BG31" s="458"/>
      <c r="BH31" s="458"/>
      <c r="BI31" s="458"/>
      <c r="BJ31" s="458"/>
      <c r="BK31" s="458"/>
      <c r="BL31" s="89">
        <f>SUM(BD31:BK31)</f>
        <v>0</v>
      </c>
      <c r="BM31" s="458">
        <v>0</v>
      </c>
      <c r="BN31" s="458"/>
      <c r="BO31" s="458"/>
      <c r="BP31" s="458"/>
      <c r="BQ31" s="458"/>
      <c r="BR31" s="458"/>
      <c r="BS31" s="458"/>
      <c r="BT31" s="458"/>
      <c r="BU31" s="88">
        <f>SUM(BM31:BT31)</f>
        <v>0</v>
      </c>
      <c r="BV31" s="458">
        <v>0</v>
      </c>
      <c r="BW31" s="458"/>
      <c r="BX31" s="458"/>
      <c r="BY31" s="458"/>
      <c r="BZ31" s="458"/>
      <c r="CA31" s="458"/>
      <c r="CB31" s="458"/>
      <c r="CC31" s="458"/>
      <c r="CD31" s="88">
        <f>SUM(BV31:CC31)</f>
        <v>0</v>
      </c>
      <c r="CE31" s="452">
        <v>0</v>
      </c>
      <c r="CF31" s="452"/>
      <c r="CG31" s="452"/>
      <c r="CH31" s="452"/>
      <c r="CI31" s="452"/>
      <c r="CJ31" s="452"/>
      <c r="CK31" s="452"/>
      <c r="CL31" s="452"/>
      <c r="CM31" s="80">
        <f t="shared" si="12"/>
        <v>0</v>
      </c>
      <c r="CN31" s="452">
        <v>0</v>
      </c>
      <c r="CO31" s="452"/>
      <c r="CP31" s="452"/>
      <c r="CQ31" s="452"/>
      <c r="CR31" s="452"/>
      <c r="CS31" s="452"/>
      <c r="CT31" s="452"/>
      <c r="CU31" s="452"/>
      <c r="CV31" s="80">
        <f>SUM(CN31:CU31)</f>
        <v>0</v>
      </c>
      <c r="CW31" s="452">
        <v>0</v>
      </c>
      <c r="CX31" s="452"/>
      <c r="CY31" s="452"/>
      <c r="CZ31" s="452"/>
      <c r="DA31" s="452"/>
      <c r="DB31" s="452"/>
      <c r="DC31" s="452"/>
      <c r="DD31" s="452"/>
      <c r="DE31" s="80">
        <f>SUM(CW31:DD31)</f>
        <v>0</v>
      </c>
      <c r="DF31" s="452">
        <v>1</v>
      </c>
      <c r="DG31" s="452"/>
      <c r="DH31" s="452"/>
      <c r="DI31" s="452"/>
      <c r="DJ31" s="452"/>
      <c r="DK31" s="452"/>
      <c r="DL31" s="452"/>
      <c r="DM31" s="452"/>
      <c r="DN31" s="80">
        <f>SUM(DF31:DM31)</f>
        <v>1</v>
      </c>
      <c r="DO31" s="81">
        <f t="shared" si="11"/>
        <v>1</v>
      </c>
      <c r="DP31" s="77"/>
    </row>
    <row r="32" spans="2:120" ht="150" customHeight="1">
      <c r="B32" s="436"/>
      <c r="C32" s="442"/>
      <c r="D32" s="445"/>
      <c r="E32" s="446"/>
      <c r="F32" s="454"/>
      <c r="G32" s="442"/>
      <c r="H32" s="442"/>
      <c r="I32" s="448"/>
      <c r="J32" s="78" t="s">
        <v>66</v>
      </c>
      <c r="K32" s="458">
        <v>0</v>
      </c>
      <c r="L32" s="458"/>
      <c r="M32" s="458"/>
      <c r="N32" s="458"/>
      <c r="O32" s="458"/>
      <c r="P32" s="458"/>
      <c r="Q32" s="458"/>
      <c r="R32" s="458"/>
      <c r="S32" s="88">
        <f>SUM(K32:R32)</f>
        <v>0</v>
      </c>
      <c r="T32" s="458">
        <v>0</v>
      </c>
      <c r="U32" s="458"/>
      <c r="V32" s="458"/>
      <c r="W32" s="458"/>
      <c r="X32" s="458"/>
      <c r="Y32" s="458"/>
      <c r="Z32" s="458"/>
      <c r="AA32" s="458"/>
      <c r="AB32" s="88">
        <f>SUM(T32:AA32)</f>
        <v>0</v>
      </c>
      <c r="AC32" s="458">
        <v>0</v>
      </c>
      <c r="AD32" s="458"/>
      <c r="AE32" s="458"/>
      <c r="AF32" s="458"/>
      <c r="AG32" s="458"/>
      <c r="AH32" s="458"/>
      <c r="AI32" s="458"/>
      <c r="AJ32" s="458"/>
      <c r="AK32" s="88">
        <f>SUM(AC32:AJ32)</f>
        <v>0</v>
      </c>
      <c r="AL32" s="458">
        <v>0</v>
      </c>
      <c r="AM32" s="458"/>
      <c r="AN32" s="458"/>
      <c r="AO32" s="458"/>
      <c r="AP32" s="458"/>
      <c r="AQ32" s="458"/>
      <c r="AR32" s="458"/>
      <c r="AS32" s="458"/>
      <c r="AT32" s="88">
        <f>SUM(AL32:AS32)</f>
        <v>0</v>
      </c>
      <c r="AU32" s="458">
        <v>0</v>
      </c>
      <c r="AV32" s="458"/>
      <c r="AW32" s="458"/>
      <c r="AX32" s="458"/>
      <c r="AY32" s="458"/>
      <c r="AZ32" s="458"/>
      <c r="BA32" s="458"/>
      <c r="BB32" s="458"/>
      <c r="BC32" s="88">
        <f>SUM(AU32:BB32)</f>
        <v>0</v>
      </c>
      <c r="BD32" s="458">
        <v>0</v>
      </c>
      <c r="BE32" s="458"/>
      <c r="BF32" s="458"/>
      <c r="BG32" s="458"/>
      <c r="BH32" s="458"/>
      <c r="BI32" s="458"/>
      <c r="BJ32" s="458"/>
      <c r="BK32" s="458"/>
      <c r="BL32" s="89">
        <f>SUM(BD32:BK32)</f>
        <v>0</v>
      </c>
      <c r="BM32" s="458">
        <v>0</v>
      </c>
      <c r="BN32" s="458"/>
      <c r="BO32" s="458"/>
      <c r="BP32" s="458"/>
      <c r="BQ32" s="458"/>
      <c r="BR32" s="458"/>
      <c r="BS32" s="458"/>
      <c r="BT32" s="458"/>
      <c r="BU32" s="88">
        <f>SUM(BM32:BT32)</f>
        <v>0</v>
      </c>
      <c r="BV32" s="458">
        <v>0</v>
      </c>
      <c r="BW32" s="458"/>
      <c r="BX32" s="458"/>
      <c r="BY32" s="458"/>
      <c r="BZ32" s="458"/>
      <c r="CA32" s="458"/>
      <c r="CB32" s="458"/>
      <c r="CC32" s="458"/>
      <c r="CD32" s="88">
        <f>SUM(BV32:CC32)</f>
        <v>0</v>
      </c>
      <c r="CE32" s="452">
        <v>0</v>
      </c>
      <c r="CF32" s="452"/>
      <c r="CG32" s="452"/>
      <c r="CH32" s="452"/>
      <c r="CI32" s="452"/>
      <c r="CJ32" s="452"/>
      <c r="CK32" s="452"/>
      <c r="CL32" s="452"/>
      <c r="CM32" s="80">
        <f t="shared" si="12"/>
        <v>0</v>
      </c>
      <c r="CN32" s="452">
        <v>0</v>
      </c>
      <c r="CO32" s="452"/>
      <c r="CP32" s="452"/>
      <c r="CQ32" s="452"/>
      <c r="CR32" s="452"/>
      <c r="CS32" s="452"/>
      <c r="CT32" s="452"/>
      <c r="CU32" s="452"/>
      <c r="CV32" s="80">
        <f>SUM(CN32:CU32)</f>
        <v>0</v>
      </c>
      <c r="CW32" s="452">
        <v>0</v>
      </c>
      <c r="CX32" s="452"/>
      <c r="CY32" s="452"/>
      <c r="CZ32" s="452"/>
      <c r="DA32" s="452"/>
      <c r="DB32" s="452"/>
      <c r="DC32" s="452"/>
      <c r="DD32" s="452"/>
      <c r="DE32" s="80">
        <f>SUM(CW32:DD32)</f>
        <v>0</v>
      </c>
      <c r="DF32" s="452">
        <v>1</v>
      </c>
      <c r="DG32" s="452"/>
      <c r="DH32" s="452"/>
      <c r="DI32" s="452"/>
      <c r="DJ32" s="452"/>
      <c r="DK32" s="452"/>
      <c r="DL32" s="452"/>
      <c r="DM32" s="452"/>
      <c r="DN32" s="80">
        <f>SUM(DF32:DM32)</f>
        <v>1</v>
      </c>
      <c r="DO32" s="81">
        <f t="shared" si="11"/>
        <v>1</v>
      </c>
      <c r="DP32" s="77" t="s">
        <v>117</v>
      </c>
    </row>
    <row r="33" spans="2:120" ht="150" hidden="1" customHeight="1">
      <c r="B33" s="441" t="s">
        <v>76</v>
      </c>
      <c r="C33" s="441" t="s">
        <v>7</v>
      </c>
      <c r="D33" s="443" t="s">
        <v>1</v>
      </c>
      <c r="E33" s="444"/>
      <c r="F33" s="453" t="s">
        <v>1</v>
      </c>
      <c r="G33" s="435">
        <v>1</v>
      </c>
      <c r="H33" s="435" t="s">
        <v>1</v>
      </c>
      <c r="I33" s="435">
        <v>1</v>
      </c>
      <c r="J33" s="87" t="s">
        <v>65</v>
      </c>
      <c r="K33" s="458">
        <v>0</v>
      </c>
      <c r="L33" s="458"/>
      <c r="M33" s="458"/>
      <c r="N33" s="458"/>
      <c r="O33" s="458"/>
      <c r="P33" s="458"/>
      <c r="Q33" s="458"/>
      <c r="R33" s="458"/>
      <c r="S33" s="88">
        <f>SUM(K33:R33)</f>
        <v>0</v>
      </c>
      <c r="T33" s="458">
        <v>0</v>
      </c>
      <c r="U33" s="458"/>
      <c r="V33" s="458"/>
      <c r="W33" s="458"/>
      <c r="X33" s="458"/>
      <c r="Y33" s="458"/>
      <c r="Z33" s="458"/>
      <c r="AA33" s="458"/>
      <c r="AB33" s="88">
        <f>SUM(T33:AA33)</f>
        <v>0</v>
      </c>
      <c r="AC33" s="458">
        <v>0</v>
      </c>
      <c r="AD33" s="458"/>
      <c r="AE33" s="458"/>
      <c r="AF33" s="458"/>
      <c r="AG33" s="458"/>
      <c r="AH33" s="458"/>
      <c r="AI33" s="458"/>
      <c r="AJ33" s="458"/>
      <c r="AK33" s="88">
        <f>SUM(AC33:AJ33)</f>
        <v>0</v>
      </c>
      <c r="AL33" s="458">
        <v>0</v>
      </c>
      <c r="AM33" s="458"/>
      <c r="AN33" s="458"/>
      <c r="AO33" s="458"/>
      <c r="AP33" s="458"/>
      <c r="AQ33" s="458"/>
      <c r="AR33" s="458"/>
      <c r="AS33" s="458"/>
      <c r="AT33" s="88">
        <f>SUM(AL33:AS33)</f>
        <v>0</v>
      </c>
      <c r="AU33" s="458">
        <v>0</v>
      </c>
      <c r="AV33" s="458"/>
      <c r="AW33" s="458"/>
      <c r="AX33" s="458"/>
      <c r="AY33" s="458"/>
      <c r="AZ33" s="458"/>
      <c r="BA33" s="458"/>
      <c r="BB33" s="458"/>
      <c r="BC33" s="88">
        <f>SUM(AU33:BB33)</f>
        <v>0</v>
      </c>
      <c r="BD33" s="458">
        <v>0</v>
      </c>
      <c r="BE33" s="458"/>
      <c r="BF33" s="458"/>
      <c r="BG33" s="458"/>
      <c r="BH33" s="458"/>
      <c r="BI33" s="458"/>
      <c r="BJ33" s="458"/>
      <c r="BK33" s="458"/>
      <c r="BL33" s="88">
        <f>SUM(BD33:BK33)</f>
        <v>0</v>
      </c>
      <c r="BM33" s="458">
        <v>0</v>
      </c>
      <c r="BN33" s="458"/>
      <c r="BO33" s="458"/>
      <c r="BP33" s="458"/>
      <c r="BQ33" s="458"/>
      <c r="BR33" s="458"/>
      <c r="BS33" s="458"/>
      <c r="BT33" s="458"/>
      <c r="BU33" s="88">
        <f>SUM(BM33:BT33)</f>
        <v>0</v>
      </c>
      <c r="BV33" s="458">
        <v>0</v>
      </c>
      <c r="BW33" s="458"/>
      <c r="BX33" s="458"/>
      <c r="BY33" s="458"/>
      <c r="BZ33" s="458"/>
      <c r="CA33" s="458"/>
      <c r="CB33" s="458"/>
      <c r="CC33" s="458"/>
      <c r="CD33" s="88">
        <f>SUM(BV33:CC33)</f>
        <v>0</v>
      </c>
      <c r="CE33" s="452">
        <v>0</v>
      </c>
      <c r="CF33" s="452"/>
      <c r="CG33" s="452"/>
      <c r="CH33" s="452"/>
      <c r="CI33" s="452"/>
      <c r="CJ33" s="452"/>
      <c r="CK33" s="452"/>
      <c r="CL33" s="452"/>
      <c r="CM33" s="80">
        <f t="shared" si="12"/>
        <v>0</v>
      </c>
      <c r="CN33" s="452">
        <v>0</v>
      </c>
      <c r="CO33" s="452"/>
      <c r="CP33" s="452"/>
      <c r="CQ33" s="452"/>
      <c r="CR33" s="452"/>
      <c r="CS33" s="452"/>
      <c r="CT33" s="452"/>
      <c r="CU33" s="452"/>
      <c r="CV33" s="80">
        <f>SUM(CN33:CU33)</f>
        <v>0</v>
      </c>
      <c r="CW33" s="452">
        <v>0</v>
      </c>
      <c r="CX33" s="452"/>
      <c r="CY33" s="452"/>
      <c r="CZ33" s="452"/>
      <c r="DA33" s="452"/>
      <c r="DB33" s="452"/>
      <c r="DC33" s="452"/>
      <c r="DD33" s="452"/>
      <c r="DE33" s="80">
        <f>SUM(CW33:DD33)</f>
        <v>0</v>
      </c>
      <c r="DF33" s="452">
        <v>1</v>
      </c>
      <c r="DG33" s="452"/>
      <c r="DH33" s="452"/>
      <c r="DI33" s="452"/>
      <c r="DJ33" s="452"/>
      <c r="DK33" s="452"/>
      <c r="DL33" s="452"/>
      <c r="DM33" s="452"/>
      <c r="DN33" s="80">
        <f>SUM(DF33:DM33)</f>
        <v>1</v>
      </c>
      <c r="DO33" s="81">
        <f t="shared" si="11"/>
        <v>1</v>
      </c>
      <c r="DP33" s="77"/>
    </row>
    <row r="34" spans="2:120" ht="150" customHeight="1">
      <c r="B34" s="442"/>
      <c r="C34" s="442"/>
      <c r="D34" s="445"/>
      <c r="E34" s="446"/>
      <c r="F34" s="454"/>
      <c r="G34" s="435"/>
      <c r="H34" s="435"/>
      <c r="I34" s="435"/>
      <c r="J34" s="78" t="s">
        <v>66</v>
      </c>
      <c r="K34" s="458">
        <v>0</v>
      </c>
      <c r="L34" s="458"/>
      <c r="M34" s="458"/>
      <c r="N34" s="458"/>
      <c r="O34" s="458"/>
      <c r="P34" s="458"/>
      <c r="Q34" s="458"/>
      <c r="R34" s="458"/>
      <c r="S34" s="88">
        <f>SUM(K34:R34)</f>
        <v>0</v>
      </c>
      <c r="T34" s="458">
        <v>0</v>
      </c>
      <c r="U34" s="458"/>
      <c r="V34" s="458"/>
      <c r="W34" s="458"/>
      <c r="X34" s="458"/>
      <c r="Y34" s="458"/>
      <c r="Z34" s="458"/>
      <c r="AA34" s="458"/>
      <c r="AB34" s="88">
        <f>SUM(T34:AA34)</f>
        <v>0</v>
      </c>
      <c r="AC34" s="458">
        <v>0</v>
      </c>
      <c r="AD34" s="458"/>
      <c r="AE34" s="458"/>
      <c r="AF34" s="458"/>
      <c r="AG34" s="458"/>
      <c r="AH34" s="458"/>
      <c r="AI34" s="458"/>
      <c r="AJ34" s="458"/>
      <c r="AK34" s="88">
        <f>SUM(AC34:AJ34)</f>
        <v>0</v>
      </c>
      <c r="AL34" s="458">
        <v>0</v>
      </c>
      <c r="AM34" s="458"/>
      <c r="AN34" s="458"/>
      <c r="AO34" s="458"/>
      <c r="AP34" s="458"/>
      <c r="AQ34" s="458"/>
      <c r="AR34" s="458"/>
      <c r="AS34" s="458"/>
      <c r="AT34" s="88">
        <f>SUM(AL34:AS34)</f>
        <v>0</v>
      </c>
      <c r="AU34" s="458">
        <v>0</v>
      </c>
      <c r="AV34" s="458"/>
      <c r="AW34" s="458"/>
      <c r="AX34" s="458"/>
      <c r="AY34" s="458"/>
      <c r="AZ34" s="458"/>
      <c r="BA34" s="458"/>
      <c r="BB34" s="458"/>
      <c r="BC34" s="88">
        <f>SUM(AU34:BB34)</f>
        <v>0</v>
      </c>
      <c r="BD34" s="458">
        <v>0</v>
      </c>
      <c r="BE34" s="458"/>
      <c r="BF34" s="458"/>
      <c r="BG34" s="458"/>
      <c r="BH34" s="458"/>
      <c r="BI34" s="458"/>
      <c r="BJ34" s="458"/>
      <c r="BK34" s="458"/>
      <c r="BL34" s="88">
        <f>SUM(BD34:BK34)</f>
        <v>0</v>
      </c>
      <c r="BM34" s="458">
        <v>0</v>
      </c>
      <c r="BN34" s="458"/>
      <c r="BO34" s="458"/>
      <c r="BP34" s="458"/>
      <c r="BQ34" s="458"/>
      <c r="BR34" s="458"/>
      <c r="BS34" s="458"/>
      <c r="BT34" s="458"/>
      <c r="BU34" s="88">
        <f>SUM(BM34:BT34)</f>
        <v>0</v>
      </c>
      <c r="BV34" s="458">
        <v>0</v>
      </c>
      <c r="BW34" s="458"/>
      <c r="BX34" s="458"/>
      <c r="BY34" s="458"/>
      <c r="BZ34" s="458"/>
      <c r="CA34" s="458"/>
      <c r="CB34" s="458"/>
      <c r="CC34" s="458"/>
      <c r="CD34" s="88">
        <f>SUM(BV34:CC34)</f>
        <v>0</v>
      </c>
      <c r="CE34" s="452">
        <v>0</v>
      </c>
      <c r="CF34" s="452"/>
      <c r="CG34" s="452"/>
      <c r="CH34" s="452"/>
      <c r="CI34" s="452"/>
      <c r="CJ34" s="452"/>
      <c r="CK34" s="452"/>
      <c r="CL34" s="452"/>
      <c r="CM34" s="80">
        <f t="shared" si="12"/>
        <v>0</v>
      </c>
      <c r="CN34" s="452">
        <v>0</v>
      </c>
      <c r="CO34" s="452"/>
      <c r="CP34" s="452"/>
      <c r="CQ34" s="452"/>
      <c r="CR34" s="452"/>
      <c r="CS34" s="452"/>
      <c r="CT34" s="452"/>
      <c r="CU34" s="452"/>
      <c r="CV34" s="80">
        <f>SUM(CN34:CU34)</f>
        <v>0</v>
      </c>
      <c r="CW34" s="452">
        <v>0</v>
      </c>
      <c r="CX34" s="452"/>
      <c r="CY34" s="452"/>
      <c r="CZ34" s="452"/>
      <c r="DA34" s="452"/>
      <c r="DB34" s="452"/>
      <c r="DC34" s="452"/>
      <c r="DD34" s="452"/>
      <c r="DE34" s="80">
        <f>SUM(CW34:DD34)</f>
        <v>0</v>
      </c>
      <c r="DF34" s="452">
        <v>1</v>
      </c>
      <c r="DG34" s="452"/>
      <c r="DH34" s="452"/>
      <c r="DI34" s="452"/>
      <c r="DJ34" s="452"/>
      <c r="DK34" s="452"/>
      <c r="DL34" s="452"/>
      <c r="DM34" s="452"/>
      <c r="DN34" s="80">
        <f>SUM(DF34:DM34)</f>
        <v>1</v>
      </c>
      <c r="DO34" s="81">
        <f t="shared" si="11"/>
        <v>1</v>
      </c>
      <c r="DP34" s="77" t="s">
        <v>118</v>
      </c>
    </row>
    <row r="35" spans="2:120" ht="23.25">
      <c r="B35" s="459"/>
      <c r="C35" s="459"/>
      <c r="D35" s="460"/>
      <c r="E35" s="460"/>
      <c r="F35" s="221"/>
      <c r="G35" s="90"/>
      <c r="H35" s="90"/>
      <c r="I35" s="90"/>
      <c r="J35" s="91"/>
    </row>
    <row r="36" spans="2:120" ht="23.25">
      <c r="B36" s="92"/>
      <c r="C36" s="3"/>
      <c r="F36" s="222"/>
    </row>
    <row r="37" spans="2:120">
      <c r="F37" s="222"/>
    </row>
    <row r="38" spans="2:120">
      <c r="F38" s="222"/>
      <c r="J38" s="93"/>
    </row>
    <row r="39" spans="2:120">
      <c r="F39" s="222"/>
    </row>
    <row r="40" spans="2:120">
      <c r="F40" s="222"/>
    </row>
    <row r="41" spans="2:120">
      <c r="F41" s="222"/>
    </row>
    <row r="42" spans="2:120">
      <c r="F42" s="222"/>
    </row>
    <row r="43" spans="2:120">
      <c r="F43" s="222"/>
    </row>
    <row r="44" spans="2:120">
      <c r="F44" s="222"/>
    </row>
    <row r="45" spans="2:120">
      <c r="F45" s="222"/>
    </row>
    <row r="46" spans="2:120">
      <c r="F46" s="222"/>
    </row>
    <row r="47" spans="2:120">
      <c r="F47" s="222"/>
    </row>
    <row r="48" spans="2:120">
      <c r="F48" s="222"/>
    </row>
    <row r="49" spans="2:10">
      <c r="F49" s="222"/>
    </row>
    <row r="54" spans="2:10" ht="409.6" customHeight="1">
      <c r="B54" s="461" t="s">
        <v>70</v>
      </c>
      <c r="C54" s="462"/>
      <c r="G54" s="461" t="s">
        <v>71</v>
      </c>
      <c r="H54" s="461"/>
      <c r="I54" s="461"/>
      <c r="J54" s="462"/>
    </row>
    <row r="61" spans="2:10" ht="78.75" customHeight="1"/>
    <row r="62" spans="2:10" ht="97.5" customHeight="1"/>
  </sheetData>
  <mergeCells count="250">
    <mergeCell ref="CE34:CL34"/>
    <mergeCell ref="CN34:CU34"/>
    <mergeCell ref="CW34:DD34"/>
    <mergeCell ref="AL33:AS33"/>
    <mergeCell ref="AU33:BB33"/>
    <mergeCell ref="BD33:BK33"/>
    <mergeCell ref="B35:C35"/>
    <mergeCell ref="D35:E35"/>
    <mergeCell ref="B54:C54"/>
    <mergeCell ref="G54:J54"/>
    <mergeCell ref="BM34:BT34"/>
    <mergeCell ref="BV34:CC34"/>
    <mergeCell ref="B33:B34"/>
    <mergeCell ref="C33:C34"/>
    <mergeCell ref="D33:E34"/>
    <mergeCell ref="F33:F34"/>
    <mergeCell ref="G33:G34"/>
    <mergeCell ref="H33:H34"/>
    <mergeCell ref="I33:I34"/>
    <mergeCell ref="I31:I32"/>
    <mergeCell ref="DF34:DM34"/>
    <mergeCell ref="K34:R34"/>
    <mergeCell ref="T34:AA34"/>
    <mergeCell ref="AC34:AJ34"/>
    <mergeCell ref="AL34:AS34"/>
    <mergeCell ref="AU34:BB34"/>
    <mergeCell ref="BD34:BK34"/>
    <mergeCell ref="BM33:BT33"/>
    <mergeCell ref="BV33:CC33"/>
    <mergeCell ref="CE33:CL33"/>
    <mergeCell ref="CN33:CU33"/>
    <mergeCell ref="CW33:DD33"/>
    <mergeCell ref="DF33:DM33"/>
    <mergeCell ref="K33:R33"/>
    <mergeCell ref="T33:AA33"/>
    <mergeCell ref="AC33:AJ33"/>
    <mergeCell ref="CW31:DD31"/>
    <mergeCell ref="K31:R31"/>
    <mergeCell ref="T31:AA31"/>
    <mergeCell ref="AC31:AJ31"/>
    <mergeCell ref="AL31:AS31"/>
    <mergeCell ref="AU31:BB31"/>
    <mergeCell ref="CN32:CU32"/>
    <mergeCell ref="CW32:DD32"/>
    <mergeCell ref="DF32:DM32"/>
    <mergeCell ref="BD32:BK32"/>
    <mergeCell ref="BM32:BT32"/>
    <mergeCell ref="BV32:CC32"/>
    <mergeCell ref="CE32:CL32"/>
    <mergeCell ref="BD31:BK31"/>
    <mergeCell ref="BM31:BT31"/>
    <mergeCell ref="BV31:CC31"/>
    <mergeCell ref="CE31:CL31"/>
    <mergeCell ref="CN31:CU31"/>
    <mergeCell ref="AL27:AS27"/>
    <mergeCell ref="AU27:BB27"/>
    <mergeCell ref="CE29:CL29"/>
    <mergeCell ref="CN29:CU29"/>
    <mergeCell ref="CW29:DD29"/>
    <mergeCell ref="DF29:DM29"/>
    <mergeCell ref="B31:B32"/>
    <mergeCell ref="C31:C32"/>
    <mergeCell ref="D31:E32"/>
    <mergeCell ref="F31:F32"/>
    <mergeCell ref="G31:G32"/>
    <mergeCell ref="H31:H32"/>
    <mergeCell ref="AC29:AJ29"/>
    <mergeCell ref="AL29:AS29"/>
    <mergeCell ref="AU29:BB29"/>
    <mergeCell ref="BD29:BK29"/>
    <mergeCell ref="BM29:BT29"/>
    <mergeCell ref="BV29:CC29"/>
    <mergeCell ref="DF31:DM31"/>
    <mergeCell ref="K32:R32"/>
    <mergeCell ref="T32:AA32"/>
    <mergeCell ref="AC32:AJ32"/>
    <mergeCell ref="AL32:AS32"/>
    <mergeCell ref="AU32:BB32"/>
    <mergeCell ref="B29:B30"/>
    <mergeCell ref="C29:C30"/>
    <mergeCell ref="D29:E30"/>
    <mergeCell ref="F29:F30"/>
    <mergeCell ref="G29:G30"/>
    <mergeCell ref="H29:H30"/>
    <mergeCell ref="I29:I30"/>
    <mergeCell ref="K29:R29"/>
    <mergeCell ref="T29:AA29"/>
    <mergeCell ref="DF25:DM25"/>
    <mergeCell ref="B27:B28"/>
    <mergeCell ref="C27:C28"/>
    <mergeCell ref="D27:E28"/>
    <mergeCell ref="F27:F28"/>
    <mergeCell ref="G27:G28"/>
    <mergeCell ref="H27:H28"/>
    <mergeCell ref="AC25:AJ25"/>
    <mergeCell ref="AL25:AS25"/>
    <mergeCell ref="AU25:BB25"/>
    <mergeCell ref="BD25:BK25"/>
    <mergeCell ref="BM25:BT25"/>
    <mergeCell ref="BV25:CC25"/>
    <mergeCell ref="DF27:DM27"/>
    <mergeCell ref="BD27:BK27"/>
    <mergeCell ref="BM27:BT27"/>
    <mergeCell ref="BV27:CC27"/>
    <mergeCell ref="CE27:CL27"/>
    <mergeCell ref="CN27:CU27"/>
    <mergeCell ref="CW27:DD27"/>
    <mergeCell ref="I27:I28"/>
    <mergeCell ref="K27:R27"/>
    <mergeCell ref="T27:AA27"/>
    <mergeCell ref="AC27:AJ27"/>
    <mergeCell ref="CN23:CU23"/>
    <mergeCell ref="CW23:DD23"/>
    <mergeCell ref="I23:I24"/>
    <mergeCell ref="K23:R23"/>
    <mergeCell ref="T23:AA23"/>
    <mergeCell ref="AC23:AJ23"/>
    <mergeCell ref="AL23:AS23"/>
    <mergeCell ref="AU23:BB23"/>
    <mergeCell ref="CE25:CL25"/>
    <mergeCell ref="CN25:CU25"/>
    <mergeCell ref="CW25:DD25"/>
    <mergeCell ref="B25:B26"/>
    <mergeCell ref="C25:C26"/>
    <mergeCell ref="D25:E26"/>
    <mergeCell ref="F25:F26"/>
    <mergeCell ref="G25:G26"/>
    <mergeCell ref="H25:H26"/>
    <mergeCell ref="I25:I26"/>
    <mergeCell ref="K25:R25"/>
    <mergeCell ref="T25:AA25"/>
    <mergeCell ref="AC19:AJ19"/>
    <mergeCell ref="AL19:AS19"/>
    <mergeCell ref="AU19:BB19"/>
    <mergeCell ref="CE21:CL21"/>
    <mergeCell ref="CN21:CU21"/>
    <mergeCell ref="CW21:DD21"/>
    <mergeCell ref="DF21:DM21"/>
    <mergeCell ref="B23:B24"/>
    <mergeCell ref="C23:C24"/>
    <mergeCell ref="D23:E24"/>
    <mergeCell ref="F23:F24"/>
    <mergeCell ref="G23:G24"/>
    <mergeCell ref="H23:H24"/>
    <mergeCell ref="AC21:AJ21"/>
    <mergeCell ref="AL21:AS21"/>
    <mergeCell ref="AU21:BB21"/>
    <mergeCell ref="BD21:BK21"/>
    <mergeCell ref="BM21:BT21"/>
    <mergeCell ref="BV21:CC21"/>
    <mergeCell ref="DF23:DM23"/>
    <mergeCell ref="BD23:BK23"/>
    <mergeCell ref="BM23:BT23"/>
    <mergeCell ref="BV23:CC23"/>
    <mergeCell ref="CE23:CL23"/>
    <mergeCell ref="B21:B22"/>
    <mergeCell ref="C21:C22"/>
    <mergeCell ref="D21:E22"/>
    <mergeCell ref="F21:F22"/>
    <mergeCell ref="G21:G22"/>
    <mergeCell ref="H21:H22"/>
    <mergeCell ref="I21:I22"/>
    <mergeCell ref="K21:R21"/>
    <mergeCell ref="T21:AA21"/>
    <mergeCell ref="CW17:DD17"/>
    <mergeCell ref="DF17:DM17"/>
    <mergeCell ref="B19:B20"/>
    <mergeCell ref="C19:C20"/>
    <mergeCell ref="D19:E20"/>
    <mergeCell ref="F19:F20"/>
    <mergeCell ref="G19:G20"/>
    <mergeCell ref="H19:H20"/>
    <mergeCell ref="AC17:AJ17"/>
    <mergeCell ref="AL17:AS17"/>
    <mergeCell ref="AU17:BB17"/>
    <mergeCell ref="BD17:BK17"/>
    <mergeCell ref="BM17:BT17"/>
    <mergeCell ref="BV17:CC17"/>
    <mergeCell ref="DF19:DM19"/>
    <mergeCell ref="BD19:BK19"/>
    <mergeCell ref="BM19:BT19"/>
    <mergeCell ref="BV19:CC19"/>
    <mergeCell ref="CE19:CL19"/>
    <mergeCell ref="CN19:CU19"/>
    <mergeCell ref="CW19:DD19"/>
    <mergeCell ref="I19:I20"/>
    <mergeCell ref="K19:R19"/>
    <mergeCell ref="T19:AA19"/>
    <mergeCell ref="DF15:DM15"/>
    <mergeCell ref="B17:B18"/>
    <mergeCell ref="C17:C18"/>
    <mergeCell ref="D17:E18"/>
    <mergeCell ref="F17:F18"/>
    <mergeCell ref="G17:G18"/>
    <mergeCell ref="H17:H18"/>
    <mergeCell ref="I17:I18"/>
    <mergeCell ref="K17:R17"/>
    <mergeCell ref="T17:AA17"/>
    <mergeCell ref="BD15:BK15"/>
    <mergeCell ref="BM15:BT15"/>
    <mergeCell ref="BV15:CC15"/>
    <mergeCell ref="CE15:CL15"/>
    <mergeCell ref="CN15:CU15"/>
    <mergeCell ref="CW15:DD15"/>
    <mergeCell ref="I15:I16"/>
    <mergeCell ref="K15:R15"/>
    <mergeCell ref="T15:AA15"/>
    <mergeCell ref="AC15:AJ15"/>
    <mergeCell ref="AL15:AS15"/>
    <mergeCell ref="AU15:BB15"/>
    <mergeCell ref="CE17:CL17"/>
    <mergeCell ref="CN17:CU17"/>
    <mergeCell ref="B15:B16"/>
    <mergeCell ref="C15:C16"/>
    <mergeCell ref="D15:E16"/>
    <mergeCell ref="F15:F16"/>
    <mergeCell ref="G15:G16"/>
    <mergeCell ref="H15:H16"/>
    <mergeCell ref="BD11:BL13"/>
    <mergeCell ref="BM11:BU13"/>
    <mergeCell ref="BV11:CD13"/>
    <mergeCell ref="I11:I14"/>
    <mergeCell ref="K11:S13"/>
    <mergeCell ref="T11:AB13"/>
    <mergeCell ref="AC11:AK13"/>
    <mergeCell ref="AL11:AT13"/>
    <mergeCell ref="AU11:BC13"/>
    <mergeCell ref="B2:DP3"/>
    <mergeCell ref="B4:E4"/>
    <mergeCell ref="B5:E5"/>
    <mergeCell ref="B6:E6"/>
    <mergeCell ref="B7:E7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H11:H14"/>
    <mergeCell ref="DF11:DN13"/>
    <mergeCell ref="DO11:DO14"/>
    <mergeCell ref="DP11:DP14"/>
    <mergeCell ref="J13:J14"/>
    <mergeCell ref="CE11:CM13"/>
    <mergeCell ref="CN11:CV13"/>
    <mergeCell ref="CW11:DE13"/>
  </mergeCells>
  <pageMargins left="0.25" right="0.25" top="0.25" bottom="0.28000000000000003" header="0.3" footer="0.3"/>
  <pageSetup scale="13" fitToHeight="0" orientation="landscape" r:id="rId1"/>
  <headerFooter>
    <oddFooter>&amp;R&amp;10F-PEM-07-00 
DIF Guadalajara
Pág. &amp;P de &amp;N</oddFooter>
  </headerFooter>
  <ignoredErrors>
    <ignoredError sqref="DN15:DO3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P58"/>
  <sheetViews>
    <sheetView tabSelected="1" view="pageBreakPreview" topLeftCell="D1" zoomScale="20" zoomScaleNormal="90" zoomScaleSheetLayoutView="20" workbookViewId="0">
      <selection activeCell="DK24" sqref="DK24"/>
    </sheetView>
  </sheetViews>
  <sheetFormatPr baseColWidth="10" defaultColWidth="10.85546875" defaultRowHeight="15"/>
  <cols>
    <col min="1" max="1" width="6.5703125" style="137" customWidth="1"/>
    <col min="2" max="2" width="95.42578125" style="138" customWidth="1"/>
    <col min="3" max="3" width="79.140625" style="138" customWidth="1"/>
    <col min="4" max="4" width="34.85546875" style="138" customWidth="1"/>
    <col min="5" max="5" width="34.5703125" style="138" customWidth="1"/>
    <col min="6" max="6" width="81" style="138" customWidth="1"/>
    <col min="7" max="7" width="64.7109375" style="138" customWidth="1"/>
    <col min="8" max="8" width="81.85546875" style="138" customWidth="1"/>
    <col min="9" max="9" width="57.5703125" style="138" customWidth="1"/>
    <col min="10" max="10" width="67.140625" style="138" customWidth="1"/>
    <col min="11" max="12" width="30.7109375" style="139" hidden="1" customWidth="1"/>
    <col min="13" max="19" width="30.7109375" style="140" hidden="1" customWidth="1"/>
    <col min="20" max="63" width="30.7109375" style="137" hidden="1" customWidth="1"/>
    <col min="64" max="64" width="42" style="137" hidden="1" customWidth="1"/>
    <col min="65" max="109" width="30.7109375" style="137" hidden="1" customWidth="1"/>
    <col min="110" max="118" width="30.7109375" style="137" customWidth="1"/>
    <col min="119" max="119" width="65" style="137" customWidth="1"/>
    <col min="120" max="120" width="97.140625" style="137" customWidth="1"/>
    <col min="121" max="16384" width="10.85546875" style="137"/>
  </cols>
  <sheetData>
    <row r="2" spans="2:120">
      <c r="B2" s="463" t="s">
        <v>26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63"/>
      <c r="AE2" s="463"/>
      <c r="AF2" s="463"/>
      <c r="AG2" s="463"/>
      <c r="AH2" s="463"/>
      <c r="AI2" s="463"/>
      <c r="AJ2" s="463"/>
      <c r="AK2" s="463"/>
      <c r="AL2" s="463"/>
      <c r="AM2" s="463"/>
      <c r="AN2" s="463"/>
      <c r="AO2" s="463"/>
      <c r="AP2" s="463"/>
      <c r="AQ2" s="463"/>
      <c r="AR2" s="463"/>
      <c r="AS2" s="463"/>
      <c r="AT2" s="463"/>
      <c r="AU2" s="463"/>
      <c r="AV2" s="463"/>
      <c r="AW2" s="463"/>
      <c r="AX2" s="463"/>
      <c r="AY2" s="463"/>
      <c r="AZ2" s="463"/>
      <c r="BA2" s="463"/>
      <c r="BB2" s="463"/>
      <c r="BC2" s="463"/>
      <c r="BD2" s="463"/>
      <c r="BE2" s="463"/>
      <c r="BF2" s="463"/>
      <c r="BG2" s="463"/>
      <c r="BH2" s="463"/>
      <c r="BI2" s="463"/>
      <c r="BJ2" s="463"/>
      <c r="BK2" s="463"/>
      <c r="BL2" s="463"/>
      <c r="BM2" s="463"/>
      <c r="BN2" s="463"/>
      <c r="BO2" s="463"/>
      <c r="BP2" s="463"/>
      <c r="BQ2" s="463"/>
      <c r="BR2" s="463"/>
      <c r="BS2" s="463"/>
      <c r="BT2" s="463"/>
      <c r="BU2" s="463"/>
      <c r="BV2" s="463"/>
      <c r="BW2" s="463"/>
      <c r="BX2" s="463"/>
      <c r="BY2" s="463"/>
      <c r="BZ2" s="463"/>
      <c r="CA2" s="463"/>
      <c r="CB2" s="463"/>
      <c r="CC2" s="463"/>
      <c r="CD2" s="463"/>
      <c r="CE2" s="463"/>
      <c r="CF2" s="463"/>
      <c r="CG2" s="463"/>
      <c r="CH2" s="463"/>
      <c r="CI2" s="463"/>
      <c r="CJ2" s="463"/>
      <c r="CK2" s="463"/>
      <c r="CL2" s="463"/>
      <c r="CM2" s="463"/>
      <c r="CN2" s="463"/>
      <c r="CO2" s="463"/>
      <c r="CP2" s="463"/>
      <c r="CQ2" s="463"/>
      <c r="CR2" s="463"/>
      <c r="CS2" s="463"/>
      <c r="CT2" s="463"/>
      <c r="CU2" s="463"/>
      <c r="CV2" s="463"/>
      <c r="CW2" s="463"/>
      <c r="CX2" s="463"/>
      <c r="CY2" s="463"/>
      <c r="CZ2" s="463"/>
      <c r="DA2" s="463"/>
      <c r="DB2" s="463"/>
      <c r="DC2" s="463"/>
      <c r="DD2" s="463"/>
      <c r="DE2" s="463"/>
      <c r="DF2" s="463"/>
      <c r="DG2" s="463"/>
      <c r="DH2" s="463"/>
      <c r="DI2" s="463"/>
      <c r="DJ2" s="463"/>
      <c r="DK2" s="463"/>
      <c r="DL2" s="463"/>
      <c r="DM2" s="463"/>
      <c r="DN2" s="463"/>
      <c r="DO2" s="463"/>
      <c r="DP2" s="463"/>
    </row>
    <row r="3" spans="2:120" ht="115.5" customHeight="1"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  <c r="AD3" s="463"/>
      <c r="AE3" s="463"/>
      <c r="AF3" s="463"/>
      <c r="AG3" s="463"/>
      <c r="AH3" s="463"/>
      <c r="AI3" s="463"/>
      <c r="AJ3" s="463"/>
      <c r="AK3" s="463"/>
      <c r="AL3" s="463"/>
      <c r="AM3" s="463"/>
      <c r="AN3" s="463"/>
      <c r="AO3" s="463"/>
      <c r="AP3" s="463"/>
      <c r="AQ3" s="463"/>
      <c r="AR3" s="463"/>
      <c r="AS3" s="463"/>
      <c r="AT3" s="463"/>
      <c r="AU3" s="463"/>
      <c r="AV3" s="463"/>
      <c r="AW3" s="463"/>
      <c r="AX3" s="463"/>
      <c r="AY3" s="463"/>
      <c r="AZ3" s="463"/>
      <c r="BA3" s="463"/>
      <c r="BB3" s="463"/>
      <c r="BC3" s="463"/>
      <c r="BD3" s="463"/>
      <c r="BE3" s="463"/>
      <c r="BF3" s="463"/>
      <c r="BG3" s="463"/>
      <c r="BH3" s="463"/>
      <c r="BI3" s="463"/>
      <c r="BJ3" s="463"/>
      <c r="BK3" s="463"/>
      <c r="BL3" s="463"/>
      <c r="BM3" s="463"/>
      <c r="BN3" s="463"/>
      <c r="BO3" s="463"/>
      <c r="BP3" s="463"/>
      <c r="BQ3" s="463"/>
      <c r="BR3" s="463"/>
      <c r="BS3" s="463"/>
      <c r="BT3" s="463"/>
      <c r="BU3" s="463"/>
      <c r="BV3" s="463"/>
      <c r="BW3" s="463"/>
      <c r="BX3" s="463"/>
      <c r="BY3" s="463"/>
      <c r="BZ3" s="463"/>
      <c r="CA3" s="463"/>
      <c r="CB3" s="463"/>
      <c r="CC3" s="463"/>
      <c r="CD3" s="463"/>
      <c r="CE3" s="463"/>
      <c r="CF3" s="463"/>
      <c r="CG3" s="463"/>
      <c r="CH3" s="463"/>
      <c r="CI3" s="463"/>
      <c r="CJ3" s="463"/>
      <c r="CK3" s="463"/>
      <c r="CL3" s="463"/>
      <c r="CM3" s="463"/>
      <c r="CN3" s="463"/>
      <c r="CO3" s="463"/>
      <c r="CP3" s="463"/>
      <c r="CQ3" s="463"/>
      <c r="CR3" s="463"/>
      <c r="CS3" s="463"/>
      <c r="CT3" s="463"/>
      <c r="CU3" s="463"/>
      <c r="CV3" s="463"/>
      <c r="CW3" s="463"/>
      <c r="CX3" s="463"/>
      <c r="CY3" s="463"/>
      <c r="CZ3" s="463"/>
      <c r="DA3" s="463"/>
      <c r="DB3" s="463"/>
      <c r="DC3" s="463"/>
      <c r="DD3" s="463"/>
      <c r="DE3" s="463"/>
      <c r="DF3" s="463"/>
      <c r="DG3" s="463"/>
      <c r="DH3" s="463"/>
      <c r="DI3" s="463"/>
      <c r="DJ3" s="463"/>
      <c r="DK3" s="463"/>
      <c r="DL3" s="463"/>
      <c r="DM3" s="463"/>
      <c r="DN3" s="463"/>
      <c r="DO3" s="463"/>
      <c r="DP3" s="463"/>
    </row>
    <row r="4" spans="2:120" ht="127.5" customHeight="1">
      <c r="B4" s="338" t="s">
        <v>165</v>
      </c>
      <c r="C4" s="338"/>
      <c r="D4" s="338"/>
      <c r="E4" s="338"/>
      <c r="F4" s="1"/>
    </row>
    <row r="5" spans="2:120" ht="69.95" customHeight="1">
      <c r="B5" s="464" t="s">
        <v>27</v>
      </c>
      <c r="C5" s="464"/>
      <c r="D5" s="464"/>
      <c r="E5" s="464"/>
      <c r="F5" s="2"/>
      <c r="J5" s="141"/>
      <c r="K5" s="142"/>
      <c r="L5" s="142"/>
      <c r="P5" s="143"/>
      <c r="Q5" s="143"/>
      <c r="R5" s="143"/>
      <c r="S5" s="143"/>
      <c r="T5" s="144"/>
      <c r="U5" s="144"/>
    </row>
    <row r="6" spans="2:120" ht="87" customHeight="1">
      <c r="B6" s="338" t="s">
        <v>22</v>
      </c>
      <c r="C6" s="338"/>
      <c r="D6" s="338"/>
      <c r="E6" s="338"/>
      <c r="F6" s="1"/>
      <c r="G6" s="138" t="s">
        <v>166</v>
      </c>
      <c r="J6" s="145"/>
      <c r="K6" s="146"/>
      <c r="L6" s="146"/>
      <c r="P6" s="143"/>
      <c r="Q6" s="143"/>
      <c r="R6" s="143"/>
      <c r="S6" s="143"/>
      <c r="T6" s="147"/>
      <c r="U6" s="147"/>
    </row>
    <row r="7" spans="2:120" ht="77.25" customHeight="1">
      <c r="B7" s="341" t="s">
        <v>28</v>
      </c>
      <c r="C7" s="341"/>
      <c r="D7" s="341"/>
      <c r="E7" s="341"/>
      <c r="F7" s="2"/>
      <c r="P7" s="143"/>
      <c r="Q7" s="143"/>
      <c r="R7" s="143"/>
      <c r="S7" s="143"/>
      <c r="T7" s="144"/>
      <c r="U7" s="144"/>
    </row>
    <row r="8" spans="2:120" ht="77.45" customHeight="1">
      <c r="B8" s="338" t="s">
        <v>29</v>
      </c>
      <c r="C8" s="338"/>
      <c r="D8" s="338"/>
      <c r="E8" s="338"/>
      <c r="F8" s="1"/>
      <c r="P8" s="143"/>
      <c r="Q8" s="143"/>
      <c r="R8" s="143"/>
      <c r="S8" s="143"/>
      <c r="T8" s="144"/>
      <c r="U8" s="144"/>
    </row>
    <row r="9" spans="2:120" ht="103.5" customHeight="1">
      <c r="B9" s="341" t="s">
        <v>30</v>
      </c>
      <c r="C9" s="341"/>
      <c r="D9" s="341"/>
      <c r="E9" s="341"/>
      <c r="F9" s="2"/>
      <c r="K9" s="465" t="s">
        <v>31</v>
      </c>
      <c r="L9" s="465"/>
      <c r="M9" s="465"/>
      <c r="N9" s="465"/>
      <c r="O9" s="465"/>
      <c r="P9" s="465"/>
      <c r="Q9" s="465"/>
      <c r="R9" s="465"/>
      <c r="S9" s="465"/>
      <c r="T9" s="465"/>
      <c r="U9" s="465"/>
      <c r="V9" s="465"/>
      <c r="W9" s="4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  <c r="AI9" s="465"/>
      <c r="AJ9" s="465"/>
      <c r="AK9" s="465"/>
      <c r="AL9" s="465"/>
      <c r="AM9" s="465"/>
      <c r="AN9" s="465"/>
      <c r="AO9" s="465"/>
      <c r="AP9" s="465"/>
      <c r="AQ9" s="465"/>
      <c r="AR9" s="465"/>
      <c r="AS9" s="465"/>
      <c r="AT9" s="465"/>
      <c r="AU9" s="465"/>
      <c r="AV9" s="465"/>
      <c r="AW9" s="465"/>
      <c r="AX9" s="465"/>
      <c r="AY9" s="465"/>
      <c r="AZ9" s="465"/>
      <c r="BA9" s="465"/>
      <c r="BB9" s="465"/>
      <c r="BC9" s="465"/>
      <c r="BD9" s="465"/>
      <c r="BE9" s="465"/>
      <c r="BF9" s="465"/>
      <c r="BG9" s="465"/>
      <c r="BH9" s="465"/>
      <c r="BI9" s="465"/>
      <c r="BJ9" s="465"/>
      <c r="BK9" s="465"/>
      <c r="BL9" s="465"/>
      <c r="BM9" s="465"/>
      <c r="BN9" s="465"/>
      <c r="BO9" s="465"/>
      <c r="BP9" s="465"/>
      <c r="BQ9" s="465"/>
      <c r="BR9" s="465"/>
      <c r="BS9" s="465"/>
      <c r="BT9" s="465"/>
      <c r="BU9" s="465"/>
      <c r="BV9" s="465"/>
      <c r="BW9" s="465"/>
      <c r="BX9" s="465"/>
      <c r="BY9" s="465"/>
      <c r="BZ9" s="465"/>
      <c r="CA9" s="465"/>
      <c r="CB9" s="465"/>
      <c r="CC9" s="465"/>
      <c r="CD9" s="465"/>
      <c r="CE9" s="465"/>
      <c r="CF9" s="465"/>
      <c r="CG9" s="465"/>
      <c r="CH9" s="465"/>
      <c r="CI9" s="465"/>
      <c r="CJ9" s="465"/>
      <c r="CK9" s="465"/>
      <c r="CL9" s="465"/>
      <c r="CM9" s="465"/>
      <c r="CN9" s="465"/>
      <c r="CO9" s="465"/>
      <c r="CP9" s="465"/>
      <c r="CQ9" s="465"/>
      <c r="CR9" s="465"/>
      <c r="CS9" s="465"/>
      <c r="CT9" s="465"/>
      <c r="CU9" s="465"/>
      <c r="CV9" s="465"/>
      <c r="CW9" s="465"/>
      <c r="CX9" s="465"/>
      <c r="CY9" s="465"/>
      <c r="CZ9" s="465"/>
      <c r="DA9" s="465"/>
      <c r="DB9" s="465"/>
      <c r="DC9" s="465"/>
      <c r="DD9" s="465"/>
      <c r="DE9" s="465"/>
      <c r="DF9" s="465"/>
      <c r="DG9" s="465"/>
      <c r="DH9" s="465"/>
      <c r="DI9" s="465"/>
      <c r="DJ9" s="465"/>
      <c r="DK9" s="465"/>
      <c r="DL9" s="465"/>
      <c r="DM9" s="465"/>
      <c r="DN9" s="465"/>
      <c r="DO9" s="465"/>
      <c r="DP9" s="465"/>
    </row>
    <row r="10" spans="2:120" ht="90" customHeight="1">
      <c r="B10" s="467" t="s">
        <v>32</v>
      </c>
      <c r="C10" s="467" t="s">
        <v>33</v>
      </c>
      <c r="D10" s="467" t="s">
        <v>34</v>
      </c>
      <c r="E10" s="467"/>
      <c r="F10" s="469" t="s">
        <v>35</v>
      </c>
      <c r="G10" s="469" t="s">
        <v>36</v>
      </c>
      <c r="H10" s="471" t="s">
        <v>37</v>
      </c>
      <c r="I10" s="471"/>
      <c r="J10" s="472" t="s">
        <v>38</v>
      </c>
      <c r="K10" s="466"/>
      <c r="L10" s="466"/>
      <c r="M10" s="466"/>
      <c r="N10" s="466"/>
      <c r="O10" s="466"/>
      <c r="P10" s="466"/>
      <c r="Q10" s="466"/>
      <c r="R10" s="466"/>
      <c r="S10" s="466"/>
      <c r="T10" s="466"/>
      <c r="U10" s="466"/>
      <c r="V10" s="466"/>
      <c r="W10" s="466"/>
      <c r="X10" s="466"/>
      <c r="Y10" s="466"/>
      <c r="Z10" s="466"/>
      <c r="AA10" s="466"/>
      <c r="AB10" s="466"/>
      <c r="AC10" s="466"/>
      <c r="AD10" s="466"/>
      <c r="AE10" s="466"/>
      <c r="AF10" s="466"/>
      <c r="AG10" s="466"/>
      <c r="AH10" s="466"/>
      <c r="AI10" s="466"/>
      <c r="AJ10" s="466"/>
      <c r="AK10" s="466"/>
      <c r="AL10" s="466"/>
      <c r="AM10" s="466"/>
      <c r="AN10" s="466"/>
      <c r="AO10" s="466"/>
      <c r="AP10" s="466"/>
      <c r="AQ10" s="466"/>
      <c r="AR10" s="466"/>
      <c r="AS10" s="466"/>
      <c r="AT10" s="466"/>
      <c r="AU10" s="466"/>
      <c r="AV10" s="466"/>
      <c r="AW10" s="466"/>
      <c r="AX10" s="466"/>
      <c r="AY10" s="466"/>
      <c r="AZ10" s="466"/>
      <c r="BA10" s="466"/>
      <c r="BB10" s="466"/>
      <c r="BC10" s="466"/>
      <c r="BD10" s="466"/>
      <c r="BE10" s="466"/>
      <c r="BF10" s="466"/>
      <c r="BG10" s="466"/>
      <c r="BH10" s="466"/>
      <c r="BI10" s="466"/>
      <c r="BJ10" s="466"/>
      <c r="BK10" s="466"/>
      <c r="BL10" s="466"/>
      <c r="BM10" s="466"/>
      <c r="BN10" s="466"/>
      <c r="BO10" s="466"/>
      <c r="BP10" s="466"/>
      <c r="BQ10" s="466"/>
      <c r="BR10" s="466"/>
      <c r="BS10" s="466"/>
      <c r="BT10" s="466"/>
      <c r="BU10" s="466"/>
      <c r="BV10" s="466"/>
      <c r="BW10" s="466"/>
      <c r="BX10" s="466"/>
      <c r="BY10" s="466"/>
      <c r="BZ10" s="466"/>
      <c r="CA10" s="466"/>
      <c r="CB10" s="466"/>
      <c r="CC10" s="466"/>
      <c r="CD10" s="466"/>
      <c r="CE10" s="466"/>
      <c r="CF10" s="466"/>
      <c r="CG10" s="466"/>
      <c r="CH10" s="466"/>
      <c r="CI10" s="466"/>
      <c r="CJ10" s="466"/>
      <c r="CK10" s="466"/>
      <c r="CL10" s="466"/>
      <c r="CM10" s="466"/>
      <c r="CN10" s="466"/>
      <c r="CO10" s="466"/>
      <c r="CP10" s="466"/>
      <c r="CQ10" s="466"/>
      <c r="CR10" s="466"/>
      <c r="CS10" s="466"/>
      <c r="CT10" s="466"/>
      <c r="CU10" s="466"/>
      <c r="CV10" s="466"/>
      <c r="CW10" s="466"/>
      <c r="CX10" s="466"/>
      <c r="CY10" s="466"/>
      <c r="CZ10" s="466"/>
      <c r="DA10" s="466"/>
      <c r="DB10" s="466"/>
      <c r="DC10" s="466"/>
      <c r="DD10" s="466"/>
      <c r="DE10" s="466"/>
      <c r="DF10" s="466"/>
      <c r="DG10" s="466"/>
      <c r="DH10" s="466"/>
      <c r="DI10" s="466"/>
      <c r="DJ10" s="466"/>
      <c r="DK10" s="466"/>
      <c r="DL10" s="466"/>
      <c r="DM10" s="466"/>
      <c r="DN10" s="466"/>
      <c r="DO10" s="466"/>
      <c r="DP10" s="466"/>
    </row>
    <row r="11" spans="2:120" ht="24.95" customHeight="1">
      <c r="B11" s="467"/>
      <c r="C11" s="467"/>
      <c r="D11" s="467"/>
      <c r="E11" s="467"/>
      <c r="F11" s="469"/>
      <c r="G11" s="469"/>
      <c r="H11" s="469" t="s">
        <v>39</v>
      </c>
      <c r="I11" s="469" t="s">
        <v>40</v>
      </c>
      <c r="J11" s="472"/>
      <c r="K11" s="473" t="s">
        <v>41</v>
      </c>
      <c r="L11" s="474"/>
      <c r="M11" s="474"/>
      <c r="N11" s="474"/>
      <c r="O11" s="474"/>
      <c r="P11" s="474"/>
      <c r="Q11" s="474"/>
      <c r="R11" s="474"/>
      <c r="S11" s="475"/>
      <c r="T11" s="473" t="s">
        <v>42</v>
      </c>
      <c r="U11" s="474"/>
      <c r="V11" s="474"/>
      <c r="W11" s="474"/>
      <c r="X11" s="474"/>
      <c r="Y11" s="474"/>
      <c r="Z11" s="474"/>
      <c r="AA11" s="474"/>
      <c r="AB11" s="475"/>
      <c r="AC11" s="473" t="s">
        <v>43</v>
      </c>
      <c r="AD11" s="474"/>
      <c r="AE11" s="474"/>
      <c r="AF11" s="474"/>
      <c r="AG11" s="474"/>
      <c r="AH11" s="474"/>
      <c r="AI11" s="474"/>
      <c r="AJ11" s="474"/>
      <c r="AK11" s="475"/>
      <c r="AL11" s="473" t="s">
        <v>44</v>
      </c>
      <c r="AM11" s="474"/>
      <c r="AN11" s="474"/>
      <c r="AO11" s="474"/>
      <c r="AP11" s="474"/>
      <c r="AQ11" s="474"/>
      <c r="AR11" s="474"/>
      <c r="AS11" s="474"/>
      <c r="AT11" s="475"/>
      <c r="AU11" s="473" t="s">
        <v>45</v>
      </c>
      <c r="AV11" s="474"/>
      <c r="AW11" s="474"/>
      <c r="AX11" s="474"/>
      <c r="AY11" s="474"/>
      <c r="AZ11" s="474"/>
      <c r="BA11" s="474"/>
      <c r="BB11" s="474"/>
      <c r="BC11" s="475"/>
      <c r="BD11" s="473" t="s">
        <v>46</v>
      </c>
      <c r="BE11" s="474"/>
      <c r="BF11" s="474"/>
      <c r="BG11" s="474"/>
      <c r="BH11" s="474"/>
      <c r="BI11" s="474"/>
      <c r="BJ11" s="474"/>
      <c r="BK11" s="474"/>
      <c r="BL11" s="475"/>
      <c r="BM11" s="473" t="s">
        <v>47</v>
      </c>
      <c r="BN11" s="474"/>
      <c r="BO11" s="474"/>
      <c r="BP11" s="474"/>
      <c r="BQ11" s="474"/>
      <c r="BR11" s="474"/>
      <c r="BS11" s="474"/>
      <c r="BT11" s="474"/>
      <c r="BU11" s="475"/>
      <c r="BV11" s="473" t="s">
        <v>48</v>
      </c>
      <c r="BW11" s="474"/>
      <c r="BX11" s="474"/>
      <c r="BY11" s="474"/>
      <c r="BZ11" s="474"/>
      <c r="CA11" s="474"/>
      <c r="CB11" s="474"/>
      <c r="CC11" s="474"/>
      <c r="CD11" s="475"/>
      <c r="CE11" s="473" t="s">
        <v>49</v>
      </c>
      <c r="CF11" s="474"/>
      <c r="CG11" s="474"/>
      <c r="CH11" s="474"/>
      <c r="CI11" s="474"/>
      <c r="CJ11" s="474"/>
      <c r="CK11" s="474"/>
      <c r="CL11" s="474"/>
      <c r="CM11" s="475"/>
      <c r="CN11" s="473" t="s">
        <v>50</v>
      </c>
      <c r="CO11" s="474"/>
      <c r="CP11" s="474"/>
      <c r="CQ11" s="474"/>
      <c r="CR11" s="474"/>
      <c r="CS11" s="474"/>
      <c r="CT11" s="474"/>
      <c r="CU11" s="474"/>
      <c r="CV11" s="475"/>
      <c r="CW11" s="473" t="s">
        <v>51</v>
      </c>
      <c r="CX11" s="474"/>
      <c r="CY11" s="474"/>
      <c r="CZ11" s="474"/>
      <c r="DA11" s="474"/>
      <c r="DB11" s="474"/>
      <c r="DC11" s="474"/>
      <c r="DD11" s="474"/>
      <c r="DE11" s="475"/>
      <c r="DF11" s="473" t="s">
        <v>52</v>
      </c>
      <c r="DG11" s="474"/>
      <c r="DH11" s="474"/>
      <c r="DI11" s="474"/>
      <c r="DJ11" s="474"/>
      <c r="DK11" s="474"/>
      <c r="DL11" s="474"/>
      <c r="DM11" s="474"/>
      <c r="DN11" s="475"/>
      <c r="DO11" s="482" t="s">
        <v>53</v>
      </c>
      <c r="DP11" s="485" t="s">
        <v>54</v>
      </c>
    </row>
    <row r="12" spans="2:120" ht="48" customHeight="1">
      <c r="B12" s="467"/>
      <c r="C12" s="467"/>
      <c r="D12" s="467"/>
      <c r="E12" s="467"/>
      <c r="F12" s="469"/>
      <c r="G12" s="469"/>
      <c r="H12" s="469"/>
      <c r="I12" s="469"/>
      <c r="J12" s="472"/>
      <c r="K12" s="476"/>
      <c r="L12" s="477"/>
      <c r="M12" s="477"/>
      <c r="N12" s="477"/>
      <c r="O12" s="477"/>
      <c r="P12" s="477"/>
      <c r="Q12" s="477"/>
      <c r="R12" s="477"/>
      <c r="S12" s="478"/>
      <c r="T12" s="476"/>
      <c r="U12" s="477"/>
      <c r="V12" s="477"/>
      <c r="W12" s="477"/>
      <c r="X12" s="477"/>
      <c r="Y12" s="477"/>
      <c r="Z12" s="477"/>
      <c r="AA12" s="477"/>
      <c r="AB12" s="478"/>
      <c r="AC12" s="476"/>
      <c r="AD12" s="477"/>
      <c r="AE12" s="477"/>
      <c r="AF12" s="477"/>
      <c r="AG12" s="477"/>
      <c r="AH12" s="477"/>
      <c r="AI12" s="477"/>
      <c r="AJ12" s="477"/>
      <c r="AK12" s="478"/>
      <c r="AL12" s="476"/>
      <c r="AM12" s="477"/>
      <c r="AN12" s="477"/>
      <c r="AO12" s="477"/>
      <c r="AP12" s="477"/>
      <c r="AQ12" s="477"/>
      <c r="AR12" s="477"/>
      <c r="AS12" s="477"/>
      <c r="AT12" s="478"/>
      <c r="AU12" s="476"/>
      <c r="AV12" s="477"/>
      <c r="AW12" s="477"/>
      <c r="AX12" s="477"/>
      <c r="AY12" s="477"/>
      <c r="AZ12" s="477"/>
      <c r="BA12" s="477"/>
      <c r="BB12" s="477"/>
      <c r="BC12" s="478"/>
      <c r="BD12" s="476"/>
      <c r="BE12" s="477"/>
      <c r="BF12" s="477"/>
      <c r="BG12" s="477"/>
      <c r="BH12" s="477"/>
      <c r="BI12" s="477"/>
      <c r="BJ12" s="477"/>
      <c r="BK12" s="477"/>
      <c r="BL12" s="478"/>
      <c r="BM12" s="476"/>
      <c r="BN12" s="477"/>
      <c r="BO12" s="477"/>
      <c r="BP12" s="477"/>
      <c r="BQ12" s="477"/>
      <c r="BR12" s="477"/>
      <c r="BS12" s="477"/>
      <c r="BT12" s="477"/>
      <c r="BU12" s="478"/>
      <c r="BV12" s="476"/>
      <c r="BW12" s="477"/>
      <c r="BX12" s="477"/>
      <c r="BY12" s="477"/>
      <c r="BZ12" s="477"/>
      <c r="CA12" s="477"/>
      <c r="CB12" s="477"/>
      <c r="CC12" s="477"/>
      <c r="CD12" s="478"/>
      <c r="CE12" s="476"/>
      <c r="CF12" s="477"/>
      <c r="CG12" s="477"/>
      <c r="CH12" s="477"/>
      <c r="CI12" s="477"/>
      <c r="CJ12" s="477"/>
      <c r="CK12" s="477"/>
      <c r="CL12" s="477"/>
      <c r="CM12" s="478"/>
      <c r="CN12" s="476"/>
      <c r="CO12" s="477"/>
      <c r="CP12" s="477"/>
      <c r="CQ12" s="477"/>
      <c r="CR12" s="477"/>
      <c r="CS12" s="477"/>
      <c r="CT12" s="477"/>
      <c r="CU12" s="477"/>
      <c r="CV12" s="478"/>
      <c r="CW12" s="476"/>
      <c r="CX12" s="477"/>
      <c r="CY12" s="477"/>
      <c r="CZ12" s="477"/>
      <c r="DA12" s="477"/>
      <c r="DB12" s="477"/>
      <c r="DC12" s="477"/>
      <c r="DD12" s="477"/>
      <c r="DE12" s="478"/>
      <c r="DF12" s="476"/>
      <c r="DG12" s="477"/>
      <c r="DH12" s="477"/>
      <c r="DI12" s="477"/>
      <c r="DJ12" s="477"/>
      <c r="DK12" s="477"/>
      <c r="DL12" s="477"/>
      <c r="DM12" s="477"/>
      <c r="DN12" s="478"/>
      <c r="DO12" s="483"/>
      <c r="DP12" s="486"/>
    </row>
    <row r="13" spans="2:120" ht="78" customHeight="1">
      <c r="B13" s="467"/>
      <c r="C13" s="467"/>
      <c r="D13" s="467"/>
      <c r="E13" s="467"/>
      <c r="F13" s="469"/>
      <c r="G13" s="469"/>
      <c r="H13" s="469"/>
      <c r="I13" s="469"/>
      <c r="J13" s="488" t="s">
        <v>55</v>
      </c>
      <c r="K13" s="479"/>
      <c r="L13" s="480"/>
      <c r="M13" s="480"/>
      <c r="N13" s="480"/>
      <c r="O13" s="480"/>
      <c r="P13" s="480"/>
      <c r="Q13" s="480"/>
      <c r="R13" s="480"/>
      <c r="S13" s="481"/>
      <c r="T13" s="479"/>
      <c r="U13" s="480"/>
      <c r="V13" s="480"/>
      <c r="W13" s="480"/>
      <c r="X13" s="480"/>
      <c r="Y13" s="480"/>
      <c r="Z13" s="480"/>
      <c r="AA13" s="480"/>
      <c r="AB13" s="481"/>
      <c r="AC13" s="479"/>
      <c r="AD13" s="480"/>
      <c r="AE13" s="480"/>
      <c r="AF13" s="480"/>
      <c r="AG13" s="480"/>
      <c r="AH13" s="480"/>
      <c r="AI13" s="480"/>
      <c r="AJ13" s="480"/>
      <c r="AK13" s="481"/>
      <c r="AL13" s="479"/>
      <c r="AM13" s="480"/>
      <c r="AN13" s="480"/>
      <c r="AO13" s="480"/>
      <c r="AP13" s="480"/>
      <c r="AQ13" s="480"/>
      <c r="AR13" s="480"/>
      <c r="AS13" s="480"/>
      <c r="AT13" s="481"/>
      <c r="AU13" s="479"/>
      <c r="AV13" s="480"/>
      <c r="AW13" s="480"/>
      <c r="AX13" s="480"/>
      <c r="AY13" s="480"/>
      <c r="AZ13" s="480"/>
      <c r="BA13" s="480"/>
      <c r="BB13" s="480"/>
      <c r="BC13" s="481"/>
      <c r="BD13" s="479"/>
      <c r="BE13" s="480"/>
      <c r="BF13" s="480"/>
      <c r="BG13" s="480"/>
      <c r="BH13" s="480"/>
      <c r="BI13" s="480"/>
      <c r="BJ13" s="480"/>
      <c r="BK13" s="480"/>
      <c r="BL13" s="481"/>
      <c r="BM13" s="479"/>
      <c r="BN13" s="480"/>
      <c r="BO13" s="480"/>
      <c r="BP13" s="480"/>
      <c r="BQ13" s="480"/>
      <c r="BR13" s="480"/>
      <c r="BS13" s="480"/>
      <c r="BT13" s="480"/>
      <c r="BU13" s="481"/>
      <c r="BV13" s="479"/>
      <c r="BW13" s="480"/>
      <c r="BX13" s="480"/>
      <c r="BY13" s="480"/>
      <c r="BZ13" s="480"/>
      <c r="CA13" s="480"/>
      <c r="CB13" s="480"/>
      <c r="CC13" s="480"/>
      <c r="CD13" s="481"/>
      <c r="CE13" s="479"/>
      <c r="CF13" s="480"/>
      <c r="CG13" s="480"/>
      <c r="CH13" s="480"/>
      <c r="CI13" s="480"/>
      <c r="CJ13" s="480"/>
      <c r="CK13" s="480"/>
      <c r="CL13" s="480"/>
      <c r="CM13" s="481"/>
      <c r="CN13" s="479"/>
      <c r="CO13" s="480"/>
      <c r="CP13" s="480"/>
      <c r="CQ13" s="480"/>
      <c r="CR13" s="480"/>
      <c r="CS13" s="480"/>
      <c r="CT13" s="480"/>
      <c r="CU13" s="480"/>
      <c r="CV13" s="481"/>
      <c r="CW13" s="479"/>
      <c r="CX13" s="480"/>
      <c r="CY13" s="480"/>
      <c r="CZ13" s="480"/>
      <c r="DA13" s="480"/>
      <c r="DB13" s="480"/>
      <c r="DC13" s="480"/>
      <c r="DD13" s="480"/>
      <c r="DE13" s="481"/>
      <c r="DF13" s="479"/>
      <c r="DG13" s="480"/>
      <c r="DH13" s="480"/>
      <c r="DI13" s="480"/>
      <c r="DJ13" s="480"/>
      <c r="DK13" s="480"/>
      <c r="DL13" s="480"/>
      <c r="DM13" s="480"/>
      <c r="DN13" s="481"/>
      <c r="DO13" s="483"/>
      <c r="DP13" s="486"/>
    </row>
    <row r="14" spans="2:120" ht="99.95" customHeight="1">
      <c r="B14" s="468"/>
      <c r="C14" s="468"/>
      <c r="D14" s="468"/>
      <c r="E14" s="468"/>
      <c r="F14" s="470"/>
      <c r="G14" s="470"/>
      <c r="H14" s="470"/>
      <c r="I14" s="470"/>
      <c r="J14" s="488"/>
      <c r="K14" s="148" t="s">
        <v>56</v>
      </c>
      <c r="L14" s="148" t="s">
        <v>57</v>
      </c>
      <c r="M14" s="148" t="s">
        <v>58</v>
      </c>
      <c r="N14" s="148" t="s">
        <v>59</v>
      </c>
      <c r="O14" s="148" t="s">
        <v>60</v>
      </c>
      <c r="P14" s="148" t="s">
        <v>61</v>
      </c>
      <c r="Q14" s="148" t="s">
        <v>62</v>
      </c>
      <c r="R14" s="148" t="s">
        <v>63</v>
      </c>
      <c r="S14" s="148" t="s">
        <v>64</v>
      </c>
      <c r="T14" s="148" t="s">
        <v>56</v>
      </c>
      <c r="U14" s="148" t="s">
        <v>57</v>
      </c>
      <c r="V14" s="148" t="s">
        <v>58</v>
      </c>
      <c r="W14" s="148" t="s">
        <v>59</v>
      </c>
      <c r="X14" s="148" t="s">
        <v>60</v>
      </c>
      <c r="Y14" s="148" t="s">
        <v>61</v>
      </c>
      <c r="Z14" s="148" t="s">
        <v>62</v>
      </c>
      <c r="AA14" s="148" t="s">
        <v>63</v>
      </c>
      <c r="AB14" s="148" t="s">
        <v>64</v>
      </c>
      <c r="AC14" s="148" t="s">
        <v>56</v>
      </c>
      <c r="AD14" s="148" t="s">
        <v>57</v>
      </c>
      <c r="AE14" s="148" t="s">
        <v>58</v>
      </c>
      <c r="AF14" s="148" t="s">
        <v>59</v>
      </c>
      <c r="AG14" s="148" t="s">
        <v>60</v>
      </c>
      <c r="AH14" s="148" t="s">
        <v>61</v>
      </c>
      <c r="AI14" s="148" t="s">
        <v>62</v>
      </c>
      <c r="AJ14" s="148" t="s">
        <v>63</v>
      </c>
      <c r="AK14" s="148" t="s">
        <v>64</v>
      </c>
      <c r="AL14" s="148" t="s">
        <v>56</v>
      </c>
      <c r="AM14" s="148" t="s">
        <v>57</v>
      </c>
      <c r="AN14" s="148" t="s">
        <v>58</v>
      </c>
      <c r="AO14" s="148" t="s">
        <v>59</v>
      </c>
      <c r="AP14" s="148" t="s">
        <v>60</v>
      </c>
      <c r="AQ14" s="148" t="s">
        <v>61</v>
      </c>
      <c r="AR14" s="148" t="s">
        <v>62</v>
      </c>
      <c r="AS14" s="148" t="s">
        <v>63</v>
      </c>
      <c r="AT14" s="148" t="s">
        <v>64</v>
      </c>
      <c r="AU14" s="148" t="s">
        <v>56</v>
      </c>
      <c r="AV14" s="148" t="s">
        <v>57</v>
      </c>
      <c r="AW14" s="148" t="s">
        <v>58</v>
      </c>
      <c r="AX14" s="148" t="s">
        <v>59</v>
      </c>
      <c r="AY14" s="148" t="s">
        <v>60</v>
      </c>
      <c r="AZ14" s="148" t="s">
        <v>61</v>
      </c>
      <c r="BA14" s="148" t="s">
        <v>62</v>
      </c>
      <c r="BB14" s="148" t="s">
        <v>63</v>
      </c>
      <c r="BC14" s="148" t="s">
        <v>64</v>
      </c>
      <c r="BD14" s="148" t="s">
        <v>56</v>
      </c>
      <c r="BE14" s="148" t="s">
        <v>57</v>
      </c>
      <c r="BF14" s="148" t="s">
        <v>58</v>
      </c>
      <c r="BG14" s="148" t="s">
        <v>59</v>
      </c>
      <c r="BH14" s="148" t="s">
        <v>60</v>
      </c>
      <c r="BI14" s="148" t="s">
        <v>61</v>
      </c>
      <c r="BJ14" s="148" t="s">
        <v>62</v>
      </c>
      <c r="BK14" s="148" t="s">
        <v>63</v>
      </c>
      <c r="BL14" s="148" t="s">
        <v>64</v>
      </c>
      <c r="BM14" s="148" t="s">
        <v>56</v>
      </c>
      <c r="BN14" s="148" t="s">
        <v>57</v>
      </c>
      <c r="BO14" s="148" t="s">
        <v>58</v>
      </c>
      <c r="BP14" s="148" t="s">
        <v>59</v>
      </c>
      <c r="BQ14" s="148" t="s">
        <v>60</v>
      </c>
      <c r="BR14" s="148" t="s">
        <v>61</v>
      </c>
      <c r="BS14" s="148" t="s">
        <v>62</v>
      </c>
      <c r="BT14" s="148" t="s">
        <v>63</v>
      </c>
      <c r="BU14" s="148" t="s">
        <v>64</v>
      </c>
      <c r="BV14" s="148" t="s">
        <v>56</v>
      </c>
      <c r="BW14" s="148" t="s">
        <v>57</v>
      </c>
      <c r="BX14" s="148" t="s">
        <v>58</v>
      </c>
      <c r="BY14" s="148" t="s">
        <v>59</v>
      </c>
      <c r="BZ14" s="148" t="s">
        <v>60</v>
      </c>
      <c r="CA14" s="148" t="s">
        <v>61</v>
      </c>
      <c r="CB14" s="148" t="s">
        <v>62</v>
      </c>
      <c r="CC14" s="148" t="s">
        <v>63</v>
      </c>
      <c r="CD14" s="148" t="s">
        <v>64</v>
      </c>
      <c r="CE14" s="148" t="s">
        <v>56</v>
      </c>
      <c r="CF14" s="148" t="s">
        <v>57</v>
      </c>
      <c r="CG14" s="148" t="s">
        <v>58</v>
      </c>
      <c r="CH14" s="148" t="s">
        <v>59</v>
      </c>
      <c r="CI14" s="148" t="s">
        <v>60</v>
      </c>
      <c r="CJ14" s="148" t="s">
        <v>61</v>
      </c>
      <c r="CK14" s="148" t="s">
        <v>62</v>
      </c>
      <c r="CL14" s="148" t="s">
        <v>63</v>
      </c>
      <c r="CM14" s="148" t="s">
        <v>64</v>
      </c>
      <c r="CN14" s="148" t="s">
        <v>56</v>
      </c>
      <c r="CO14" s="148" t="s">
        <v>57</v>
      </c>
      <c r="CP14" s="148" t="s">
        <v>58</v>
      </c>
      <c r="CQ14" s="148" t="s">
        <v>59</v>
      </c>
      <c r="CR14" s="148" t="s">
        <v>60</v>
      </c>
      <c r="CS14" s="148" t="s">
        <v>61</v>
      </c>
      <c r="CT14" s="148" t="s">
        <v>62</v>
      </c>
      <c r="CU14" s="148" t="s">
        <v>63</v>
      </c>
      <c r="CV14" s="148" t="s">
        <v>64</v>
      </c>
      <c r="CW14" s="148" t="s">
        <v>56</v>
      </c>
      <c r="CX14" s="148" t="s">
        <v>57</v>
      </c>
      <c r="CY14" s="148" t="s">
        <v>58</v>
      </c>
      <c r="CZ14" s="148" t="s">
        <v>59</v>
      </c>
      <c r="DA14" s="148" t="s">
        <v>60</v>
      </c>
      <c r="DB14" s="148" t="s">
        <v>61</v>
      </c>
      <c r="DC14" s="148" t="s">
        <v>62</v>
      </c>
      <c r="DD14" s="148" t="s">
        <v>63</v>
      </c>
      <c r="DE14" s="148" t="s">
        <v>64</v>
      </c>
      <c r="DF14" s="148" t="s">
        <v>56</v>
      </c>
      <c r="DG14" s="148" t="s">
        <v>57</v>
      </c>
      <c r="DH14" s="148" t="s">
        <v>58</v>
      </c>
      <c r="DI14" s="148" t="s">
        <v>59</v>
      </c>
      <c r="DJ14" s="148" t="s">
        <v>60</v>
      </c>
      <c r="DK14" s="148" t="s">
        <v>61</v>
      </c>
      <c r="DL14" s="148" t="s">
        <v>62</v>
      </c>
      <c r="DM14" s="148" t="s">
        <v>63</v>
      </c>
      <c r="DN14" s="148" t="s">
        <v>64</v>
      </c>
      <c r="DO14" s="484"/>
      <c r="DP14" s="487"/>
    </row>
    <row r="15" spans="2:120" ht="197.25" hidden="1" customHeight="1">
      <c r="B15" s="489" t="s">
        <v>121</v>
      </c>
      <c r="C15" s="489" t="s">
        <v>122</v>
      </c>
      <c r="D15" s="489" t="s">
        <v>4</v>
      </c>
      <c r="E15" s="489"/>
      <c r="F15" s="489" t="s">
        <v>16</v>
      </c>
      <c r="G15" s="490">
        <v>30</v>
      </c>
      <c r="H15" s="491" t="s">
        <v>167</v>
      </c>
      <c r="I15" s="500">
        <v>30</v>
      </c>
      <c r="J15" s="149" t="s">
        <v>65</v>
      </c>
      <c r="K15" s="502">
        <v>30</v>
      </c>
      <c r="L15" s="503"/>
      <c r="M15" s="503"/>
      <c r="N15" s="503"/>
      <c r="O15" s="503"/>
      <c r="P15" s="503"/>
      <c r="Q15" s="503"/>
      <c r="R15" s="504"/>
      <c r="S15" s="150">
        <f>SUM(K15)</f>
        <v>30</v>
      </c>
      <c r="T15" s="492"/>
      <c r="U15" s="492"/>
      <c r="V15" s="492"/>
      <c r="W15" s="492"/>
      <c r="X15" s="492"/>
      <c r="Y15" s="492"/>
      <c r="Z15" s="492"/>
      <c r="AA15" s="492"/>
      <c r="AB15" s="150">
        <f>SUM(T15)</f>
        <v>0</v>
      </c>
      <c r="AC15" s="492"/>
      <c r="AD15" s="492"/>
      <c r="AE15" s="492"/>
      <c r="AF15" s="492"/>
      <c r="AG15" s="492"/>
      <c r="AH15" s="492"/>
      <c r="AI15" s="492"/>
      <c r="AJ15" s="492"/>
      <c r="AK15" s="150">
        <f>SUM(AC15)</f>
        <v>0</v>
      </c>
      <c r="AL15" s="492">
        <v>10</v>
      </c>
      <c r="AM15" s="492"/>
      <c r="AN15" s="492"/>
      <c r="AO15" s="492"/>
      <c r="AP15" s="492"/>
      <c r="AQ15" s="492"/>
      <c r="AR15" s="492"/>
      <c r="AS15" s="492"/>
      <c r="AT15" s="150">
        <f>SUM(AL15)</f>
        <v>10</v>
      </c>
      <c r="AU15" s="492">
        <v>15</v>
      </c>
      <c r="AV15" s="492"/>
      <c r="AW15" s="492"/>
      <c r="AX15" s="492"/>
      <c r="AY15" s="492"/>
      <c r="AZ15" s="492"/>
      <c r="BA15" s="492"/>
      <c r="BB15" s="492"/>
      <c r="BC15" s="150">
        <f>SUM(AU15)</f>
        <v>15</v>
      </c>
      <c r="BD15" s="492"/>
      <c r="BE15" s="492"/>
      <c r="BF15" s="492"/>
      <c r="BG15" s="492"/>
      <c r="BH15" s="492"/>
      <c r="BI15" s="492"/>
      <c r="BJ15" s="492"/>
      <c r="BK15" s="492"/>
      <c r="BL15" s="151">
        <f>SUM(BD15)</f>
        <v>0</v>
      </c>
      <c r="BM15" s="492"/>
      <c r="BN15" s="492"/>
      <c r="BO15" s="492"/>
      <c r="BP15" s="492"/>
      <c r="BQ15" s="492"/>
      <c r="BR15" s="492"/>
      <c r="BS15" s="492"/>
      <c r="BT15" s="492"/>
      <c r="BU15" s="150">
        <f>SUM(BM15)</f>
        <v>0</v>
      </c>
      <c r="BV15" s="492"/>
      <c r="BW15" s="492"/>
      <c r="BX15" s="492"/>
      <c r="BY15" s="492"/>
      <c r="BZ15" s="492"/>
      <c r="CA15" s="492"/>
      <c r="CB15" s="492"/>
      <c r="CC15" s="492"/>
      <c r="CD15" s="150">
        <f>SUM(BV15)</f>
        <v>0</v>
      </c>
      <c r="CE15" s="492"/>
      <c r="CF15" s="492"/>
      <c r="CG15" s="492"/>
      <c r="CH15" s="492"/>
      <c r="CI15" s="492"/>
      <c r="CJ15" s="492"/>
      <c r="CK15" s="492"/>
      <c r="CL15" s="492"/>
      <c r="CM15" s="151">
        <f>SUM(CE15)</f>
        <v>0</v>
      </c>
      <c r="CN15" s="492"/>
      <c r="CO15" s="492"/>
      <c r="CP15" s="492"/>
      <c r="CQ15" s="492"/>
      <c r="CR15" s="492"/>
      <c r="CS15" s="492"/>
      <c r="CT15" s="492"/>
      <c r="CU15" s="492"/>
      <c r="CV15" s="150">
        <f>SUM(CN15)</f>
        <v>0</v>
      </c>
      <c r="CW15" s="492"/>
      <c r="CX15" s="492"/>
      <c r="CY15" s="492"/>
      <c r="CZ15" s="492"/>
      <c r="DA15" s="492"/>
      <c r="DB15" s="492"/>
      <c r="DC15" s="492"/>
      <c r="DD15" s="492"/>
      <c r="DE15" s="150">
        <f>SUM(CW15)</f>
        <v>0</v>
      </c>
      <c r="DF15" s="492"/>
      <c r="DG15" s="492"/>
      <c r="DH15" s="492"/>
      <c r="DI15" s="492"/>
      <c r="DJ15" s="492"/>
      <c r="DK15" s="492"/>
      <c r="DL15" s="492"/>
      <c r="DM15" s="492"/>
      <c r="DN15" s="150">
        <f>SUM(DF15)</f>
        <v>0</v>
      </c>
      <c r="DO15" s="152">
        <f>S15+AB15+AK15+AT15+BC15+BL15+BU15+CD15++CM15+CV15+DE15+DN15</f>
        <v>55</v>
      </c>
      <c r="DP15" s="153"/>
    </row>
    <row r="16" spans="2:120" ht="212.25" customHeight="1">
      <c r="B16" s="489"/>
      <c r="C16" s="489"/>
      <c r="D16" s="489"/>
      <c r="E16" s="489"/>
      <c r="F16" s="489"/>
      <c r="G16" s="489"/>
      <c r="H16" s="491"/>
      <c r="I16" s="501"/>
      <c r="J16" s="154" t="s">
        <v>66</v>
      </c>
      <c r="K16" s="155">
        <v>2</v>
      </c>
      <c r="L16" s="155">
        <v>10</v>
      </c>
      <c r="M16" s="155">
        <v>1</v>
      </c>
      <c r="N16" s="155"/>
      <c r="O16" s="155">
        <v>12</v>
      </c>
      <c r="P16" s="155"/>
      <c r="Q16" s="155"/>
      <c r="R16" s="155"/>
      <c r="S16" s="155">
        <f>SUM(K16:R16)</f>
        <v>25</v>
      </c>
      <c r="T16" s="155">
        <v>1</v>
      </c>
      <c r="U16" s="155">
        <v>1</v>
      </c>
      <c r="V16" s="155">
        <v>1</v>
      </c>
      <c r="W16" s="155"/>
      <c r="X16" s="155">
        <v>4</v>
      </c>
      <c r="Y16" s="155"/>
      <c r="Z16" s="155"/>
      <c r="AA16" s="155"/>
      <c r="AB16" s="155">
        <f t="shared" ref="AB16:AB26" si="0">SUM(T16:AA16)</f>
        <v>7</v>
      </c>
      <c r="AC16" s="155">
        <v>1</v>
      </c>
      <c r="AD16" s="155"/>
      <c r="AE16" s="155"/>
      <c r="AF16" s="155"/>
      <c r="AG16" s="155">
        <v>2</v>
      </c>
      <c r="AH16" s="155"/>
      <c r="AI16" s="155"/>
      <c r="AJ16" s="155"/>
      <c r="AK16" s="155">
        <f>SUM(AC16:AJ16)</f>
        <v>3</v>
      </c>
      <c r="AL16" s="155">
        <v>1</v>
      </c>
      <c r="AM16" s="155"/>
      <c r="AN16" s="155">
        <v>1</v>
      </c>
      <c r="AO16" s="155"/>
      <c r="AP16" s="155">
        <v>1</v>
      </c>
      <c r="AQ16" s="155"/>
      <c r="AR16" s="155"/>
      <c r="AS16" s="155"/>
      <c r="AT16" s="155">
        <f t="shared" ref="AT16:AT24" si="1">SUM(AL16:AS16)</f>
        <v>3</v>
      </c>
      <c r="AU16" s="155">
        <v>4</v>
      </c>
      <c r="AV16" s="155">
        <v>3</v>
      </c>
      <c r="AW16" s="155"/>
      <c r="AX16" s="155"/>
      <c r="AY16" s="155">
        <v>3</v>
      </c>
      <c r="AZ16" s="155"/>
      <c r="BA16" s="155"/>
      <c r="BB16" s="155"/>
      <c r="BC16" s="155">
        <f t="shared" ref="BC16:BC24" si="2">SUM(AU16:BB16)</f>
        <v>10</v>
      </c>
      <c r="BD16" s="155">
        <v>4</v>
      </c>
      <c r="BE16" s="155">
        <v>2</v>
      </c>
      <c r="BF16" s="155">
        <v>0</v>
      </c>
      <c r="BG16" s="155">
        <v>0</v>
      </c>
      <c r="BH16" s="155">
        <v>3</v>
      </c>
      <c r="BI16" s="155">
        <v>0</v>
      </c>
      <c r="BJ16" s="155">
        <v>0</v>
      </c>
      <c r="BK16" s="155">
        <v>0</v>
      </c>
      <c r="BL16" s="155">
        <f t="shared" ref="BL16:BL24" si="3">SUM(BD16:BK16)</f>
        <v>9</v>
      </c>
      <c r="BM16" s="155">
        <v>3</v>
      </c>
      <c r="BN16" s="155">
        <v>2</v>
      </c>
      <c r="BO16" s="155">
        <v>0</v>
      </c>
      <c r="BP16" s="155">
        <v>0</v>
      </c>
      <c r="BQ16" s="155">
        <v>3</v>
      </c>
      <c r="BR16" s="155">
        <v>0</v>
      </c>
      <c r="BS16" s="155">
        <v>0</v>
      </c>
      <c r="BT16" s="155">
        <v>0</v>
      </c>
      <c r="BU16" s="155">
        <f>SUM(BM16:BT16)</f>
        <v>8</v>
      </c>
      <c r="BV16" s="155">
        <v>1</v>
      </c>
      <c r="BW16" s="155">
        <v>0</v>
      </c>
      <c r="BX16" s="155">
        <v>1</v>
      </c>
      <c r="BY16" s="155">
        <v>0</v>
      </c>
      <c r="BZ16" s="155">
        <v>2</v>
      </c>
      <c r="CA16" s="155">
        <v>0</v>
      </c>
      <c r="CB16" s="155">
        <v>0</v>
      </c>
      <c r="CC16" s="155">
        <v>0</v>
      </c>
      <c r="CD16" s="155">
        <f t="shared" ref="CD16" si="4">SUM(BV16:CC16)</f>
        <v>4</v>
      </c>
      <c r="CE16" s="155">
        <v>0</v>
      </c>
      <c r="CF16" s="155">
        <v>1</v>
      </c>
      <c r="CG16" s="155">
        <v>0</v>
      </c>
      <c r="CH16" s="155">
        <v>0</v>
      </c>
      <c r="CI16" s="155">
        <v>2</v>
      </c>
      <c r="CJ16" s="155">
        <v>0</v>
      </c>
      <c r="CK16" s="155">
        <v>0</v>
      </c>
      <c r="CL16" s="155">
        <v>0</v>
      </c>
      <c r="CM16" s="151">
        <f>SUM(CE16:CL16)</f>
        <v>3</v>
      </c>
      <c r="CN16" s="155">
        <v>1</v>
      </c>
      <c r="CO16" s="155">
        <v>2</v>
      </c>
      <c r="CP16" s="155">
        <v>0</v>
      </c>
      <c r="CQ16" s="155">
        <v>0</v>
      </c>
      <c r="CR16" s="155">
        <v>2</v>
      </c>
      <c r="CS16" s="155">
        <v>0</v>
      </c>
      <c r="CT16" s="155">
        <v>0</v>
      </c>
      <c r="CU16" s="155">
        <v>0</v>
      </c>
      <c r="CV16" s="155">
        <f t="shared" ref="CV16:CV24" si="5">SUM(CN16:CU16)</f>
        <v>5</v>
      </c>
      <c r="CW16" s="156">
        <v>0</v>
      </c>
      <c r="CX16" s="156">
        <v>3</v>
      </c>
      <c r="CY16" s="156">
        <v>0</v>
      </c>
      <c r="CZ16" s="156">
        <v>0</v>
      </c>
      <c r="DA16" s="156">
        <v>2</v>
      </c>
      <c r="DB16" s="156">
        <v>0</v>
      </c>
      <c r="DC16" s="156">
        <v>0</v>
      </c>
      <c r="DD16" s="156">
        <v>0</v>
      </c>
      <c r="DE16" s="156">
        <f t="shared" ref="DE16:DE24" si="6">SUM(CW16:DD16)</f>
        <v>5</v>
      </c>
      <c r="DF16" s="157">
        <v>5</v>
      </c>
      <c r="DG16" s="157">
        <v>2</v>
      </c>
      <c r="DH16" s="157">
        <v>0</v>
      </c>
      <c r="DI16" s="157">
        <v>0</v>
      </c>
      <c r="DJ16" s="157">
        <v>2</v>
      </c>
      <c r="DK16" s="157">
        <v>0</v>
      </c>
      <c r="DL16" s="157">
        <v>0</v>
      </c>
      <c r="DM16" s="157">
        <v>0</v>
      </c>
      <c r="DN16" s="157">
        <f t="shared" ref="DN16:DN24" si="7">SUM(DF16:DM16)</f>
        <v>9</v>
      </c>
      <c r="DO16" s="158">
        <f>S16+AB16+AK16+AT16+BC16+BL16+BU16+CD16++CM16+CV16+DE16+DN16</f>
        <v>91</v>
      </c>
      <c r="DP16" s="153"/>
    </row>
    <row r="17" spans="2:120" ht="234.75" hidden="1" customHeight="1">
      <c r="B17" s="493" t="s">
        <v>67</v>
      </c>
      <c r="C17" s="493" t="s">
        <v>125</v>
      </c>
      <c r="D17" s="495" t="s">
        <v>4</v>
      </c>
      <c r="E17" s="496"/>
      <c r="F17" s="493" t="s">
        <v>14</v>
      </c>
      <c r="G17" s="490">
        <v>30</v>
      </c>
      <c r="H17" s="499" t="s">
        <v>126</v>
      </c>
      <c r="I17" s="500">
        <v>30</v>
      </c>
      <c r="J17" s="159" t="s">
        <v>65</v>
      </c>
      <c r="K17" s="502">
        <v>30</v>
      </c>
      <c r="L17" s="503"/>
      <c r="M17" s="503"/>
      <c r="N17" s="503"/>
      <c r="O17" s="503"/>
      <c r="P17" s="503"/>
      <c r="Q17" s="503"/>
      <c r="R17" s="504"/>
      <c r="S17" s="150">
        <f>SUM(K17)</f>
        <v>30</v>
      </c>
      <c r="T17" s="492"/>
      <c r="U17" s="492"/>
      <c r="V17" s="492"/>
      <c r="W17" s="492"/>
      <c r="X17" s="492"/>
      <c r="Y17" s="492"/>
      <c r="Z17" s="492"/>
      <c r="AA17" s="492"/>
      <c r="AB17" s="150">
        <f>SUM(T17)</f>
        <v>0</v>
      </c>
      <c r="AC17" s="492"/>
      <c r="AD17" s="492"/>
      <c r="AE17" s="492"/>
      <c r="AF17" s="492"/>
      <c r="AG17" s="492"/>
      <c r="AH17" s="492"/>
      <c r="AI17" s="492"/>
      <c r="AJ17" s="492"/>
      <c r="AK17" s="150">
        <f>SUM(AC17)</f>
        <v>0</v>
      </c>
      <c r="AL17" s="492">
        <v>10</v>
      </c>
      <c r="AM17" s="492"/>
      <c r="AN17" s="492"/>
      <c r="AO17" s="492"/>
      <c r="AP17" s="492"/>
      <c r="AQ17" s="492"/>
      <c r="AR17" s="492"/>
      <c r="AS17" s="492"/>
      <c r="AT17" s="150">
        <f>SUM(AL17)</f>
        <v>10</v>
      </c>
      <c r="AU17" s="492">
        <v>15</v>
      </c>
      <c r="AV17" s="492"/>
      <c r="AW17" s="492"/>
      <c r="AX17" s="492"/>
      <c r="AY17" s="492"/>
      <c r="AZ17" s="492"/>
      <c r="BA17" s="492"/>
      <c r="BB17" s="492"/>
      <c r="BC17" s="150">
        <f>SUM(AU17)</f>
        <v>15</v>
      </c>
      <c r="BD17" s="492"/>
      <c r="BE17" s="492"/>
      <c r="BF17" s="492"/>
      <c r="BG17" s="492"/>
      <c r="BH17" s="492"/>
      <c r="BI17" s="492"/>
      <c r="BJ17" s="492"/>
      <c r="BK17" s="492"/>
      <c r="BL17" s="151">
        <f>SUM(BD17)</f>
        <v>0</v>
      </c>
      <c r="BM17" s="492"/>
      <c r="BN17" s="492"/>
      <c r="BO17" s="492"/>
      <c r="BP17" s="492"/>
      <c r="BQ17" s="492"/>
      <c r="BR17" s="492"/>
      <c r="BS17" s="492"/>
      <c r="BT17" s="492"/>
      <c r="BU17" s="150">
        <f>SUM(BM17)</f>
        <v>0</v>
      </c>
      <c r="BV17" s="492"/>
      <c r="BW17" s="492"/>
      <c r="BX17" s="492"/>
      <c r="BY17" s="492"/>
      <c r="BZ17" s="492"/>
      <c r="CA17" s="492"/>
      <c r="CB17" s="492"/>
      <c r="CC17" s="492"/>
      <c r="CD17" s="150">
        <f>SUM(BV17)</f>
        <v>0</v>
      </c>
      <c r="CE17" s="492"/>
      <c r="CF17" s="492"/>
      <c r="CG17" s="492"/>
      <c r="CH17" s="492"/>
      <c r="CI17" s="492"/>
      <c r="CJ17" s="492"/>
      <c r="CK17" s="492"/>
      <c r="CL17" s="492"/>
      <c r="CM17" s="151">
        <f t="shared" ref="CM17:CM30" si="8">SUM(CE17:CL17)</f>
        <v>0</v>
      </c>
      <c r="CN17" s="492"/>
      <c r="CO17" s="492"/>
      <c r="CP17" s="492"/>
      <c r="CQ17" s="492"/>
      <c r="CR17" s="492"/>
      <c r="CS17" s="492"/>
      <c r="CT17" s="492"/>
      <c r="CU17" s="492"/>
      <c r="CV17" s="150">
        <f>SUM(CN17)</f>
        <v>0</v>
      </c>
      <c r="CW17" s="505"/>
      <c r="CX17" s="505"/>
      <c r="CY17" s="505"/>
      <c r="CZ17" s="505"/>
      <c r="DA17" s="505"/>
      <c r="DB17" s="505"/>
      <c r="DC17" s="505"/>
      <c r="DD17" s="505"/>
      <c r="DE17" s="160">
        <f>SUM(CW17)</f>
        <v>0</v>
      </c>
      <c r="DF17" s="505"/>
      <c r="DG17" s="505"/>
      <c r="DH17" s="505"/>
      <c r="DI17" s="505"/>
      <c r="DJ17" s="505"/>
      <c r="DK17" s="505"/>
      <c r="DL17" s="505"/>
      <c r="DM17" s="505"/>
      <c r="DN17" s="160">
        <f>SUM(DF17)</f>
        <v>0</v>
      </c>
      <c r="DO17" s="158">
        <f>S17+AB17+AK17+AT17+BC17+BL17+BU17+CD17++CM17+CV17+DE17+DN17</f>
        <v>55</v>
      </c>
      <c r="DP17" s="153"/>
    </row>
    <row r="18" spans="2:120" ht="171" customHeight="1">
      <c r="B18" s="494"/>
      <c r="C18" s="494"/>
      <c r="D18" s="497"/>
      <c r="E18" s="498"/>
      <c r="F18" s="494"/>
      <c r="G18" s="489"/>
      <c r="H18" s="499"/>
      <c r="I18" s="501"/>
      <c r="J18" s="154" t="s">
        <v>66</v>
      </c>
      <c r="K18" s="155">
        <v>2</v>
      </c>
      <c r="L18" s="155">
        <v>10</v>
      </c>
      <c r="M18" s="155">
        <v>1</v>
      </c>
      <c r="N18" s="155"/>
      <c r="O18" s="155">
        <v>12</v>
      </c>
      <c r="P18" s="155"/>
      <c r="Q18" s="155"/>
      <c r="R18" s="155"/>
      <c r="S18" s="161">
        <f>SUM(K18:R18)</f>
        <v>25</v>
      </c>
      <c r="T18" s="155">
        <v>1</v>
      </c>
      <c r="U18" s="155">
        <v>1</v>
      </c>
      <c r="V18" s="155">
        <v>1</v>
      </c>
      <c r="W18" s="155"/>
      <c r="X18" s="155">
        <v>4</v>
      </c>
      <c r="Y18" s="155"/>
      <c r="Z18" s="155"/>
      <c r="AA18" s="155"/>
      <c r="AB18" s="161">
        <f t="shared" ref="AB18" si="9">SUM(T18:AA18)</f>
        <v>7</v>
      </c>
      <c r="AC18" s="155">
        <v>1</v>
      </c>
      <c r="AD18" s="155"/>
      <c r="AE18" s="155"/>
      <c r="AF18" s="155"/>
      <c r="AG18" s="155">
        <v>2</v>
      </c>
      <c r="AH18" s="155"/>
      <c r="AI18" s="155"/>
      <c r="AJ18" s="155"/>
      <c r="AK18" s="161">
        <f t="shared" ref="AK18" si="10">SUM(AC18:AJ18)</f>
        <v>3</v>
      </c>
      <c r="AL18" s="155">
        <v>1</v>
      </c>
      <c r="AM18" s="155"/>
      <c r="AN18" s="155">
        <v>1</v>
      </c>
      <c r="AO18" s="155"/>
      <c r="AP18" s="155">
        <v>1</v>
      </c>
      <c r="AQ18" s="155"/>
      <c r="AR18" s="155"/>
      <c r="AS18" s="155"/>
      <c r="AT18" s="155">
        <f t="shared" ref="AT18" si="11">SUM(AL18:AS18)</f>
        <v>3</v>
      </c>
      <c r="AU18" s="155">
        <v>4</v>
      </c>
      <c r="AV18" s="155">
        <v>3</v>
      </c>
      <c r="AW18" s="155"/>
      <c r="AX18" s="155"/>
      <c r="AY18" s="155">
        <v>3</v>
      </c>
      <c r="AZ18" s="155"/>
      <c r="BA18" s="155"/>
      <c r="BB18" s="155"/>
      <c r="BC18" s="155">
        <f t="shared" ref="BC18" si="12">SUM(AU18:BB18)</f>
        <v>10</v>
      </c>
      <c r="BD18" s="155">
        <v>4</v>
      </c>
      <c r="BE18" s="155">
        <v>2</v>
      </c>
      <c r="BF18" s="155">
        <v>0</v>
      </c>
      <c r="BG18" s="155">
        <v>0</v>
      </c>
      <c r="BH18" s="155">
        <v>3</v>
      </c>
      <c r="BI18" s="155">
        <v>0</v>
      </c>
      <c r="BJ18" s="155">
        <v>0</v>
      </c>
      <c r="BK18" s="155">
        <v>0</v>
      </c>
      <c r="BL18" s="155">
        <f t="shared" ref="BL18" si="13">SUM(BD18:BK18)</f>
        <v>9</v>
      </c>
      <c r="BM18" s="155">
        <v>3</v>
      </c>
      <c r="BN18" s="155">
        <v>2</v>
      </c>
      <c r="BO18" s="155">
        <v>0</v>
      </c>
      <c r="BP18" s="155">
        <v>0</v>
      </c>
      <c r="BQ18" s="155">
        <v>3</v>
      </c>
      <c r="BR18" s="155">
        <v>0</v>
      </c>
      <c r="BS18" s="155">
        <v>0</v>
      </c>
      <c r="BT18" s="155">
        <v>0</v>
      </c>
      <c r="BU18" s="155">
        <f t="shared" ref="BU18" si="14">SUM(BM18:BT18)</f>
        <v>8</v>
      </c>
      <c r="BV18" s="155">
        <v>1</v>
      </c>
      <c r="BW18" s="155">
        <v>0</v>
      </c>
      <c r="BX18" s="155">
        <v>1</v>
      </c>
      <c r="BY18" s="155">
        <v>0</v>
      </c>
      <c r="BZ18" s="155">
        <v>2</v>
      </c>
      <c r="CA18" s="155">
        <v>0</v>
      </c>
      <c r="CB18" s="155">
        <v>0</v>
      </c>
      <c r="CC18" s="155">
        <v>0</v>
      </c>
      <c r="CD18" s="155">
        <f t="shared" ref="CD18" si="15">SUM(BV18:CC18)</f>
        <v>4</v>
      </c>
      <c r="CE18" s="155">
        <v>0</v>
      </c>
      <c r="CF18" s="155">
        <v>1</v>
      </c>
      <c r="CG18" s="155">
        <v>0</v>
      </c>
      <c r="CH18" s="155">
        <v>0</v>
      </c>
      <c r="CI18" s="155">
        <v>2</v>
      </c>
      <c r="CJ18" s="155">
        <v>0</v>
      </c>
      <c r="CK18" s="155">
        <v>0</v>
      </c>
      <c r="CL18" s="155">
        <v>0</v>
      </c>
      <c r="CM18" s="151">
        <f t="shared" si="8"/>
        <v>3</v>
      </c>
      <c r="CN18" s="155">
        <v>1</v>
      </c>
      <c r="CO18" s="155">
        <v>2</v>
      </c>
      <c r="CP18" s="155">
        <v>0</v>
      </c>
      <c r="CQ18" s="155">
        <v>0</v>
      </c>
      <c r="CR18" s="155">
        <v>2</v>
      </c>
      <c r="CS18" s="155">
        <v>0</v>
      </c>
      <c r="CT18" s="155">
        <v>0</v>
      </c>
      <c r="CU18" s="155">
        <v>0</v>
      </c>
      <c r="CV18" s="155">
        <f t="shared" ref="CV18" si="16">SUM(CN18:CU18)</f>
        <v>5</v>
      </c>
      <c r="CW18" s="156">
        <v>0</v>
      </c>
      <c r="CX18" s="156">
        <v>3</v>
      </c>
      <c r="CY18" s="156">
        <v>0</v>
      </c>
      <c r="CZ18" s="156">
        <v>0</v>
      </c>
      <c r="DA18" s="156">
        <v>2</v>
      </c>
      <c r="DB18" s="156">
        <v>0</v>
      </c>
      <c r="DC18" s="156">
        <v>0</v>
      </c>
      <c r="DD18" s="156">
        <v>0</v>
      </c>
      <c r="DE18" s="156">
        <f t="shared" ref="DE18" si="17">SUM(CW18:DD18)</f>
        <v>5</v>
      </c>
      <c r="DF18" s="157">
        <v>5</v>
      </c>
      <c r="DG18" s="157">
        <v>2</v>
      </c>
      <c r="DH18" s="157">
        <v>0</v>
      </c>
      <c r="DI18" s="157">
        <v>0</v>
      </c>
      <c r="DJ18" s="157">
        <v>2</v>
      </c>
      <c r="DK18" s="157">
        <v>0</v>
      </c>
      <c r="DL18" s="157">
        <v>0</v>
      </c>
      <c r="DM18" s="157">
        <v>0</v>
      </c>
      <c r="DN18" s="157">
        <f t="shared" ref="DN18" si="18">SUM(DF18:DM18)</f>
        <v>9</v>
      </c>
      <c r="DO18" s="158">
        <f>S18+AB18+AK18+AT18+BC18+BL18+BU18+CD18++CM18+CV18+DE18+DN18</f>
        <v>91</v>
      </c>
      <c r="DP18" s="153"/>
    </row>
    <row r="19" spans="2:120" ht="234.75" hidden="1" customHeight="1">
      <c r="B19" s="489" t="s">
        <v>121</v>
      </c>
      <c r="C19" s="493" t="s">
        <v>168</v>
      </c>
      <c r="D19" s="495" t="s">
        <v>135</v>
      </c>
      <c r="E19" s="496"/>
      <c r="F19" s="493" t="s">
        <v>16</v>
      </c>
      <c r="G19" s="506">
        <v>36739</v>
      </c>
      <c r="H19" s="507" t="s">
        <v>169</v>
      </c>
      <c r="I19" s="508">
        <v>36739</v>
      </c>
      <c r="J19" s="159" t="s">
        <v>65</v>
      </c>
      <c r="K19" s="492">
        <v>2500</v>
      </c>
      <c r="L19" s="492"/>
      <c r="M19" s="492"/>
      <c r="N19" s="492"/>
      <c r="O19" s="492"/>
      <c r="P19" s="492"/>
      <c r="Q19" s="492"/>
      <c r="R19" s="492"/>
      <c r="S19" s="150">
        <f>SUM(K19)</f>
        <v>2500</v>
      </c>
      <c r="T19" s="492">
        <v>2500</v>
      </c>
      <c r="U19" s="492"/>
      <c r="V19" s="492"/>
      <c r="W19" s="492"/>
      <c r="X19" s="492"/>
      <c r="Y19" s="492"/>
      <c r="Z19" s="492"/>
      <c r="AA19" s="492"/>
      <c r="AB19" s="150">
        <f>SUM(T19)</f>
        <v>2500</v>
      </c>
      <c r="AC19" s="492">
        <v>3000</v>
      </c>
      <c r="AD19" s="492"/>
      <c r="AE19" s="492"/>
      <c r="AF19" s="492"/>
      <c r="AG19" s="492"/>
      <c r="AH19" s="492"/>
      <c r="AI19" s="492"/>
      <c r="AJ19" s="492"/>
      <c r="AK19" s="150">
        <f>SUM(AC19)</f>
        <v>3000</v>
      </c>
      <c r="AL19" s="492">
        <v>3000</v>
      </c>
      <c r="AM19" s="492"/>
      <c r="AN19" s="492"/>
      <c r="AO19" s="492"/>
      <c r="AP19" s="492"/>
      <c r="AQ19" s="492"/>
      <c r="AR19" s="492"/>
      <c r="AS19" s="492"/>
      <c r="AT19" s="150">
        <f>SUM(AL19)</f>
        <v>3000</v>
      </c>
      <c r="AU19" s="492">
        <v>3000</v>
      </c>
      <c r="AV19" s="492"/>
      <c r="AW19" s="492"/>
      <c r="AX19" s="492"/>
      <c r="AY19" s="492"/>
      <c r="AZ19" s="492"/>
      <c r="BA19" s="492"/>
      <c r="BB19" s="492"/>
      <c r="BC19" s="150">
        <f>SUM(AU19)</f>
        <v>3000</v>
      </c>
      <c r="BD19" s="492">
        <v>3000</v>
      </c>
      <c r="BE19" s="492"/>
      <c r="BF19" s="492"/>
      <c r="BG19" s="492"/>
      <c r="BH19" s="492"/>
      <c r="BI19" s="492"/>
      <c r="BJ19" s="492"/>
      <c r="BK19" s="492"/>
      <c r="BL19" s="151">
        <f>SUM(BD19)</f>
        <v>3000</v>
      </c>
      <c r="BM19" s="492">
        <v>3000</v>
      </c>
      <c r="BN19" s="492"/>
      <c r="BO19" s="492"/>
      <c r="BP19" s="492"/>
      <c r="BQ19" s="492"/>
      <c r="BR19" s="492"/>
      <c r="BS19" s="492"/>
      <c r="BT19" s="492"/>
      <c r="BU19" s="150">
        <f>SUM(BM19)</f>
        <v>3000</v>
      </c>
      <c r="BV19" s="492">
        <v>3000</v>
      </c>
      <c r="BW19" s="492"/>
      <c r="BX19" s="492"/>
      <c r="BY19" s="492"/>
      <c r="BZ19" s="492"/>
      <c r="CA19" s="492"/>
      <c r="CB19" s="492"/>
      <c r="CC19" s="492"/>
      <c r="CD19" s="150">
        <f>SUM(BV19)</f>
        <v>3000</v>
      </c>
      <c r="CE19" s="492">
        <v>3000</v>
      </c>
      <c r="CF19" s="492"/>
      <c r="CG19" s="492"/>
      <c r="CH19" s="492"/>
      <c r="CI19" s="492"/>
      <c r="CJ19" s="492"/>
      <c r="CK19" s="492"/>
      <c r="CL19" s="492"/>
      <c r="CM19" s="151">
        <f t="shared" si="8"/>
        <v>3000</v>
      </c>
      <c r="CN19" s="492">
        <v>3500</v>
      </c>
      <c r="CO19" s="492"/>
      <c r="CP19" s="492"/>
      <c r="CQ19" s="492"/>
      <c r="CR19" s="492"/>
      <c r="CS19" s="492"/>
      <c r="CT19" s="492"/>
      <c r="CU19" s="492"/>
      <c r="CV19" s="150">
        <f>SUM(CN19)</f>
        <v>3500</v>
      </c>
      <c r="CW19" s="505">
        <v>3500</v>
      </c>
      <c r="CX19" s="505"/>
      <c r="CY19" s="505"/>
      <c r="CZ19" s="505"/>
      <c r="DA19" s="505"/>
      <c r="DB19" s="505"/>
      <c r="DC19" s="505"/>
      <c r="DD19" s="505"/>
      <c r="DE19" s="160">
        <f>SUM(CW19)</f>
        <v>3500</v>
      </c>
      <c r="DF19" s="505">
        <v>3739</v>
      </c>
      <c r="DG19" s="505"/>
      <c r="DH19" s="505"/>
      <c r="DI19" s="505"/>
      <c r="DJ19" s="505"/>
      <c r="DK19" s="505"/>
      <c r="DL19" s="505"/>
      <c r="DM19" s="505"/>
      <c r="DN19" s="160">
        <f>SUM(DF19)</f>
        <v>3739</v>
      </c>
      <c r="DO19" s="158">
        <f t="shared" ref="DO19:DO22" si="19">S19+AB19+AK19+AT19+BC19+BL19+BU19+CD19++CM19+CV19+DE19+DN19</f>
        <v>36739</v>
      </c>
      <c r="DP19" s="153"/>
    </row>
    <row r="20" spans="2:120" ht="234.75" customHeight="1">
      <c r="B20" s="489"/>
      <c r="C20" s="494"/>
      <c r="D20" s="497"/>
      <c r="E20" s="498"/>
      <c r="F20" s="494"/>
      <c r="G20" s="489"/>
      <c r="H20" s="491"/>
      <c r="I20" s="501"/>
      <c r="J20" s="154" t="s">
        <v>66</v>
      </c>
      <c r="K20" s="155">
        <v>730</v>
      </c>
      <c r="L20" s="155">
        <v>300</v>
      </c>
      <c r="M20" s="155">
        <v>155</v>
      </c>
      <c r="N20" s="155"/>
      <c r="O20" s="155">
        <v>1230</v>
      </c>
      <c r="P20" s="155"/>
      <c r="Q20" s="155"/>
      <c r="R20" s="155"/>
      <c r="S20" s="155">
        <f>SUM(K20:R20)</f>
        <v>2415</v>
      </c>
      <c r="T20" s="155">
        <v>205</v>
      </c>
      <c r="U20" s="155">
        <v>618</v>
      </c>
      <c r="V20" s="155">
        <v>175</v>
      </c>
      <c r="W20" s="155"/>
      <c r="X20" s="155">
        <v>1049</v>
      </c>
      <c r="Y20" s="155"/>
      <c r="Z20" s="155"/>
      <c r="AA20" s="155"/>
      <c r="AB20" s="155">
        <f>SUM(T20:AA20)</f>
        <v>2047</v>
      </c>
      <c r="AC20" s="155">
        <v>285</v>
      </c>
      <c r="AD20" s="155">
        <v>590</v>
      </c>
      <c r="AE20" s="155">
        <v>265</v>
      </c>
      <c r="AF20" s="155"/>
      <c r="AG20" s="155">
        <v>1270</v>
      </c>
      <c r="AH20" s="155"/>
      <c r="AI20" s="155"/>
      <c r="AJ20" s="155"/>
      <c r="AK20" s="155">
        <f>SUM(AC20:AJ20)</f>
        <v>2410</v>
      </c>
      <c r="AL20" s="155">
        <v>247</v>
      </c>
      <c r="AM20" s="155">
        <v>569</v>
      </c>
      <c r="AN20" s="155">
        <v>158</v>
      </c>
      <c r="AO20" s="155"/>
      <c r="AP20" s="155">
        <v>1125</v>
      </c>
      <c r="AQ20" s="155"/>
      <c r="AR20" s="155"/>
      <c r="AS20" s="155"/>
      <c r="AT20" s="155">
        <f>SUM(AL20:AS20)</f>
        <v>2099</v>
      </c>
      <c r="AU20" s="155">
        <v>435</v>
      </c>
      <c r="AV20" s="155">
        <v>435</v>
      </c>
      <c r="AW20" s="155">
        <v>310</v>
      </c>
      <c r="AX20" s="155"/>
      <c r="AY20" s="155">
        <v>835</v>
      </c>
      <c r="AZ20" s="155"/>
      <c r="BA20" s="155"/>
      <c r="BB20" s="155"/>
      <c r="BC20" s="155">
        <f>SUM(AV20:BB20)</f>
        <v>1580</v>
      </c>
      <c r="BD20" s="155">
        <v>1110</v>
      </c>
      <c r="BE20" s="155">
        <v>480</v>
      </c>
      <c r="BF20" s="155">
        <v>215</v>
      </c>
      <c r="BG20" s="155">
        <v>0</v>
      </c>
      <c r="BH20" s="155">
        <v>915</v>
      </c>
      <c r="BI20" s="155">
        <v>0</v>
      </c>
      <c r="BJ20" s="155">
        <v>0</v>
      </c>
      <c r="BK20" s="155">
        <v>0</v>
      </c>
      <c r="BL20" s="155">
        <f>SUM(BD20:BK20)</f>
        <v>2720</v>
      </c>
      <c r="BM20" s="155">
        <v>1370</v>
      </c>
      <c r="BN20" s="155">
        <v>385</v>
      </c>
      <c r="BO20" s="155">
        <v>195</v>
      </c>
      <c r="BP20" s="155">
        <v>0</v>
      </c>
      <c r="BQ20" s="155">
        <v>945</v>
      </c>
      <c r="BR20" s="155">
        <v>0</v>
      </c>
      <c r="BS20" s="155">
        <v>0</v>
      </c>
      <c r="BT20" s="155">
        <v>0</v>
      </c>
      <c r="BU20" s="155">
        <f>SUM(BM20:BT20)</f>
        <v>2895</v>
      </c>
      <c r="BV20" s="155">
        <v>1445</v>
      </c>
      <c r="BW20" s="155">
        <v>465</v>
      </c>
      <c r="BX20" s="155">
        <v>255</v>
      </c>
      <c r="BY20" s="155">
        <v>0</v>
      </c>
      <c r="BZ20" s="155">
        <v>1010</v>
      </c>
      <c r="CA20" s="155">
        <v>0</v>
      </c>
      <c r="CB20" s="155">
        <v>0</v>
      </c>
      <c r="CC20" s="155">
        <v>0</v>
      </c>
      <c r="CD20" s="155">
        <f>SUM(BV20:CC20)</f>
        <v>3175</v>
      </c>
      <c r="CE20" s="155">
        <v>1165</v>
      </c>
      <c r="CF20" s="155">
        <v>520</v>
      </c>
      <c r="CG20" s="155">
        <v>195</v>
      </c>
      <c r="CH20" s="155">
        <v>0</v>
      </c>
      <c r="CI20" s="155">
        <v>1111</v>
      </c>
      <c r="CJ20" s="155">
        <v>0</v>
      </c>
      <c r="CK20" s="155">
        <v>0</v>
      </c>
      <c r="CL20" s="155">
        <v>0</v>
      </c>
      <c r="CM20" s="151">
        <f t="shared" si="8"/>
        <v>2991</v>
      </c>
      <c r="CN20" s="155">
        <v>445</v>
      </c>
      <c r="CO20" s="155">
        <v>545</v>
      </c>
      <c r="CP20" s="155">
        <v>160</v>
      </c>
      <c r="CQ20" s="155">
        <v>0</v>
      </c>
      <c r="CR20" s="155">
        <v>1025</v>
      </c>
      <c r="CS20" s="155">
        <v>0</v>
      </c>
      <c r="CT20" s="155">
        <v>0</v>
      </c>
      <c r="CU20" s="155">
        <v>0</v>
      </c>
      <c r="CV20" s="155">
        <f>SUM(CN20:CU20)</f>
        <v>2175</v>
      </c>
      <c r="CW20" s="156">
        <v>520</v>
      </c>
      <c r="CX20" s="156">
        <v>1047</v>
      </c>
      <c r="CY20" s="156">
        <v>65</v>
      </c>
      <c r="CZ20" s="156">
        <v>0</v>
      </c>
      <c r="DA20" s="156">
        <v>1115</v>
      </c>
      <c r="DB20" s="156">
        <v>0</v>
      </c>
      <c r="DC20" s="156">
        <v>0</v>
      </c>
      <c r="DD20" s="156">
        <v>0</v>
      </c>
      <c r="DE20" s="156">
        <f>SUM(CW20:DD20)</f>
        <v>2747</v>
      </c>
      <c r="DF20" s="157">
        <v>1040</v>
      </c>
      <c r="DG20" s="157">
        <v>1125</v>
      </c>
      <c r="DH20" s="157">
        <v>0</v>
      </c>
      <c r="DI20" s="157">
        <v>0</v>
      </c>
      <c r="DJ20" s="157">
        <v>1220</v>
      </c>
      <c r="DK20" s="157">
        <v>0</v>
      </c>
      <c r="DL20" s="157">
        <v>0</v>
      </c>
      <c r="DM20" s="157">
        <v>0</v>
      </c>
      <c r="DN20" s="157">
        <f>SUM(DF20:DM20)</f>
        <v>3385</v>
      </c>
      <c r="DO20" s="158">
        <f t="shared" si="19"/>
        <v>30639</v>
      </c>
      <c r="DP20" s="153"/>
    </row>
    <row r="21" spans="2:120" ht="243.75" hidden="1" customHeight="1">
      <c r="B21" s="493" t="s">
        <v>67</v>
      </c>
      <c r="C21" s="493" t="s">
        <v>68</v>
      </c>
      <c r="D21" s="495" t="s">
        <v>69</v>
      </c>
      <c r="E21" s="496"/>
      <c r="F21" s="493" t="s">
        <v>14</v>
      </c>
      <c r="G21" s="490">
        <v>4656</v>
      </c>
      <c r="H21" s="499" t="s">
        <v>170</v>
      </c>
      <c r="I21" s="490">
        <v>4656</v>
      </c>
      <c r="J21" s="159" t="s">
        <v>65</v>
      </c>
      <c r="K21" s="492">
        <v>300</v>
      </c>
      <c r="L21" s="492"/>
      <c r="M21" s="492"/>
      <c r="N21" s="492"/>
      <c r="O21" s="492"/>
      <c r="P21" s="492"/>
      <c r="Q21" s="492"/>
      <c r="R21" s="492"/>
      <c r="S21" s="150">
        <f>SUM(K21)</f>
        <v>300</v>
      </c>
      <c r="T21" s="492">
        <v>350</v>
      </c>
      <c r="U21" s="492"/>
      <c r="V21" s="492"/>
      <c r="W21" s="492"/>
      <c r="X21" s="492"/>
      <c r="Y21" s="492"/>
      <c r="Z21" s="492"/>
      <c r="AA21" s="492"/>
      <c r="AB21" s="150">
        <f>SUM(T21)</f>
        <v>350</v>
      </c>
      <c r="AC21" s="492">
        <v>200</v>
      </c>
      <c r="AD21" s="492"/>
      <c r="AE21" s="492"/>
      <c r="AF21" s="492"/>
      <c r="AG21" s="492"/>
      <c r="AH21" s="492"/>
      <c r="AI21" s="492"/>
      <c r="AJ21" s="492"/>
      <c r="AK21" s="150">
        <f>SUM(AC21)</f>
        <v>200</v>
      </c>
      <c r="AL21" s="492">
        <v>400</v>
      </c>
      <c r="AM21" s="492"/>
      <c r="AN21" s="492"/>
      <c r="AO21" s="492"/>
      <c r="AP21" s="492"/>
      <c r="AQ21" s="492"/>
      <c r="AR21" s="492"/>
      <c r="AS21" s="492"/>
      <c r="AT21" s="162">
        <f>SUM(AL21)</f>
        <v>400</v>
      </c>
      <c r="AU21" s="492">
        <v>200</v>
      </c>
      <c r="AV21" s="492"/>
      <c r="AW21" s="492"/>
      <c r="AX21" s="492"/>
      <c r="AY21" s="492"/>
      <c r="AZ21" s="492"/>
      <c r="BA21" s="492"/>
      <c r="BB21" s="492"/>
      <c r="BC21" s="150">
        <f>SUM(AU21)</f>
        <v>200</v>
      </c>
      <c r="BD21" s="492">
        <v>250</v>
      </c>
      <c r="BE21" s="492"/>
      <c r="BF21" s="492"/>
      <c r="BG21" s="492"/>
      <c r="BH21" s="492"/>
      <c r="BI21" s="492"/>
      <c r="BJ21" s="492"/>
      <c r="BK21" s="492"/>
      <c r="BL21" s="163">
        <f>SUM(BD21)</f>
        <v>250</v>
      </c>
      <c r="BM21" s="492">
        <v>300</v>
      </c>
      <c r="BN21" s="492"/>
      <c r="BO21" s="492"/>
      <c r="BP21" s="492"/>
      <c r="BQ21" s="492"/>
      <c r="BR21" s="492"/>
      <c r="BS21" s="492"/>
      <c r="BT21" s="492"/>
      <c r="BU21" s="162">
        <f>SUM(BM21)</f>
        <v>300</v>
      </c>
      <c r="BV21" s="492">
        <v>250</v>
      </c>
      <c r="BW21" s="492"/>
      <c r="BX21" s="492"/>
      <c r="BY21" s="492"/>
      <c r="BZ21" s="492"/>
      <c r="CA21" s="492"/>
      <c r="CB21" s="492"/>
      <c r="CC21" s="492"/>
      <c r="CD21" s="150">
        <f>SUM(BV21)</f>
        <v>250</v>
      </c>
      <c r="CE21" s="492">
        <v>400</v>
      </c>
      <c r="CF21" s="492"/>
      <c r="CG21" s="492"/>
      <c r="CH21" s="492"/>
      <c r="CI21" s="492"/>
      <c r="CJ21" s="492"/>
      <c r="CK21" s="492"/>
      <c r="CL21" s="492"/>
      <c r="CM21" s="151">
        <f t="shared" si="8"/>
        <v>400</v>
      </c>
      <c r="CN21" s="492">
        <v>300</v>
      </c>
      <c r="CO21" s="492"/>
      <c r="CP21" s="492"/>
      <c r="CQ21" s="492"/>
      <c r="CR21" s="492"/>
      <c r="CS21" s="492"/>
      <c r="CT21" s="492"/>
      <c r="CU21" s="492"/>
      <c r="CV21" s="150">
        <f>SUM(CN21)</f>
        <v>300</v>
      </c>
      <c r="CW21" s="505">
        <v>200</v>
      </c>
      <c r="CX21" s="505"/>
      <c r="CY21" s="505"/>
      <c r="CZ21" s="505"/>
      <c r="DA21" s="505"/>
      <c r="DB21" s="505"/>
      <c r="DC21" s="505"/>
      <c r="DD21" s="505"/>
      <c r="DE21" s="160">
        <f>SUM(CW21)</f>
        <v>200</v>
      </c>
      <c r="DF21" s="505">
        <v>150</v>
      </c>
      <c r="DG21" s="505"/>
      <c r="DH21" s="505"/>
      <c r="DI21" s="505"/>
      <c r="DJ21" s="505"/>
      <c r="DK21" s="505"/>
      <c r="DL21" s="505"/>
      <c r="DM21" s="505"/>
      <c r="DN21" s="160">
        <f>SUM(DF21)</f>
        <v>150</v>
      </c>
      <c r="DO21" s="158">
        <f t="shared" si="19"/>
        <v>3300</v>
      </c>
      <c r="DP21" s="164"/>
    </row>
    <row r="22" spans="2:120" ht="182.25" customHeight="1">
      <c r="B22" s="494"/>
      <c r="C22" s="494"/>
      <c r="D22" s="497"/>
      <c r="E22" s="498"/>
      <c r="F22" s="494"/>
      <c r="G22" s="489"/>
      <c r="H22" s="499"/>
      <c r="I22" s="489"/>
      <c r="J22" s="154" t="s">
        <v>66</v>
      </c>
      <c r="K22" s="155">
        <v>6</v>
      </c>
      <c r="L22" s="155">
        <v>57</v>
      </c>
      <c r="M22" s="155"/>
      <c r="N22" s="155"/>
      <c r="O22" s="155">
        <v>186</v>
      </c>
      <c r="P22" s="155"/>
      <c r="Q22" s="165"/>
      <c r="R22" s="165"/>
      <c r="S22" s="161">
        <f>SUM(K22:R22)</f>
        <v>249</v>
      </c>
      <c r="T22" s="155">
        <v>6</v>
      </c>
      <c r="U22" s="155">
        <v>31</v>
      </c>
      <c r="V22" s="155">
        <v>4</v>
      </c>
      <c r="W22" s="155"/>
      <c r="X22" s="155">
        <v>294</v>
      </c>
      <c r="Y22" s="155"/>
      <c r="Z22" s="165"/>
      <c r="AA22" s="165"/>
      <c r="AB22" s="161">
        <f>SUM(T22:AA22)</f>
        <v>335</v>
      </c>
      <c r="AC22" s="165">
        <v>19</v>
      </c>
      <c r="AD22" s="165">
        <v>34</v>
      </c>
      <c r="AE22" s="165">
        <v>13</v>
      </c>
      <c r="AF22" s="165"/>
      <c r="AG22" s="165">
        <v>312</v>
      </c>
      <c r="AH22" s="165"/>
      <c r="AI22" s="165"/>
      <c r="AJ22" s="165"/>
      <c r="AK22" s="161">
        <f>SUM(AC22:AJ22)</f>
        <v>378</v>
      </c>
      <c r="AL22" s="165">
        <v>5</v>
      </c>
      <c r="AM22" s="165">
        <v>19</v>
      </c>
      <c r="AN22" s="165">
        <v>5</v>
      </c>
      <c r="AO22" s="165"/>
      <c r="AP22" s="165">
        <v>167</v>
      </c>
      <c r="AQ22" s="165"/>
      <c r="AR22" s="165"/>
      <c r="AS22" s="165"/>
      <c r="AT22" s="155">
        <f>SUM(AL22:AS22)</f>
        <v>196</v>
      </c>
      <c r="AU22" s="165">
        <v>70</v>
      </c>
      <c r="AV22" s="165">
        <v>83</v>
      </c>
      <c r="AW22" s="165">
        <v>73</v>
      </c>
      <c r="AX22" s="165"/>
      <c r="AY22" s="165">
        <v>362</v>
      </c>
      <c r="AZ22" s="165"/>
      <c r="BA22" s="165"/>
      <c r="BB22" s="165"/>
      <c r="BC22" s="155">
        <f>SUM(AU22:BB22)</f>
        <v>588</v>
      </c>
      <c r="BD22" s="165">
        <v>146</v>
      </c>
      <c r="BE22" s="165">
        <v>56</v>
      </c>
      <c r="BF22" s="165">
        <v>48</v>
      </c>
      <c r="BG22" s="165">
        <v>0</v>
      </c>
      <c r="BH22" s="165">
        <v>319</v>
      </c>
      <c r="BI22" s="165">
        <v>0</v>
      </c>
      <c r="BJ22" s="165">
        <v>0</v>
      </c>
      <c r="BK22" s="165">
        <v>0</v>
      </c>
      <c r="BL22" s="155">
        <f>SUM(BD22:BK22)</f>
        <v>569</v>
      </c>
      <c r="BM22" s="165">
        <v>218</v>
      </c>
      <c r="BN22" s="165">
        <v>85</v>
      </c>
      <c r="BO22" s="165">
        <v>55</v>
      </c>
      <c r="BP22" s="165">
        <v>0</v>
      </c>
      <c r="BQ22" s="165">
        <v>318</v>
      </c>
      <c r="BR22" s="165">
        <v>0</v>
      </c>
      <c r="BS22" s="165">
        <v>0</v>
      </c>
      <c r="BT22" s="165">
        <v>0</v>
      </c>
      <c r="BU22" s="155">
        <f>SUM(BM22:BT22)</f>
        <v>676</v>
      </c>
      <c r="BV22" s="165">
        <v>224</v>
      </c>
      <c r="BW22" s="165">
        <v>58</v>
      </c>
      <c r="BX22" s="165">
        <v>70</v>
      </c>
      <c r="BY22" s="165">
        <v>0</v>
      </c>
      <c r="BZ22" s="165">
        <v>327</v>
      </c>
      <c r="CA22" s="165">
        <v>0</v>
      </c>
      <c r="CB22" s="165">
        <v>0</v>
      </c>
      <c r="CC22" s="165">
        <v>0</v>
      </c>
      <c r="CD22" s="155">
        <f>SUM(BV22:CC22)</f>
        <v>679</v>
      </c>
      <c r="CE22" s="165">
        <v>159</v>
      </c>
      <c r="CF22" s="165">
        <v>91</v>
      </c>
      <c r="CG22" s="165">
        <v>60</v>
      </c>
      <c r="CH22" s="165">
        <v>0</v>
      </c>
      <c r="CI22" s="165">
        <v>378</v>
      </c>
      <c r="CJ22" s="165">
        <v>0</v>
      </c>
      <c r="CK22" s="165">
        <v>0</v>
      </c>
      <c r="CL22" s="165">
        <v>0</v>
      </c>
      <c r="CM22" s="151">
        <f t="shared" si="8"/>
        <v>688</v>
      </c>
      <c r="CN22" s="165">
        <v>54</v>
      </c>
      <c r="CO22" s="165">
        <v>119</v>
      </c>
      <c r="CP22" s="165">
        <v>37</v>
      </c>
      <c r="CQ22" s="165">
        <v>0</v>
      </c>
      <c r="CR22" s="165">
        <v>333</v>
      </c>
      <c r="CS22" s="165">
        <v>0</v>
      </c>
      <c r="CT22" s="165">
        <v>0</v>
      </c>
      <c r="CU22" s="165">
        <v>0</v>
      </c>
      <c r="CV22" s="155">
        <f>SUM(CN22:CU22)</f>
        <v>543</v>
      </c>
      <c r="CW22" s="166">
        <v>71</v>
      </c>
      <c r="CX22" s="166">
        <v>127</v>
      </c>
      <c r="CY22" s="166">
        <v>1</v>
      </c>
      <c r="CZ22" s="166">
        <v>0</v>
      </c>
      <c r="DA22" s="166">
        <v>317</v>
      </c>
      <c r="DB22" s="166">
        <v>0</v>
      </c>
      <c r="DC22" s="166">
        <v>0</v>
      </c>
      <c r="DD22" s="166">
        <v>0</v>
      </c>
      <c r="DE22" s="156">
        <f>SUM(CW22:DD22)</f>
        <v>516</v>
      </c>
      <c r="DF22" s="166">
        <v>10</v>
      </c>
      <c r="DG22" s="166">
        <v>27</v>
      </c>
      <c r="DH22" s="166">
        <v>0</v>
      </c>
      <c r="DI22" s="166">
        <v>0</v>
      </c>
      <c r="DJ22" s="166">
        <v>119</v>
      </c>
      <c r="DK22" s="166">
        <v>0</v>
      </c>
      <c r="DL22" s="166">
        <v>0</v>
      </c>
      <c r="DM22" s="166">
        <v>0</v>
      </c>
      <c r="DN22" s="157">
        <f>SUM(DF22:DM22)</f>
        <v>156</v>
      </c>
      <c r="DO22" s="158">
        <f t="shared" si="19"/>
        <v>5573</v>
      </c>
      <c r="DP22" s="164"/>
    </row>
    <row r="23" spans="2:120" ht="195" hidden="1" customHeight="1">
      <c r="B23" s="493" t="s">
        <v>67</v>
      </c>
      <c r="C23" s="493" t="s">
        <v>68</v>
      </c>
      <c r="D23" s="495" t="s">
        <v>69</v>
      </c>
      <c r="E23" s="496"/>
      <c r="F23" s="493" t="s">
        <v>14</v>
      </c>
      <c r="G23" s="490">
        <v>2510</v>
      </c>
      <c r="H23" s="499" t="s">
        <v>171</v>
      </c>
      <c r="I23" s="508">
        <v>2510</v>
      </c>
      <c r="J23" s="167" t="s">
        <v>65</v>
      </c>
      <c r="K23" s="492">
        <v>250</v>
      </c>
      <c r="L23" s="492"/>
      <c r="M23" s="492"/>
      <c r="N23" s="492"/>
      <c r="O23" s="492"/>
      <c r="P23" s="492"/>
      <c r="Q23" s="492"/>
      <c r="R23" s="492"/>
      <c r="S23" s="168">
        <f>SUM(K23)</f>
        <v>250</v>
      </c>
      <c r="T23" s="492">
        <v>150</v>
      </c>
      <c r="U23" s="492"/>
      <c r="V23" s="492"/>
      <c r="W23" s="492"/>
      <c r="X23" s="492"/>
      <c r="Y23" s="492"/>
      <c r="Z23" s="492"/>
      <c r="AA23" s="492"/>
      <c r="AB23" s="168">
        <f>SUM(T23)</f>
        <v>150</v>
      </c>
      <c r="AC23" s="492">
        <v>100</v>
      </c>
      <c r="AD23" s="492"/>
      <c r="AE23" s="492"/>
      <c r="AF23" s="492"/>
      <c r="AG23" s="492"/>
      <c r="AH23" s="492"/>
      <c r="AI23" s="492"/>
      <c r="AJ23" s="492"/>
      <c r="AK23" s="168">
        <f>SUM(AC23)</f>
        <v>100</v>
      </c>
      <c r="AL23" s="492">
        <v>200</v>
      </c>
      <c r="AM23" s="492"/>
      <c r="AN23" s="492"/>
      <c r="AO23" s="492"/>
      <c r="AP23" s="492"/>
      <c r="AQ23" s="492"/>
      <c r="AR23" s="492"/>
      <c r="AS23" s="492"/>
      <c r="AT23" s="162">
        <f>SUM(AL23)</f>
        <v>200</v>
      </c>
      <c r="AU23" s="492">
        <v>250</v>
      </c>
      <c r="AV23" s="492"/>
      <c r="AW23" s="492"/>
      <c r="AX23" s="492"/>
      <c r="AY23" s="492"/>
      <c r="AZ23" s="492"/>
      <c r="BA23" s="492"/>
      <c r="BB23" s="492"/>
      <c r="BC23" s="162">
        <f>SUM(AU23)</f>
        <v>250</v>
      </c>
      <c r="BD23" s="492">
        <v>300</v>
      </c>
      <c r="BE23" s="492"/>
      <c r="BF23" s="492"/>
      <c r="BG23" s="492"/>
      <c r="BH23" s="492"/>
      <c r="BI23" s="492"/>
      <c r="BJ23" s="492"/>
      <c r="BK23" s="492"/>
      <c r="BL23" s="163">
        <f>SUM(BD23)</f>
        <v>300</v>
      </c>
      <c r="BM23" s="492">
        <v>250</v>
      </c>
      <c r="BN23" s="492"/>
      <c r="BO23" s="492"/>
      <c r="BP23" s="492"/>
      <c r="BQ23" s="492"/>
      <c r="BR23" s="492"/>
      <c r="BS23" s="492"/>
      <c r="BT23" s="492"/>
      <c r="BU23" s="162">
        <f>SUM(BM23)</f>
        <v>250</v>
      </c>
      <c r="BV23" s="492">
        <v>250</v>
      </c>
      <c r="BW23" s="492"/>
      <c r="BX23" s="492"/>
      <c r="BY23" s="492"/>
      <c r="BZ23" s="492"/>
      <c r="CA23" s="492"/>
      <c r="CB23" s="492"/>
      <c r="CC23" s="492"/>
      <c r="CD23" s="162">
        <f>SUM(BV23)</f>
        <v>250</v>
      </c>
      <c r="CE23" s="492">
        <v>200</v>
      </c>
      <c r="CF23" s="492"/>
      <c r="CG23" s="492"/>
      <c r="CH23" s="492"/>
      <c r="CI23" s="492"/>
      <c r="CJ23" s="492"/>
      <c r="CK23" s="492"/>
      <c r="CL23" s="492"/>
      <c r="CM23" s="151">
        <f t="shared" si="8"/>
        <v>200</v>
      </c>
      <c r="CN23" s="502">
        <v>150</v>
      </c>
      <c r="CO23" s="503"/>
      <c r="CP23" s="503"/>
      <c r="CQ23" s="503"/>
      <c r="CR23" s="503"/>
      <c r="CS23" s="503"/>
      <c r="CT23" s="503"/>
      <c r="CU23" s="503"/>
      <c r="CV23" s="150">
        <f>SUM(CN23)</f>
        <v>150</v>
      </c>
      <c r="CW23" s="505">
        <v>200</v>
      </c>
      <c r="CX23" s="505"/>
      <c r="CY23" s="505"/>
      <c r="CZ23" s="505"/>
      <c r="DA23" s="505"/>
      <c r="DB23" s="505"/>
      <c r="DC23" s="505"/>
      <c r="DD23" s="505"/>
      <c r="DE23" s="169">
        <f>SUM(CW23)</f>
        <v>200</v>
      </c>
      <c r="DF23" s="505">
        <v>150</v>
      </c>
      <c r="DG23" s="505"/>
      <c r="DH23" s="505"/>
      <c r="DI23" s="505"/>
      <c r="DJ23" s="505"/>
      <c r="DK23" s="505"/>
      <c r="DL23" s="505"/>
      <c r="DM23" s="505"/>
      <c r="DN23" s="169">
        <f>SUM(DF23)</f>
        <v>150</v>
      </c>
      <c r="DO23" s="158">
        <f>S23+AB23+AK23+AT23+BC23+BL23+BU23+CD23+CM23+CV23+DE23+DN23</f>
        <v>2450</v>
      </c>
      <c r="DP23" s="164"/>
    </row>
    <row r="24" spans="2:120" ht="202.5" customHeight="1">
      <c r="B24" s="494"/>
      <c r="C24" s="494"/>
      <c r="D24" s="497"/>
      <c r="E24" s="498"/>
      <c r="F24" s="494"/>
      <c r="G24" s="489"/>
      <c r="H24" s="499"/>
      <c r="I24" s="500"/>
      <c r="J24" s="154" t="s">
        <v>66</v>
      </c>
      <c r="K24" s="155">
        <v>5</v>
      </c>
      <c r="L24" s="155">
        <v>19</v>
      </c>
      <c r="M24" s="155">
        <v>3</v>
      </c>
      <c r="N24" s="155"/>
      <c r="O24" s="155">
        <v>73</v>
      </c>
      <c r="P24" s="155"/>
      <c r="Q24" s="155"/>
      <c r="R24" s="165"/>
      <c r="S24" s="161">
        <f>SUM(K24:R24)</f>
        <v>100</v>
      </c>
      <c r="T24" s="155">
        <v>12</v>
      </c>
      <c r="U24" s="155">
        <v>35</v>
      </c>
      <c r="V24" s="155">
        <v>22</v>
      </c>
      <c r="W24" s="155"/>
      <c r="X24" s="155">
        <v>185</v>
      </c>
      <c r="Y24" s="165"/>
      <c r="Z24" s="165"/>
      <c r="AA24" s="165"/>
      <c r="AB24" s="161">
        <f>SUM(T24:AA24)</f>
        <v>254</v>
      </c>
      <c r="AC24" s="165">
        <v>62</v>
      </c>
      <c r="AD24" s="165">
        <v>88</v>
      </c>
      <c r="AE24" s="165">
        <v>64</v>
      </c>
      <c r="AF24" s="165"/>
      <c r="AG24" s="165">
        <v>449</v>
      </c>
      <c r="AH24" s="165"/>
      <c r="AI24" s="165"/>
      <c r="AJ24" s="165"/>
      <c r="AK24" s="161">
        <f>SUM(AC24:AJ24)</f>
        <v>663</v>
      </c>
      <c r="AL24" s="165">
        <v>36</v>
      </c>
      <c r="AM24" s="165">
        <v>75</v>
      </c>
      <c r="AN24" s="165">
        <v>28</v>
      </c>
      <c r="AO24" s="165"/>
      <c r="AP24" s="165">
        <v>325</v>
      </c>
      <c r="AQ24" s="165"/>
      <c r="AR24" s="165"/>
      <c r="AS24" s="165"/>
      <c r="AT24" s="155">
        <f t="shared" si="1"/>
        <v>464</v>
      </c>
      <c r="AU24" s="165">
        <v>38</v>
      </c>
      <c r="AV24" s="165">
        <v>46</v>
      </c>
      <c r="AW24" s="165">
        <v>49</v>
      </c>
      <c r="AX24" s="165"/>
      <c r="AY24" s="165">
        <v>205</v>
      </c>
      <c r="AZ24" s="165"/>
      <c r="BA24" s="165"/>
      <c r="BB24" s="165"/>
      <c r="BC24" s="155">
        <f t="shared" si="2"/>
        <v>338</v>
      </c>
      <c r="BD24" s="165">
        <v>247</v>
      </c>
      <c r="BE24" s="165">
        <v>62</v>
      </c>
      <c r="BF24" s="165">
        <v>41</v>
      </c>
      <c r="BG24" s="165">
        <v>0</v>
      </c>
      <c r="BH24" s="165">
        <v>246</v>
      </c>
      <c r="BI24" s="165">
        <v>0</v>
      </c>
      <c r="BJ24" s="165">
        <v>0</v>
      </c>
      <c r="BK24" s="165">
        <v>0</v>
      </c>
      <c r="BL24" s="155">
        <f t="shared" si="3"/>
        <v>596</v>
      </c>
      <c r="BM24" s="165">
        <v>309</v>
      </c>
      <c r="BN24" s="165">
        <v>79</v>
      </c>
      <c r="BO24" s="165">
        <v>33</v>
      </c>
      <c r="BP24" s="165">
        <v>0</v>
      </c>
      <c r="BQ24" s="165">
        <v>212</v>
      </c>
      <c r="BR24" s="165">
        <v>0</v>
      </c>
      <c r="BS24" s="165">
        <v>0</v>
      </c>
      <c r="BT24" s="165">
        <v>0</v>
      </c>
      <c r="BU24" s="155">
        <f t="shared" ref="BU24" si="20">SUM(BM24:BT24)</f>
        <v>633</v>
      </c>
      <c r="BV24" s="165">
        <v>188</v>
      </c>
      <c r="BW24" s="165">
        <v>34</v>
      </c>
      <c r="BX24" s="165">
        <v>21</v>
      </c>
      <c r="BY24" s="165">
        <v>0</v>
      </c>
      <c r="BZ24" s="165">
        <v>197</v>
      </c>
      <c r="CA24" s="165">
        <v>0</v>
      </c>
      <c r="CB24" s="165">
        <v>0</v>
      </c>
      <c r="CC24" s="165">
        <v>0</v>
      </c>
      <c r="CD24" s="155">
        <f>SUM(BV24:CC24)</f>
        <v>440</v>
      </c>
      <c r="CE24" s="165">
        <v>145</v>
      </c>
      <c r="CF24" s="165">
        <v>51</v>
      </c>
      <c r="CG24" s="165">
        <v>26</v>
      </c>
      <c r="CH24" s="165">
        <v>0</v>
      </c>
      <c r="CI24" s="165">
        <v>153</v>
      </c>
      <c r="CJ24" s="165">
        <v>0</v>
      </c>
      <c r="CK24" s="165">
        <v>0</v>
      </c>
      <c r="CL24" s="165">
        <v>0</v>
      </c>
      <c r="CM24" s="151">
        <f t="shared" si="8"/>
        <v>375</v>
      </c>
      <c r="CN24" s="165">
        <v>61</v>
      </c>
      <c r="CO24" s="165">
        <v>78</v>
      </c>
      <c r="CP24" s="165">
        <v>32</v>
      </c>
      <c r="CQ24" s="165">
        <v>0</v>
      </c>
      <c r="CR24" s="165">
        <v>202</v>
      </c>
      <c r="CS24" s="165">
        <v>0</v>
      </c>
      <c r="CT24" s="165">
        <v>0</v>
      </c>
      <c r="CU24" s="165">
        <v>0</v>
      </c>
      <c r="CV24" s="155">
        <f t="shared" si="5"/>
        <v>373</v>
      </c>
      <c r="CW24" s="166">
        <v>37</v>
      </c>
      <c r="CX24" s="166">
        <v>61</v>
      </c>
      <c r="CY24" s="166">
        <v>9</v>
      </c>
      <c r="CZ24" s="166">
        <v>0</v>
      </c>
      <c r="DA24" s="166">
        <v>127</v>
      </c>
      <c r="DB24" s="166">
        <v>0</v>
      </c>
      <c r="DC24" s="166">
        <v>0</v>
      </c>
      <c r="DD24" s="166">
        <v>0</v>
      </c>
      <c r="DE24" s="156">
        <f t="shared" si="6"/>
        <v>234</v>
      </c>
      <c r="DF24" s="166">
        <v>95</v>
      </c>
      <c r="DG24" s="166">
        <v>116</v>
      </c>
      <c r="DH24" s="166">
        <v>0</v>
      </c>
      <c r="DI24" s="166">
        <v>0</v>
      </c>
      <c r="DJ24" s="166">
        <v>208</v>
      </c>
      <c r="DK24" s="166">
        <v>0</v>
      </c>
      <c r="DL24" s="166">
        <v>0</v>
      </c>
      <c r="DM24" s="166">
        <v>0</v>
      </c>
      <c r="DN24" s="157">
        <f t="shared" si="7"/>
        <v>419</v>
      </c>
      <c r="DO24" s="158">
        <f>S24+AB24+AK24+AT24+BC24+BL24+BU24+CD24+CM24+CV24+DE24+DN24</f>
        <v>4889</v>
      </c>
      <c r="DP24" s="164"/>
    </row>
    <row r="25" spans="2:120" ht="165" hidden="1" customHeight="1">
      <c r="B25" s="493" t="s">
        <v>67</v>
      </c>
      <c r="C25" s="493" t="s">
        <v>68</v>
      </c>
      <c r="D25" s="495" t="s">
        <v>69</v>
      </c>
      <c r="E25" s="496"/>
      <c r="F25" s="493" t="s">
        <v>14</v>
      </c>
      <c r="G25" s="509">
        <v>12214</v>
      </c>
      <c r="H25" s="510" t="s">
        <v>172</v>
      </c>
      <c r="I25" s="512">
        <v>12214</v>
      </c>
      <c r="J25" s="167" t="s">
        <v>65</v>
      </c>
      <c r="K25" s="492">
        <v>800</v>
      </c>
      <c r="L25" s="492"/>
      <c r="M25" s="492"/>
      <c r="N25" s="492"/>
      <c r="O25" s="492"/>
      <c r="P25" s="492"/>
      <c r="Q25" s="492"/>
      <c r="R25" s="492"/>
      <c r="S25" s="170">
        <f>SUM(K25)</f>
        <v>800</v>
      </c>
      <c r="T25" s="492">
        <v>1000</v>
      </c>
      <c r="U25" s="492"/>
      <c r="V25" s="492"/>
      <c r="W25" s="492"/>
      <c r="X25" s="492"/>
      <c r="Y25" s="492"/>
      <c r="Z25" s="492"/>
      <c r="AA25" s="492"/>
      <c r="AB25" s="170">
        <f>SUM(T25)</f>
        <v>1000</v>
      </c>
      <c r="AC25" s="492">
        <v>900</v>
      </c>
      <c r="AD25" s="492"/>
      <c r="AE25" s="492"/>
      <c r="AF25" s="492"/>
      <c r="AG25" s="492"/>
      <c r="AH25" s="492"/>
      <c r="AI25" s="492"/>
      <c r="AJ25" s="492"/>
      <c r="AK25" s="170">
        <f>SUM(AC25)</f>
        <v>900</v>
      </c>
      <c r="AL25" s="492">
        <v>350</v>
      </c>
      <c r="AM25" s="492"/>
      <c r="AN25" s="492"/>
      <c r="AO25" s="492"/>
      <c r="AP25" s="492"/>
      <c r="AQ25" s="492"/>
      <c r="AR25" s="492"/>
      <c r="AS25" s="492"/>
      <c r="AT25" s="162">
        <f>SUM(AL25)</f>
        <v>350</v>
      </c>
      <c r="AU25" s="492">
        <v>1000</v>
      </c>
      <c r="AV25" s="492"/>
      <c r="AW25" s="492"/>
      <c r="AX25" s="492"/>
      <c r="AY25" s="492"/>
      <c r="AZ25" s="492"/>
      <c r="BA25" s="492"/>
      <c r="BB25" s="492"/>
      <c r="BC25" s="162">
        <f>SUM(AU25)</f>
        <v>1000</v>
      </c>
      <c r="BD25" s="492">
        <v>800</v>
      </c>
      <c r="BE25" s="492"/>
      <c r="BF25" s="492"/>
      <c r="BG25" s="492"/>
      <c r="BH25" s="492"/>
      <c r="BI25" s="492"/>
      <c r="BJ25" s="492"/>
      <c r="BK25" s="492"/>
      <c r="BL25" s="163">
        <f>SUM(BD25)</f>
        <v>800</v>
      </c>
      <c r="BM25" s="492">
        <v>850</v>
      </c>
      <c r="BN25" s="492"/>
      <c r="BO25" s="492"/>
      <c r="BP25" s="492"/>
      <c r="BQ25" s="492"/>
      <c r="BR25" s="492"/>
      <c r="BS25" s="492"/>
      <c r="BT25" s="492"/>
      <c r="BU25" s="162">
        <f>SUM(BM25)</f>
        <v>850</v>
      </c>
      <c r="BV25" s="492">
        <v>800</v>
      </c>
      <c r="BW25" s="492"/>
      <c r="BX25" s="492"/>
      <c r="BY25" s="492"/>
      <c r="BZ25" s="492"/>
      <c r="CA25" s="492"/>
      <c r="CB25" s="492"/>
      <c r="CC25" s="492"/>
      <c r="CD25" s="162">
        <f>SUM(BV25)</f>
        <v>800</v>
      </c>
      <c r="CE25" s="492">
        <v>900</v>
      </c>
      <c r="CF25" s="492"/>
      <c r="CG25" s="492"/>
      <c r="CH25" s="492"/>
      <c r="CI25" s="492"/>
      <c r="CJ25" s="492"/>
      <c r="CK25" s="492"/>
      <c r="CL25" s="492"/>
      <c r="CM25" s="151">
        <f t="shared" si="8"/>
        <v>900</v>
      </c>
      <c r="CN25" s="492">
        <v>1000</v>
      </c>
      <c r="CO25" s="492"/>
      <c r="CP25" s="492"/>
      <c r="CQ25" s="492"/>
      <c r="CR25" s="492"/>
      <c r="CS25" s="492"/>
      <c r="CT25" s="492"/>
      <c r="CU25" s="492"/>
      <c r="CV25" s="162">
        <f>SUM(CN25)</f>
        <v>1000</v>
      </c>
      <c r="CW25" s="505">
        <v>800</v>
      </c>
      <c r="CX25" s="505"/>
      <c r="CY25" s="505"/>
      <c r="CZ25" s="505"/>
      <c r="DA25" s="505"/>
      <c r="DB25" s="505"/>
      <c r="DC25" s="505"/>
      <c r="DD25" s="505"/>
      <c r="DE25" s="169">
        <f>SUM(CW25)</f>
        <v>800</v>
      </c>
      <c r="DF25" s="505">
        <v>900</v>
      </c>
      <c r="DG25" s="505"/>
      <c r="DH25" s="505"/>
      <c r="DI25" s="505"/>
      <c r="DJ25" s="505"/>
      <c r="DK25" s="505"/>
      <c r="DL25" s="505"/>
      <c r="DM25" s="505"/>
      <c r="DN25" s="169">
        <f>SUM(DF25)</f>
        <v>900</v>
      </c>
      <c r="DO25" s="158">
        <f>S25+AB25+AK25+AT25+BC25+BL25+BU25+CD25+CM25+CV25+DE25+DN25</f>
        <v>10100</v>
      </c>
      <c r="DP25" s="164"/>
    </row>
    <row r="26" spans="2:120" ht="168.75" customHeight="1">
      <c r="B26" s="494"/>
      <c r="C26" s="494"/>
      <c r="D26" s="497"/>
      <c r="E26" s="498"/>
      <c r="F26" s="494"/>
      <c r="G26" s="494"/>
      <c r="H26" s="511"/>
      <c r="I26" s="508"/>
      <c r="J26" s="154" t="s">
        <v>66</v>
      </c>
      <c r="K26" s="155">
        <v>116</v>
      </c>
      <c r="L26" s="155">
        <v>166</v>
      </c>
      <c r="M26" s="155">
        <v>83</v>
      </c>
      <c r="N26" s="155"/>
      <c r="O26" s="155">
        <v>616</v>
      </c>
      <c r="P26" s="155"/>
      <c r="Q26" s="155"/>
      <c r="R26" s="165"/>
      <c r="S26" s="161">
        <f t="shared" ref="S26" si="21">SUM(K26:R26)</f>
        <v>981</v>
      </c>
      <c r="T26" s="155">
        <v>44</v>
      </c>
      <c r="U26" s="155">
        <v>139</v>
      </c>
      <c r="V26" s="155">
        <v>55</v>
      </c>
      <c r="W26" s="155"/>
      <c r="X26" s="155">
        <v>589</v>
      </c>
      <c r="Y26" s="165"/>
      <c r="Z26" s="165"/>
      <c r="AA26" s="165"/>
      <c r="AB26" s="161">
        <f t="shared" si="0"/>
        <v>827</v>
      </c>
      <c r="AC26" s="165">
        <v>124</v>
      </c>
      <c r="AD26" s="165">
        <v>139</v>
      </c>
      <c r="AE26" s="165">
        <v>94</v>
      </c>
      <c r="AF26" s="165"/>
      <c r="AG26" s="165">
        <v>806</v>
      </c>
      <c r="AH26" s="165"/>
      <c r="AI26" s="165"/>
      <c r="AJ26" s="165"/>
      <c r="AK26" s="161">
        <f>SUM(AC26:AJ26)</f>
        <v>1163</v>
      </c>
      <c r="AL26" s="165">
        <v>67</v>
      </c>
      <c r="AM26" s="165">
        <v>186</v>
      </c>
      <c r="AN26" s="165">
        <v>99</v>
      </c>
      <c r="AO26" s="165"/>
      <c r="AP26" s="165">
        <v>432</v>
      </c>
      <c r="AQ26" s="165"/>
      <c r="AR26" s="165"/>
      <c r="AS26" s="165"/>
      <c r="AT26" s="155">
        <f>SUM(AL26:AS26)</f>
        <v>784</v>
      </c>
      <c r="AU26" s="165">
        <v>134</v>
      </c>
      <c r="AV26" s="165">
        <v>148</v>
      </c>
      <c r="AW26" s="165">
        <v>215</v>
      </c>
      <c r="AX26" s="165"/>
      <c r="AY26" s="165">
        <v>422</v>
      </c>
      <c r="AZ26" s="165"/>
      <c r="BA26" s="165"/>
      <c r="BB26" s="165"/>
      <c r="BC26" s="155">
        <f>SUM(AU26:BB26)</f>
        <v>919</v>
      </c>
      <c r="BD26" s="165">
        <v>371</v>
      </c>
      <c r="BE26" s="165">
        <v>214</v>
      </c>
      <c r="BF26" s="165">
        <v>143</v>
      </c>
      <c r="BG26" s="165">
        <v>0</v>
      </c>
      <c r="BH26" s="165">
        <v>424</v>
      </c>
      <c r="BI26" s="165">
        <v>0</v>
      </c>
      <c r="BJ26" s="165">
        <v>0</v>
      </c>
      <c r="BK26" s="165">
        <v>0</v>
      </c>
      <c r="BL26" s="155">
        <f>SUM(BD26:BK26)</f>
        <v>1152</v>
      </c>
      <c r="BM26" s="165">
        <v>448</v>
      </c>
      <c r="BN26" s="165">
        <v>177</v>
      </c>
      <c r="BO26" s="165">
        <v>115</v>
      </c>
      <c r="BP26" s="165">
        <v>0</v>
      </c>
      <c r="BQ26" s="165">
        <v>414</v>
      </c>
      <c r="BR26" s="165">
        <v>0</v>
      </c>
      <c r="BS26" s="165">
        <v>0</v>
      </c>
      <c r="BT26" s="165">
        <v>0</v>
      </c>
      <c r="BU26" s="155">
        <f>SUM(BM26:BT26)</f>
        <v>1154</v>
      </c>
      <c r="BV26" s="165">
        <v>636</v>
      </c>
      <c r="BW26" s="165">
        <v>198</v>
      </c>
      <c r="BX26" s="165">
        <v>138</v>
      </c>
      <c r="BY26" s="165">
        <v>0</v>
      </c>
      <c r="BZ26" s="165">
        <v>371</v>
      </c>
      <c r="CA26" s="165">
        <v>0</v>
      </c>
      <c r="CB26" s="165">
        <v>0</v>
      </c>
      <c r="CC26" s="165">
        <v>0</v>
      </c>
      <c r="CD26" s="155">
        <f>SUM(BV26:CC26)</f>
        <v>1343</v>
      </c>
      <c r="CE26" s="165">
        <v>374</v>
      </c>
      <c r="CF26" s="165">
        <v>204</v>
      </c>
      <c r="CG26" s="165">
        <v>132</v>
      </c>
      <c r="CH26" s="165">
        <v>0</v>
      </c>
      <c r="CI26" s="165">
        <v>570</v>
      </c>
      <c r="CJ26" s="165">
        <v>0</v>
      </c>
      <c r="CK26" s="165">
        <v>0</v>
      </c>
      <c r="CL26" s="165">
        <v>0</v>
      </c>
      <c r="CM26" s="151">
        <f t="shared" si="8"/>
        <v>1280</v>
      </c>
      <c r="CN26" s="165">
        <v>130</v>
      </c>
      <c r="CO26" s="165">
        <v>190</v>
      </c>
      <c r="CP26" s="165">
        <v>86</v>
      </c>
      <c r="CQ26" s="165">
        <v>0</v>
      </c>
      <c r="CR26" s="165">
        <v>425</v>
      </c>
      <c r="CS26" s="165">
        <v>0</v>
      </c>
      <c r="CT26" s="165">
        <v>0</v>
      </c>
      <c r="CU26" s="165">
        <v>0</v>
      </c>
      <c r="CV26" s="155">
        <f>SUM(CN26:CU26)</f>
        <v>831</v>
      </c>
      <c r="CW26" s="166">
        <v>198</v>
      </c>
      <c r="CX26" s="166">
        <v>332</v>
      </c>
      <c r="CY26" s="166">
        <v>20</v>
      </c>
      <c r="CZ26" s="166">
        <v>0</v>
      </c>
      <c r="DA26" s="166">
        <v>567</v>
      </c>
      <c r="DB26" s="166">
        <v>0</v>
      </c>
      <c r="DC26" s="166">
        <v>0</v>
      </c>
      <c r="DD26" s="166">
        <v>0</v>
      </c>
      <c r="DE26" s="156">
        <f>SUM(CW26:DD26)</f>
        <v>1117</v>
      </c>
      <c r="DF26" s="166">
        <v>502</v>
      </c>
      <c r="DG26" s="166">
        <v>412</v>
      </c>
      <c r="DH26" s="166">
        <v>0</v>
      </c>
      <c r="DI26" s="166">
        <v>0</v>
      </c>
      <c r="DJ26" s="166">
        <v>585</v>
      </c>
      <c r="DK26" s="166">
        <v>0</v>
      </c>
      <c r="DL26" s="166">
        <v>0</v>
      </c>
      <c r="DM26" s="166">
        <v>0</v>
      </c>
      <c r="DN26" s="157">
        <f>SUM(DF26:DM26)</f>
        <v>1499</v>
      </c>
      <c r="DO26" s="158">
        <f>S26+AB26+AK26+AT26+BC26+BL26+BU26+CD26+CM26+CV26+DE26+DN26</f>
        <v>13050</v>
      </c>
      <c r="DP26" s="164"/>
    </row>
    <row r="27" spans="2:120" ht="165" hidden="1" customHeight="1">
      <c r="B27" s="493" t="s">
        <v>154</v>
      </c>
      <c r="C27" s="493" t="s">
        <v>7</v>
      </c>
      <c r="D27" s="495" t="s">
        <v>1</v>
      </c>
      <c r="E27" s="496"/>
      <c r="F27" s="493" t="s">
        <v>1</v>
      </c>
      <c r="G27" s="493">
        <v>1</v>
      </c>
      <c r="H27" s="493" t="s">
        <v>1</v>
      </c>
      <c r="I27" s="512">
        <v>1</v>
      </c>
      <c r="J27" s="167" t="s">
        <v>65</v>
      </c>
      <c r="K27" s="492">
        <v>0</v>
      </c>
      <c r="L27" s="492"/>
      <c r="M27" s="492"/>
      <c r="N27" s="492"/>
      <c r="O27" s="492"/>
      <c r="P27" s="492"/>
      <c r="Q27" s="492"/>
      <c r="R27" s="492"/>
      <c r="S27" s="150">
        <f>SUM(K27)</f>
        <v>0</v>
      </c>
      <c r="T27" s="492">
        <v>0</v>
      </c>
      <c r="U27" s="492"/>
      <c r="V27" s="492"/>
      <c r="W27" s="492"/>
      <c r="X27" s="492"/>
      <c r="Y27" s="492"/>
      <c r="Z27" s="492"/>
      <c r="AA27" s="492"/>
      <c r="AB27" s="150">
        <f>SUM(T27)</f>
        <v>0</v>
      </c>
      <c r="AC27" s="492">
        <v>0</v>
      </c>
      <c r="AD27" s="492"/>
      <c r="AE27" s="492"/>
      <c r="AF27" s="492"/>
      <c r="AG27" s="492"/>
      <c r="AH27" s="492"/>
      <c r="AI27" s="492"/>
      <c r="AJ27" s="492"/>
      <c r="AK27" s="150">
        <f>SUM(AC27)</f>
        <v>0</v>
      </c>
      <c r="AL27" s="492">
        <v>0</v>
      </c>
      <c r="AM27" s="492"/>
      <c r="AN27" s="492"/>
      <c r="AO27" s="492"/>
      <c r="AP27" s="492"/>
      <c r="AQ27" s="492"/>
      <c r="AR27" s="492"/>
      <c r="AS27" s="492"/>
      <c r="AT27" s="150">
        <f>SUM(AL27)</f>
        <v>0</v>
      </c>
      <c r="AU27" s="492">
        <v>0</v>
      </c>
      <c r="AV27" s="492"/>
      <c r="AW27" s="492"/>
      <c r="AX27" s="492"/>
      <c r="AY27" s="492"/>
      <c r="AZ27" s="492"/>
      <c r="BA27" s="492"/>
      <c r="BB27" s="492"/>
      <c r="BC27" s="150">
        <f>SUM(AU27)</f>
        <v>0</v>
      </c>
      <c r="BD27" s="492">
        <v>0</v>
      </c>
      <c r="BE27" s="492"/>
      <c r="BF27" s="492"/>
      <c r="BG27" s="492"/>
      <c r="BH27" s="492"/>
      <c r="BI27" s="492"/>
      <c r="BJ27" s="492"/>
      <c r="BK27" s="492"/>
      <c r="BL27" s="151">
        <f>SUM(BD27)</f>
        <v>0</v>
      </c>
      <c r="BM27" s="492">
        <v>0</v>
      </c>
      <c r="BN27" s="492"/>
      <c r="BO27" s="492"/>
      <c r="BP27" s="492"/>
      <c r="BQ27" s="492"/>
      <c r="BR27" s="492"/>
      <c r="BS27" s="492"/>
      <c r="BT27" s="492"/>
      <c r="BU27" s="150">
        <f>SUM(BM27)</f>
        <v>0</v>
      </c>
      <c r="BV27" s="492">
        <v>0</v>
      </c>
      <c r="BW27" s="492"/>
      <c r="BX27" s="492"/>
      <c r="BY27" s="492"/>
      <c r="BZ27" s="492"/>
      <c r="CA27" s="492"/>
      <c r="CB27" s="492"/>
      <c r="CC27" s="492"/>
      <c r="CD27" s="150">
        <f>SUM(BV27)</f>
        <v>0</v>
      </c>
      <c r="CE27" s="492">
        <v>0</v>
      </c>
      <c r="CF27" s="492"/>
      <c r="CG27" s="492"/>
      <c r="CH27" s="492"/>
      <c r="CI27" s="492"/>
      <c r="CJ27" s="492"/>
      <c r="CK27" s="492"/>
      <c r="CL27" s="492"/>
      <c r="CM27" s="151">
        <f t="shared" si="8"/>
        <v>0</v>
      </c>
      <c r="CN27" s="492">
        <v>0</v>
      </c>
      <c r="CO27" s="492"/>
      <c r="CP27" s="492"/>
      <c r="CQ27" s="492"/>
      <c r="CR27" s="492"/>
      <c r="CS27" s="492"/>
      <c r="CT27" s="492"/>
      <c r="CU27" s="492"/>
      <c r="CV27" s="150">
        <f>SUM(CN27)</f>
        <v>0</v>
      </c>
      <c r="CW27" s="505">
        <v>0</v>
      </c>
      <c r="CX27" s="505"/>
      <c r="CY27" s="505"/>
      <c r="CZ27" s="505"/>
      <c r="DA27" s="505"/>
      <c r="DB27" s="505"/>
      <c r="DC27" s="505"/>
      <c r="DD27" s="505"/>
      <c r="DE27" s="160">
        <f>SUM(CW27)</f>
        <v>0</v>
      </c>
      <c r="DF27" s="505">
        <v>0</v>
      </c>
      <c r="DG27" s="505"/>
      <c r="DH27" s="505"/>
      <c r="DI27" s="505"/>
      <c r="DJ27" s="505"/>
      <c r="DK27" s="505"/>
      <c r="DL27" s="505"/>
      <c r="DM27" s="505"/>
      <c r="DN27" s="160">
        <f>SUM(DF27)</f>
        <v>0</v>
      </c>
      <c r="DO27" s="158">
        <f t="shared" ref="DO27:DO30" si="22">S27+AB27+AK27+AT27+BC27+BL27+BU27+CD27+CM27+CV27+DE27+DN27</f>
        <v>0</v>
      </c>
      <c r="DP27" s="164"/>
    </row>
    <row r="28" spans="2:120" ht="165" customHeight="1">
      <c r="B28" s="494"/>
      <c r="C28" s="494"/>
      <c r="D28" s="497"/>
      <c r="E28" s="498"/>
      <c r="F28" s="494"/>
      <c r="G28" s="494"/>
      <c r="H28" s="494"/>
      <c r="I28" s="508"/>
      <c r="J28" s="154" t="s">
        <v>66</v>
      </c>
      <c r="K28" s="502">
        <v>0</v>
      </c>
      <c r="L28" s="503"/>
      <c r="M28" s="503"/>
      <c r="N28" s="503"/>
      <c r="O28" s="503"/>
      <c r="P28" s="503"/>
      <c r="Q28" s="503"/>
      <c r="R28" s="504"/>
      <c r="S28" s="155">
        <f>SUM(K28)</f>
        <v>0</v>
      </c>
      <c r="T28" s="502">
        <v>0</v>
      </c>
      <c r="U28" s="503"/>
      <c r="V28" s="503"/>
      <c r="W28" s="503"/>
      <c r="X28" s="503"/>
      <c r="Y28" s="503"/>
      <c r="Z28" s="503"/>
      <c r="AA28" s="504"/>
      <c r="AB28" s="155">
        <f>SUM(T28)</f>
        <v>0</v>
      </c>
      <c r="AC28" s="502">
        <v>0</v>
      </c>
      <c r="AD28" s="503"/>
      <c r="AE28" s="503"/>
      <c r="AF28" s="503"/>
      <c r="AG28" s="503"/>
      <c r="AH28" s="503"/>
      <c r="AI28" s="503"/>
      <c r="AJ28" s="504"/>
      <c r="AK28" s="155">
        <f>SUM(AC28)</f>
        <v>0</v>
      </c>
      <c r="AL28" s="502">
        <v>0</v>
      </c>
      <c r="AM28" s="503"/>
      <c r="AN28" s="503"/>
      <c r="AO28" s="503"/>
      <c r="AP28" s="503"/>
      <c r="AQ28" s="503"/>
      <c r="AR28" s="503"/>
      <c r="AS28" s="504"/>
      <c r="AT28" s="155">
        <f>SUM(AL28)</f>
        <v>0</v>
      </c>
      <c r="AU28" s="502">
        <v>0</v>
      </c>
      <c r="AV28" s="503"/>
      <c r="AW28" s="503"/>
      <c r="AX28" s="503"/>
      <c r="AY28" s="503"/>
      <c r="AZ28" s="503"/>
      <c r="BA28" s="503"/>
      <c r="BB28" s="504"/>
      <c r="BC28" s="155">
        <f>SUM(AU28)</f>
        <v>0</v>
      </c>
      <c r="BD28" s="502">
        <v>0</v>
      </c>
      <c r="BE28" s="503"/>
      <c r="BF28" s="503"/>
      <c r="BG28" s="503"/>
      <c r="BH28" s="503"/>
      <c r="BI28" s="503"/>
      <c r="BJ28" s="503"/>
      <c r="BK28" s="504"/>
      <c r="BL28" s="155">
        <f>SUM(BD28)</f>
        <v>0</v>
      </c>
      <c r="BM28" s="502">
        <v>0</v>
      </c>
      <c r="BN28" s="503"/>
      <c r="BO28" s="503"/>
      <c r="BP28" s="503"/>
      <c r="BQ28" s="503"/>
      <c r="BR28" s="503"/>
      <c r="BS28" s="503"/>
      <c r="BT28" s="504"/>
      <c r="BU28" s="155">
        <f>SUM(BM28)</f>
        <v>0</v>
      </c>
      <c r="BV28" s="502">
        <v>0</v>
      </c>
      <c r="BW28" s="503"/>
      <c r="BX28" s="503"/>
      <c r="BY28" s="503"/>
      <c r="BZ28" s="503"/>
      <c r="CA28" s="503"/>
      <c r="CB28" s="503"/>
      <c r="CC28" s="504"/>
      <c r="CD28" s="155">
        <f>SUM(BV28)</f>
        <v>0</v>
      </c>
      <c r="CE28" s="502">
        <v>0</v>
      </c>
      <c r="CF28" s="503"/>
      <c r="CG28" s="503"/>
      <c r="CH28" s="503"/>
      <c r="CI28" s="503"/>
      <c r="CJ28" s="503"/>
      <c r="CK28" s="503"/>
      <c r="CL28" s="504"/>
      <c r="CM28" s="151">
        <f t="shared" si="8"/>
        <v>0</v>
      </c>
      <c r="CN28" s="502">
        <v>0</v>
      </c>
      <c r="CO28" s="503"/>
      <c r="CP28" s="503"/>
      <c r="CQ28" s="503"/>
      <c r="CR28" s="503"/>
      <c r="CS28" s="503"/>
      <c r="CT28" s="503"/>
      <c r="CU28" s="504"/>
      <c r="CV28" s="155">
        <f>SUM(CN28)</f>
        <v>0</v>
      </c>
      <c r="CW28" s="517">
        <v>0</v>
      </c>
      <c r="CX28" s="518"/>
      <c r="CY28" s="518"/>
      <c r="CZ28" s="518"/>
      <c r="DA28" s="518"/>
      <c r="DB28" s="518"/>
      <c r="DC28" s="518"/>
      <c r="DD28" s="519"/>
      <c r="DE28" s="156">
        <f>SUM(CW28)</f>
        <v>0</v>
      </c>
      <c r="DF28" s="517">
        <v>0</v>
      </c>
      <c r="DG28" s="518"/>
      <c r="DH28" s="518"/>
      <c r="DI28" s="518"/>
      <c r="DJ28" s="518"/>
      <c r="DK28" s="518"/>
      <c r="DL28" s="518"/>
      <c r="DM28" s="519"/>
      <c r="DN28" s="156">
        <f>SUM(DF28)</f>
        <v>0</v>
      </c>
      <c r="DO28" s="158">
        <f t="shared" si="22"/>
        <v>0</v>
      </c>
      <c r="DP28" s="164"/>
    </row>
    <row r="29" spans="2:120" ht="251.25" hidden="1" customHeight="1">
      <c r="B29" s="489" t="s">
        <v>173</v>
      </c>
      <c r="C29" s="493" t="s">
        <v>18</v>
      </c>
      <c r="D29" s="495" t="s">
        <v>174</v>
      </c>
      <c r="E29" s="496"/>
      <c r="F29" s="493" t="s">
        <v>11</v>
      </c>
      <c r="G29" s="493">
        <v>1</v>
      </c>
      <c r="H29" s="493" t="s">
        <v>175</v>
      </c>
      <c r="I29" s="501">
        <v>1</v>
      </c>
      <c r="J29" s="167" t="s">
        <v>65</v>
      </c>
      <c r="K29" s="492">
        <v>1</v>
      </c>
      <c r="L29" s="492"/>
      <c r="M29" s="492"/>
      <c r="N29" s="492"/>
      <c r="O29" s="492"/>
      <c r="P29" s="492"/>
      <c r="Q29" s="492"/>
      <c r="R29" s="492"/>
      <c r="S29" s="150">
        <f>SUM(K29)</f>
        <v>1</v>
      </c>
      <c r="T29" s="492">
        <v>0</v>
      </c>
      <c r="U29" s="492"/>
      <c r="V29" s="492"/>
      <c r="W29" s="492"/>
      <c r="X29" s="492"/>
      <c r="Y29" s="492"/>
      <c r="Z29" s="492"/>
      <c r="AA29" s="492"/>
      <c r="AB29" s="150">
        <f>SUM(T29)</f>
        <v>0</v>
      </c>
      <c r="AC29" s="492">
        <v>0</v>
      </c>
      <c r="AD29" s="492"/>
      <c r="AE29" s="492"/>
      <c r="AF29" s="492"/>
      <c r="AG29" s="492"/>
      <c r="AH29" s="492"/>
      <c r="AI29" s="492"/>
      <c r="AJ29" s="492"/>
      <c r="AK29" s="150">
        <f>SUM(AC29)</f>
        <v>0</v>
      </c>
      <c r="AL29" s="492">
        <v>0</v>
      </c>
      <c r="AM29" s="492"/>
      <c r="AN29" s="492"/>
      <c r="AO29" s="492"/>
      <c r="AP29" s="492"/>
      <c r="AQ29" s="492"/>
      <c r="AR29" s="492"/>
      <c r="AS29" s="492"/>
      <c r="AT29" s="150">
        <f>SUM(AL29)</f>
        <v>0</v>
      </c>
      <c r="AU29" s="492">
        <v>0</v>
      </c>
      <c r="AV29" s="492"/>
      <c r="AW29" s="492"/>
      <c r="AX29" s="492"/>
      <c r="AY29" s="492"/>
      <c r="AZ29" s="492"/>
      <c r="BA29" s="492"/>
      <c r="BB29" s="492"/>
      <c r="BC29" s="150">
        <f>SUM(AU29)</f>
        <v>0</v>
      </c>
      <c r="BD29" s="492">
        <v>0</v>
      </c>
      <c r="BE29" s="492"/>
      <c r="BF29" s="492"/>
      <c r="BG29" s="492"/>
      <c r="BH29" s="492"/>
      <c r="BI29" s="492"/>
      <c r="BJ29" s="492"/>
      <c r="BK29" s="492"/>
      <c r="BL29" s="151">
        <f>SUM(BD29)</f>
        <v>0</v>
      </c>
      <c r="BM29" s="492">
        <v>0</v>
      </c>
      <c r="BN29" s="492"/>
      <c r="BO29" s="492"/>
      <c r="BP29" s="492"/>
      <c r="BQ29" s="492"/>
      <c r="BR29" s="492"/>
      <c r="BS29" s="492"/>
      <c r="BT29" s="492"/>
      <c r="BU29" s="150">
        <f>SUM(BM29)</f>
        <v>0</v>
      </c>
      <c r="BV29" s="492">
        <v>0</v>
      </c>
      <c r="BW29" s="492"/>
      <c r="BX29" s="492"/>
      <c r="BY29" s="492"/>
      <c r="BZ29" s="492"/>
      <c r="CA29" s="492"/>
      <c r="CB29" s="492"/>
      <c r="CC29" s="492"/>
      <c r="CD29" s="150">
        <f>SUM(BV29)</f>
        <v>0</v>
      </c>
      <c r="CE29" s="492">
        <v>0</v>
      </c>
      <c r="CF29" s="492"/>
      <c r="CG29" s="492"/>
      <c r="CH29" s="492"/>
      <c r="CI29" s="492"/>
      <c r="CJ29" s="492"/>
      <c r="CK29" s="492"/>
      <c r="CL29" s="492"/>
      <c r="CM29" s="151">
        <f t="shared" si="8"/>
        <v>0</v>
      </c>
      <c r="CN29" s="492">
        <v>0</v>
      </c>
      <c r="CO29" s="492"/>
      <c r="CP29" s="492"/>
      <c r="CQ29" s="492"/>
      <c r="CR29" s="492"/>
      <c r="CS29" s="492"/>
      <c r="CT29" s="492"/>
      <c r="CU29" s="492"/>
      <c r="CV29" s="150">
        <f>SUM(CN29)</f>
        <v>0</v>
      </c>
      <c r="CW29" s="505">
        <v>0</v>
      </c>
      <c r="CX29" s="505"/>
      <c r="CY29" s="505"/>
      <c r="CZ29" s="505"/>
      <c r="DA29" s="505"/>
      <c r="DB29" s="505"/>
      <c r="DC29" s="505"/>
      <c r="DD29" s="505"/>
      <c r="DE29" s="160">
        <f>SUM(CW29)</f>
        <v>0</v>
      </c>
      <c r="DF29" s="505">
        <v>0</v>
      </c>
      <c r="DG29" s="505"/>
      <c r="DH29" s="505"/>
      <c r="DI29" s="505"/>
      <c r="DJ29" s="505"/>
      <c r="DK29" s="505"/>
      <c r="DL29" s="505"/>
      <c r="DM29" s="505"/>
      <c r="DN29" s="160">
        <f>SUM(DF29)</f>
        <v>0</v>
      </c>
      <c r="DO29" s="158">
        <f t="shared" si="22"/>
        <v>1</v>
      </c>
      <c r="DP29" s="164"/>
    </row>
    <row r="30" spans="2:120" ht="150" customHeight="1">
      <c r="B30" s="489"/>
      <c r="C30" s="494"/>
      <c r="D30" s="497"/>
      <c r="E30" s="498"/>
      <c r="F30" s="494"/>
      <c r="G30" s="494"/>
      <c r="H30" s="494"/>
      <c r="I30" s="501"/>
      <c r="J30" s="154" t="s">
        <v>66</v>
      </c>
      <c r="K30" s="492">
        <v>0</v>
      </c>
      <c r="L30" s="492"/>
      <c r="M30" s="492"/>
      <c r="N30" s="492"/>
      <c r="O30" s="492"/>
      <c r="P30" s="492"/>
      <c r="Q30" s="492"/>
      <c r="R30" s="492"/>
      <c r="S30" s="150">
        <f>SUM(K30)</f>
        <v>0</v>
      </c>
      <c r="T30" s="492">
        <v>0</v>
      </c>
      <c r="U30" s="492"/>
      <c r="V30" s="492"/>
      <c r="W30" s="492"/>
      <c r="X30" s="492"/>
      <c r="Y30" s="492"/>
      <c r="Z30" s="492"/>
      <c r="AA30" s="492"/>
      <c r="AB30" s="150">
        <f>SUM(T30)</f>
        <v>0</v>
      </c>
      <c r="AC30" s="492">
        <v>0</v>
      </c>
      <c r="AD30" s="492"/>
      <c r="AE30" s="492"/>
      <c r="AF30" s="492"/>
      <c r="AG30" s="492"/>
      <c r="AH30" s="492"/>
      <c r="AI30" s="492"/>
      <c r="AJ30" s="492"/>
      <c r="AK30" s="150">
        <f>SUM(AC30)</f>
        <v>0</v>
      </c>
      <c r="AL30" s="492">
        <v>0</v>
      </c>
      <c r="AM30" s="492"/>
      <c r="AN30" s="492"/>
      <c r="AO30" s="492"/>
      <c r="AP30" s="492"/>
      <c r="AQ30" s="492"/>
      <c r="AR30" s="492"/>
      <c r="AS30" s="492"/>
      <c r="AT30" s="150">
        <f>SUM(AL30)</f>
        <v>0</v>
      </c>
      <c r="AU30" s="492">
        <v>0</v>
      </c>
      <c r="AV30" s="492"/>
      <c r="AW30" s="492"/>
      <c r="AX30" s="492"/>
      <c r="AY30" s="492"/>
      <c r="AZ30" s="492"/>
      <c r="BA30" s="492"/>
      <c r="BB30" s="492"/>
      <c r="BC30" s="150">
        <f>SUM(AU30)</f>
        <v>0</v>
      </c>
      <c r="BD30" s="492">
        <v>0</v>
      </c>
      <c r="BE30" s="492"/>
      <c r="BF30" s="492"/>
      <c r="BG30" s="492"/>
      <c r="BH30" s="492"/>
      <c r="BI30" s="492"/>
      <c r="BJ30" s="492"/>
      <c r="BK30" s="492"/>
      <c r="BL30" s="151">
        <f>SUM(BD30)</f>
        <v>0</v>
      </c>
      <c r="BM30" s="492">
        <v>0</v>
      </c>
      <c r="BN30" s="492"/>
      <c r="BO30" s="492"/>
      <c r="BP30" s="492"/>
      <c r="BQ30" s="492"/>
      <c r="BR30" s="492"/>
      <c r="BS30" s="492"/>
      <c r="BT30" s="492"/>
      <c r="BU30" s="150">
        <f>SUM(BM30)</f>
        <v>0</v>
      </c>
      <c r="BV30" s="492">
        <v>0</v>
      </c>
      <c r="BW30" s="492"/>
      <c r="BX30" s="492"/>
      <c r="BY30" s="492"/>
      <c r="BZ30" s="492"/>
      <c r="CA30" s="492"/>
      <c r="CB30" s="492"/>
      <c r="CC30" s="492"/>
      <c r="CD30" s="150">
        <f>SUM(BV30)</f>
        <v>0</v>
      </c>
      <c r="CE30" s="492">
        <v>0</v>
      </c>
      <c r="CF30" s="492"/>
      <c r="CG30" s="492"/>
      <c r="CH30" s="492"/>
      <c r="CI30" s="492"/>
      <c r="CJ30" s="492"/>
      <c r="CK30" s="492"/>
      <c r="CL30" s="492"/>
      <c r="CM30" s="151">
        <f t="shared" si="8"/>
        <v>0</v>
      </c>
      <c r="CN30" s="492">
        <v>0</v>
      </c>
      <c r="CO30" s="492"/>
      <c r="CP30" s="492"/>
      <c r="CQ30" s="492"/>
      <c r="CR30" s="492"/>
      <c r="CS30" s="492"/>
      <c r="CT30" s="492"/>
      <c r="CU30" s="492"/>
      <c r="CV30" s="150">
        <f>SUM(CN30)</f>
        <v>0</v>
      </c>
      <c r="CW30" s="505">
        <v>0</v>
      </c>
      <c r="CX30" s="505"/>
      <c r="CY30" s="505"/>
      <c r="CZ30" s="505"/>
      <c r="DA30" s="505"/>
      <c r="DB30" s="505"/>
      <c r="DC30" s="505"/>
      <c r="DD30" s="505"/>
      <c r="DE30" s="160">
        <f>SUM(CW30)</f>
        <v>0</v>
      </c>
      <c r="DF30" s="505">
        <v>0</v>
      </c>
      <c r="DG30" s="505"/>
      <c r="DH30" s="505"/>
      <c r="DI30" s="505"/>
      <c r="DJ30" s="505"/>
      <c r="DK30" s="505"/>
      <c r="DL30" s="505"/>
      <c r="DM30" s="505"/>
      <c r="DN30" s="160">
        <f>SUM(DF30)</f>
        <v>0</v>
      </c>
      <c r="DO30" s="158">
        <f t="shared" si="22"/>
        <v>0</v>
      </c>
      <c r="DP30" s="164"/>
    </row>
    <row r="31" spans="2:120" ht="23.25">
      <c r="B31" s="513"/>
      <c r="C31" s="513"/>
      <c r="D31" s="514"/>
      <c r="E31" s="514"/>
      <c r="F31" s="171"/>
      <c r="G31" s="172"/>
      <c r="H31" s="172"/>
      <c r="I31" s="172"/>
      <c r="J31" s="173"/>
    </row>
    <row r="32" spans="2:120" ht="23.25">
      <c r="B32" s="174"/>
      <c r="C32" s="3"/>
    </row>
    <row r="34" spans="10:10">
      <c r="J34" s="175"/>
    </row>
    <row r="57" spans="2:10" ht="138.6" customHeight="1">
      <c r="B57" s="515" t="s">
        <v>70</v>
      </c>
      <c r="C57" s="516"/>
      <c r="G57" s="515" t="s">
        <v>71</v>
      </c>
      <c r="H57" s="515"/>
      <c r="I57" s="515"/>
      <c r="J57" s="516"/>
    </row>
    <row r="58" spans="2:10" ht="33.75" customHeight="1"/>
  </sheetData>
  <mergeCells count="212">
    <mergeCell ref="BM30:BT30"/>
    <mergeCell ref="BV30:CC30"/>
    <mergeCell ref="CE30:CL30"/>
    <mergeCell ref="CN30:CU30"/>
    <mergeCell ref="CW30:DD30"/>
    <mergeCell ref="K29:R29"/>
    <mergeCell ref="T29:AA29"/>
    <mergeCell ref="AC29:AJ29"/>
    <mergeCell ref="AL29:AS29"/>
    <mergeCell ref="AU29:BB29"/>
    <mergeCell ref="BD29:BK29"/>
    <mergeCell ref="CE29:CL29"/>
    <mergeCell ref="CN29:CU29"/>
    <mergeCell ref="CW29:DD29"/>
    <mergeCell ref="B31:C31"/>
    <mergeCell ref="D31:E31"/>
    <mergeCell ref="B57:C57"/>
    <mergeCell ref="G57:J57"/>
    <mergeCell ref="CN28:CU28"/>
    <mergeCell ref="CW28:DD28"/>
    <mergeCell ref="DF28:DM28"/>
    <mergeCell ref="B29:B30"/>
    <mergeCell ref="C29:C30"/>
    <mergeCell ref="D29:E30"/>
    <mergeCell ref="F29:F30"/>
    <mergeCell ref="G29:G30"/>
    <mergeCell ref="H29:H30"/>
    <mergeCell ref="I29:I30"/>
    <mergeCell ref="I27:I28"/>
    <mergeCell ref="DF30:DM30"/>
    <mergeCell ref="K30:R30"/>
    <mergeCell ref="T30:AA30"/>
    <mergeCell ref="AC30:AJ30"/>
    <mergeCell ref="AL30:AS30"/>
    <mergeCell ref="AU30:BB30"/>
    <mergeCell ref="BD30:BK30"/>
    <mergeCell ref="BM29:BT29"/>
    <mergeCell ref="BV29:CC29"/>
    <mergeCell ref="DF29:DM29"/>
    <mergeCell ref="BM27:BT27"/>
    <mergeCell ref="BV27:CC27"/>
    <mergeCell ref="CE27:CL27"/>
    <mergeCell ref="CN27:CU27"/>
    <mergeCell ref="CW27:DD27"/>
    <mergeCell ref="K27:R27"/>
    <mergeCell ref="T27:AA27"/>
    <mergeCell ref="AC27:AJ27"/>
    <mergeCell ref="AL27:AS27"/>
    <mergeCell ref="AU27:BB27"/>
    <mergeCell ref="DF25:DM25"/>
    <mergeCell ref="B27:B28"/>
    <mergeCell ref="C27:C28"/>
    <mergeCell ref="D27:E28"/>
    <mergeCell ref="F27:F28"/>
    <mergeCell ref="G27:G28"/>
    <mergeCell ref="H27:H28"/>
    <mergeCell ref="AC25:AJ25"/>
    <mergeCell ref="AL25:AS25"/>
    <mergeCell ref="AU25:BB25"/>
    <mergeCell ref="BD25:BK25"/>
    <mergeCell ref="BM25:BT25"/>
    <mergeCell ref="BV25:CC25"/>
    <mergeCell ref="DF27:DM27"/>
    <mergeCell ref="K28:R28"/>
    <mergeCell ref="T28:AA28"/>
    <mergeCell ref="AC28:AJ28"/>
    <mergeCell ref="AL28:AS28"/>
    <mergeCell ref="AU28:BB28"/>
    <mergeCell ref="BD28:BK28"/>
    <mergeCell ref="BM28:BT28"/>
    <mergeCell ref="BV28:CC28"/>
    <mergeCell ref="CE28:CL28"/>
    <mergeCell ref="BD27:BK27"/>
    <mergeCell ref="CN23:CU23"/>
    <mergeCell ref="CW23:DD23"/>
    <mergeCell ref="I23:I24"/>
    <mergeCell ref="K23:R23"/>
    <mergeCell ref="T23:AA23"/>
    <mergeCell ref="AC23:AJ23"/>
    <mergeCell ref="AL23:AS23"/>
    <mergeCell ref="AU23:BB23"/>
    <mergeCell ref="CE25:CL25"/>
    <mergeCell ref="CN25:CU25"/>
    <mergeCell ref="CW25:DD25"/>
    <mergeCell ref="B25:B26"/>
    <mergeCell ref="C25:C26"/>
    <mergeCell ref="D25:E26"/>
    <mergeCell ref="F25:F26"/>
    <mergeCell ref="G25:G26"/>
    <mergeCell ref="H25:H26"/>
    <mergeCell ref="I25:I26"/>
    <mergeCell ref="K25:R25"/>
    <mergeCell ref="T25:AA25"/>
    <mergeCell ref="AC19:AJ19"/>
    <mergeCell ref="AL19:AS19"/>
    <mergeCell ref="AU19:BB19"/>
    <mergeCell ref="CE21:CL21"/>
    <mergeCell ref="CN21:CU21"/>
    <mergeCell ref="CW21:DD21"/>
    <mergeCell ref="DF21:DM21"/>
    <mergeCell ref="B23:B24"/>
    <mergeCell ref="C23:C24"/>
    <mergeCell ref="D23:E24"/>
    <mergeCell ref="F23:F24"/>
    <mergeCell ref="G23:G24"/>
    <mergeCell ref="H23:H24"/>
    <mergeCell ref="AC21:AJ21"/>
    <mergeCell ref="AL21:AS21"/>
    <mergeCell ref="AU21:BB21"/>
    <mergeCell ref="BD21:BK21"/>
    <mergeCell ref="BM21:BT21"/>
    <mergeCell ref="BV21:CC21"/>
    <mergeCell ref="DF23:DM23"/>
    <mergeCell ref="BD23:BK23"/>
    <mergeCell ref="BM23:BT23"/>
    <mergeCell ref="BV23:CC23"/>
    <mergeCell ref="CE23:CL23"/>
    <mergeCell ref="B21:B22"/>
    <mergeCell ref="C21:C22"/>
    <mergeCell ref="D21:E22"/>
    <mergeCell ref="F21:F22"/>
    <mergeCell ref="G21:G22"/>
    <mergeCell ref="H21:H22"/>
    <mergeCell ref="I21:I22"/>
    <mergeCell ref="K21:R21"/>
    <mergeCell ref="T21:AA21"/>
    <mergeCell ref="CW17:DD17"/>
    <mergeCell ref="DF17:DM17"/>
    <mergeCell ref="B19:B20"/>
    <mergeCell ref="C19:C20"/>
    <mergeCell ref="D19:E20"/>
    <mergeCell ref="F19:F20"/>
    <mergeCell ref="G19:G20"/>
    <mergeCell ref="H19:H20"/>
    <mergeCell ref="AC17:AJ17"/>
    <mergeCell ref="AL17:AS17"/>
    <mergeCell ref="AU17:BB17"/>
    <mergeCell ref="BD17:BK17"/>
    <mergeCell ref="BM17:BT17"/>
    <mergeCell ref="BV17:CC17"/>
    <mergeCell ref="DF19:DM19"/>
    <mergeCell ref="BD19:BK19"/>
    <mergeCell ref="BM19:BT19"/>
    <mergeCell ref="BV19:CC19"/>
    <mergeCell ref="CE19:CL19"/>
    <mergeCell ref="CN19:CU19"/>
    <mergeCell ref="CW19:DD19"/>
    <mergeCell ref="I19:I20"/>
    <mergeCell ref="K19:R19"/>
    <mergeCell ref="T19:AA19"/>
    <mergeCell ref="DF15:DM15"/>
    <mergeCell ref="B17:B18"/>
    <mergeCell ref="C17:C18"/>
    <mergeCell ref="D17:E18"/>
    <mergeCell ref="F17:F18"/>
    <mergeCell ref="G17:G18"/>
    <mergeCell ref="H17:H18"/>
    <mergeCell ref="I17:I18"/>
    <mergeCell ref="K17:R17"/>
    <mergeCell ref="T17:AA17"/>
    <mergeCell ref="BD15:BK15"/>
    <mergeCell ref="BM15:BT15"/>
    <mergeCell ref="BV15:CC15"/>
    <mergeCell ref="CE15:CL15"/>
    <mergeCell ref="CN15:CU15"/>
    <mergeCell ref="CW15:DD15"/>
    <mergeCell ref="I15:I16"/>
    <mergeCell ref="K15:R15"/>
    <mergeCell ref="T15:AA15"/>
    <mergeCell ref="AC15:AJ15"/>
    <mergeCell ref="AL15:AS15"/>
    <mergeCell ref="AU15:BB15"/>
    <mergeCell ref="CE17:CL17"/>
    <mergeCell ref="CN17:CU17"/>
    <mergeCell ref="B15:B16"/>
    <mergeCell ref="C15:C16"/>
    <mergeCell ref="D15:E16"/>
    <mergeCell ref="F15:F16"/>
    <mergeCell ref="G15:G16"/>
    <mergeCell ref="H15:H16"/>
    <mergeCell ref="BD11:BL13"/>
    <mergeCell ref="BM11:BU13"/>
    <mergeCell ref="BV11:CD13"/>
    <mergeCell ref="I11:I14"/>
    <mergeCell ref="K11:S13"/>
    <mergeCell ref="T11:AB13"/>
    <mergeCell ref="AC11:AK13"/>
    <mergeCell ref="AL11:AT13"/>
    <mergeCell ref="AU11:BC13"/>
    <mergeCell ref="B2:DP3"/>
    <mergeCell ref="B4:E4"/>
    <mergeCell ref="B5:E5"/>
    <mergeCell ref="B6:E6"/>
    <mergeCell ref="B7:E7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H11:H14"/>
    <mergeCell ref="DF11:DN13"/>
    <mergeCell ref="DO11:DO14"/>
    <mergeCell ref="DP11:DP14"/>
    <mergeCell ref="J13:J14"/>
    <mergeCell ref="CE11:CM13"/>
    <mergeCell ref="CN11:CV13"/>
    <mergeCell ref="CW11:DE13"/>
  </mergeCells>
  <pageMargins left="0.25" right="0.25" top="0.75" bottom="0.75" header="0.3" footer="0.3"/>
  <pageSetup scale="12" orientation="landscape" r:id="rId1"/>
  <headerFooter>
    <oddFooter>&amp;R&amp;10F-PEM-07-00 
DIF Guadalajara
Pág. &amp;P de &amp;N</oddFooter>
  </headerFooter>
  <rowBreaks count="1" manualBreakCount="1">
    <brk id="62" max="118" man="1"/>
  </rowBreaks>
  <colBreaks count="2" manualBreakCount="2">
    <brk id="73" max="63" man="1"/>
    <brk id="121" max="37" man="1"/>
  </colBreaks>
  <ignoredErrors>
    <ignoredError sqref="DN15:DO15 DN27:DO30" unlockedFormula="1"/>
    <ignoredError sqref="DN16:DO26" formula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P62"/>
  <sheetViews>
    <sheetView topLeftCell="C18" zoomScale="16" zoomScaleNormal="16" zoomScaleSheetLayoutView="13" workbookViewId="0">
      <selection activeCell="DO24" sqref="DO24:DO26"/>
    </sheetView>
  </sheetViews>
  <sheetFormatPr baseColWidth="10" defaultColWidth="10.85546875" defaultRowHeight="15"/>
  <cols>
    <col min="1" max="1" width="6.5703125" style="228" customWidth="1"/>
    <col min="2" max="2" width="145.140625" style="229" customWidth="1"/>
    <col min="3" max="3" width="99.140625" style="229" customWidth="1"/>
    <col min="4" max="4" width="34.85546875" style="229" customWidth="1"/>
    <col min="5" max="5" width="40.7109375" style="229" customWidth="1"/>
    <col min="6" max="6" width="84.5703125" style="229" customWidth="1"/>
    <col min="7" max="7" width="64.7109375" style="229" customWidth="1"/>
    <col min="8" max="8" width="81.85546875" style="229" customWidth="1"/>
    <col min="9" max="9" width="57.5703125" style="229" customWidth="1"/>
    <col min="10" max="10" width="111.42578125" style="229" customWidth="1"/>
    <col min="11" max="12" width="30.5703125" style="230" hidden="1" customWidth="1"/>
    <col min="13" max="18" width="30.5703125" style="231" hidden="1" customWidth="1"/>
    <col min="19" max="19" width="39.28515625" style="231" hidden="1" customWidth="1"/>
    <col min="20" max="20" width="39.28515625" style="228" hidden="1" customWidth="1"/>
    <col min="21" max="27" width="30.5703125" style="228" hidden="1" customWidth="1"/>
    <col min="28" max="28" width="49.28515625" style="228" hidden="1" customWidth="1"/>
    <col min="29" max="52" width="30.5703125" style="228" hidden="1" customWidth="1"/>
    <col min="53" max="53" width="42.85546875" style="228" hidden="1" customWidth="1"/>
    <col min="54" max="54" width="30.5703125" style="228" hidden="1" customWidth="1"/>
    <col min="55" max="55" width="60" style="232" hidden="1" customWidth="1"/>
    <col min="56" max="109" width="30.5703125" style="228" hidden="1" customWidth="1"/>
    <col min="110" max="118" width="30.5703125" style="228" customWidth="1"/>
    <col min="119" max="119" width="58.5703125" style="228" customWidth="1"/>
    <col min="120" max="120" width="243.42578125" style="228" customWidth="1"/>
    <col min="121" max="16384" width="10.85546875" style="228"/>
  </cols>
  <sheetData>
    <row r="2" spans="2:120">
      <c r="B2" s="520" t="s">
        <v>26</v>
      </c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520"/>
      <c r="Y2" s="520"/>
      <c r="Z2" s="520"/>
      <c r="AA2" s="520"/>
      <c r="AB2" s="520"/>
      <c r="AC2" s="520"/>
      <c r="AD2" s="520"/>
      <c r="AE2" s="520"/>
      <c r="AF2" s="520"/>
      <c r="AG2" s="520"/>
      <c r="AH2" s="520"/>
      <c r="AI2" s="520"/>
      <c r="AJ2" s="520"/>
      <c r="AK2" s="520"/>
      <c r="AL2" s="520"/>
      <c r="AM2" s="520"/>
      <c r="AN2" s="520"/>
      <c r="AO2" s="520"/>
      <c r="AP2" s="520"/>
      <c r="AQ2" s="520"/>
      <c r="AR2" s="520"/>
      <c r="AS2" s="520"/>
      <c r="AT2" s="520"/>
      <c r="AU2" s="520"/>
      <c r="AV2" s="520"/>
      <c r="AW2" s="520"/>
      <c r="AX2" s="520"/>
      <c r="AY2" s="520"/>
      <c r="AZ2" s="520"/>
      <c r="BA2" s="520"/>
      <c r="BB2" s="520"/>
      <c r="BC2" s="520"/>
      <c r="BD2" s="520"/>
      <c r="BE2" s="520"/>
      <c r="BF2" s="520"/>
      <c r="BG2" s="520"/>
      <c r="BH2" s="520"/>
      <c r="BI2" s="520"/>
      <c r="BJ2" s="520"/>
      <c r="BK2" s="520"/>
      <c r="BL2" s="520"/>
      <c r="BM2" s="520"/>
      <c r="BN2" s="520"/>
      <c r="BO2" s="520"/>
      <c r="BP2" s="520"/>
      <c r="BQ2" s="520"/>
      <c r="BR2" s="520"/>
      <c r="BS2" s="520"/>
      <c r="BT2" s="520"/>
      <c r="BU2" s="520"/>
      <c r="BV2" s="520"/>
      <c r="BW2" s="520"/>
      <c r="BX2" s="520"/>
      <c r="BY2" s="520"/>
      <c r="BZ2" s="520"/>
      <c r="CA2" s="520"/>
      <c r="CB2" s="520"/>
      <c r="CC2" s="520"/>
      <c r="CD2" s="520"/>
      <c r="CE2" s="520"/>
      <c r="CF2" s="520"/>
      <c r="CG2" s="520"/>
      <c r="CH2" s="520"/>
      <c r="CI2" s="520"/>
      <c r="CJ2" s="520"/>
      <c r="CK2" s="520"/>
      <c r="CL2" s="520"/>
      <c r="CM2" s="520"/>
      <c r="CN2" s="520"/>
      <c r="CO2" s="520"/>
      <c r="CP2" s="520"/>
      <c r="CQ2" s="520"/>
      <c r="CR2" s="520"/>
      <c r="CS2" s="520"/>
      <c r="CT2" s="520"/>
      <c r="CU2" s="520"/>
      <c r="CV2" s="520"/>
      <c r="CW2" s="520"/>
      <c r="CX2" s="520"/>
      <c r="CY2" s="520"/>
      <c r="CZ2" s="520"/>
      <c r="DA2" s="520"/>
      <c r="DB2" s="520"/>
      <c r="DC2" s="520"/>
      <c r="DD2" s="520"/>
      <c r="DE2" s="520"/>
      <c r="DF2" s="520"/>
      <c r="DG2" s="520"/>
      <c r="DH2" s="520"/>
      <c r="DI2" s="520"/>
      <c r="DJ2" s="520"/>
      <c r="DK2" s="520"/>
      <c r="DL2" s="520"/>
      <c r="DM2" s="520"/>
      <c r="DN2" s="520"/>
      <c r="DO2" s="520"/>
      <c r="DP2" s="520"/>
    </row>
    <row r="3" spans="2:120" ht="115.5" customHeight="1"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0"/>
      <c r="X3" s="520"/>
      <c r="Y3" s="520"/>
      <c r="Z3" s="520"/>
      <c r="AA3" s="520"/>
      <c r="AB3" s="520"/>
      <c r="AC3" s="520"/>
      <c r="AD3" s="520"/>
      <c r="AE3" s="520"/>
      <c r="AF3" s="520"/>
      <c r="AG3" s="520"/>
      <c r="AH3" s="520"/>
      <c r="AI3" s="520"/>
      <c r="AJ3" s="520"/>
      <c r="AK3" s="520"/>
      <c r="AL3" s="520"/>
      <c r="AM3" s="520"/>
      <c r="AN3" s="520"/>
      <c r="AO3" s="520"/>
      <c r="AP3" s="520"/>
      <c r="AQ3" s="520"/>
      <c r="AR3" s="520"/>
      <c r="AS3" s="520"/>
      <c r="AT3" s="520"/>
      <c r="AU3" s="520"/>
      <c r="AV3" s="520"/>
      <c r="AW3" s="520"/>
      <c r="AX3" s="520"/>
      <c r="AY3" s="520"/>
      <c r="AZ3" s="520"/>
      <c r="BA3" s="520"/>
      <c r="BB3" s="520"/>
      <c r="BC3" s="520"/>
      <c r="BD3" s="520"/>
      <c r="BE3" s="520"/>
      <c r="BF3" s="520"/>
      <c r="BG3" s="520"/>
      <c r="BH3" s="520"/>
      <c r="BI3" s="520"/>
      <c r="BJ3" s="520"/>
      <c r="BK3" s="520"/>
      <c r="BL3" s="520"/>
      <c r="BM3" s="520"/>
      <c r="BN3" s="520"/>
      <c r="BO3" s="520"/>
      <c r="BP3" s="520"/>
      <c r="BQ3" s="520"/>
      <c r="BR3" s="520"/>
      <c r="BS3" s="520"/>
      <c r="BT3" s="520"/>
      <c r="BU3" s="520"/>
      <c r="BV3" s="520"/>
      <c r="BW3" s="520"/>
      <c r="BX3" s="520"/>
      <c r="BY3" s="520"/>
      <c r="BZ3" s="520"/>
      <c r="CA3" s="520"/>
      <c r="CB3" s="520"/>
      <c r="CC3" s="520"/>
      <c r="CD3" s="520"/>
      <c r="CE3" s="520"/>
      <c r="CF3" s="520"/>
      <c r="CG3" s="520"/>
      <c r="CH3" s="520"/>
      <c r="CI3" s="520"/>
      <c r="CJ3" s="520"/>
      <c r="CK3" s="520"/>
      <c r="CL3" s="520"/>
      <c r="CM3" s="520"/>
      <c r="CN3" s="520"/>
      <c r="CO3" s="520"/>
      <c r="CP3" s="520"/>
      <c r="CQ3" s="520"/>
      <c r="CR3" s="520"/>
      <c r="CS3" s="520"/>
      <c r="CT3" s="520"/>
      <c r="CU3" s="520"/>
      <c r="CV3" s="520"/>
      <c r="CW3" s="520"/>
      <c r="CX3" s="520"/>
      <c r="CY3" s="520"/>
      <c r="CZ3" s="520"/>
      <c r="DA3" s="520"/>
      <c r="DB3" s="520"/>
      <c r="DC3" s="520"/>
      <c r="DD3" s="520"/>
      <c r="DE3" s="520"/>
      <c r="DF3" s="520"/>
      <c r="DG3" s="520"/>
      <c r="DH3" s="520"/>
      <c r="DI3" s="520"/>
      <c r="DJ3" s="520"/>
      <c r="DK3" s="520"/>
      <c r="DL3" s="520"/>
      <c r="DM3" s="520"/>
      <c r="DN3" s="520"/>
      <c r="DO3" s="520"/>
      <c r="DP3" s="520"/>
    </row>
    <row r="4" spans="2:120" ht="231" customHeight="1">
      <c r="B4" s="521" t="s">
        <v>165</v>
      </c>
      <c r="C4" s="521"/>
      <c r="D4" s="521"/>
      <c r="E4" s="521"/>
      <c r="F4" s="1"/>
    </row>
    <row r="5" spans="2:120" ht="69.95" customHeight="1">
      <c r="B5" s="410" t="s">
        <v>27</v>
      </c>
      <c r="C5" s="410"/>
      <c r="D5" s="410"/>
      <c r="E5" s="410"/>
      <c r="F5" s="2"/>
      <c r="J5" s="233"/>
      <c r="K5" s="234"/>
      <c r="L5" s="234"/>
      <c r="P5" s="235"/>
      <c r="Q5" s="235"/>
      <c r="R5" s="235"/>
      <c r="S5" s="235"/>
      <c r="T5" s="236"/>
      <c r="U5" s="236"/>
    </row>
    <row r="6" spans="2:120" ht="87" customHeight="1">
      <c r="B6" s="521" t="s">
        <v>24</v>
      </c>
      <c r="C6" s="521"/>
      <c r="D6" s="521"/>
      <c r="E6" s="521"/>
      <c r="F6" s="1"/>
      <c r="J6" s="237"/>
      <c r="K6" s="238"/>
      <c r="L6" s="238"/>
      <c r="P6" s="235"/>
      <c r="Q6" s="235"/>
      <c r="R6" s="235"/>
      <c r="S6" s="235"/>
      <c r="T6" s="239"/>
      <c r="U6" s="239"/>
    </row>
    <row r="7" spans="2:120" ht="77.25" customHeight="1">
      <c r="B7" s="410" t="s">
        <v>28</v>
      </c>
      <c r="C7" s="410"/>
      <c r="D7" s="410"/>
      <c r="E7" s="410"/>
      <c r="F7" s="2"/>
      <c r="P7" s="235"/>
      <c r="Q7" s="235"/>
      <c r="R7" s="235"/>
      <c r="S7" s="235"/>
      <c r="T7" s="236"/>
      <c r="U7" s="236"/>
    </row>
    <row r="8" spans="2:120" ht="77.45" customHeight="1">
      <c r="B8" s="521" t="s">
        <v>29</v>
      </c>
      <c r="C8" s="521"/>
      <c r="D8" s="521"/>
      <c r="E8" s="521"/>
      <c r="F8" s="1"/>
      <c r="P8" s="235"/>
      <c r="Q8" s="235"/>
      <c r="R8" s="235"/>
      <c r="S8" s="235"/>
      <c r="T8" s="236"/>
      <c r="U8" s="236"/>
    </row>
    <row r="9" spans="2:120" ht="103.5" customHeight="1">
      <c r="B9" s="410" t="s">
        <v>30</v>
      </c>
      <c r="C9" s="410"/>
      <c r="D9" s="410"/>
      <c r="E9" s="410"/>
      <c r="F9" s="2"/>
      <c r="K9" s="522" t="s">
        <v>72</v>
      </c>
      <c r="L9" s="522"/>
      <c r="M9" s="522"/>
      <c r="N9" s="522"/>
      <c r="O9" s="522"/>
      <c r="P9" s="522"/>
      <c r="Q9" s="522"/>
      <c r="R9" s="522"/>
      <c r="S9" s="522"/>
      <c r="T9" s="522"/>
      <c r="U9" s="522"/>
      <c r="V9" s="522"/>
      <c r="W9" s="522"/>
      <c r="X9" s="522"/>
      <c r="Y9" s="522"/>
      <c r="Z9" s="522"/>
      <c r="AA9" s="522"/>
      <c r="AB9" s="522"/>
      <c r="AC9" s="522"/>
      <c r="AD9" s="522"/>
      <c r="AE9" s="522"/>
      <c r="AF9" s="522"/>
      <c r="AG9" s="522"/>
      <c r="AH9" s="522"/>
      <c r="AI9" s="522"/>
      <c r="AJ9" s="522"/>
      <c r="AK9" s="522"/>
      <c r="AL9" s="522"/>
      <c r="AM9" s="522"/>
      <c r="AN9" s="522"/>
      <c r="AO9" s="522"/>
      <c r="AP9" s="522"/>
      <c r="AQ9" s="522"/>
      <c r="AR9" s="522"/>
      <c r="AS9" s="522"/>
      <c r="AT9" s="522"/>
      <c r="AU9" s="522"/>
      <c r="AV9" s="522"/>
      <c r="AW9" s="522"/>
      <c r="AX9" s="522"/>
      <c r="AY9" s="522"/>
      <c r="AZ9" s="522"/>
      <c r="BA9" s="522"/>
      <c r="BB9" s="522"/>
      <c r="BC9" s="522"/>
      <c r="BD9" s="522"/>
      <c r="BE9" s="522"/>
      <c r="BF9" s="522"/>
      <c r="BG9" s="522"/>
      <c r="BH9" s="522"/>
      <c r="BI9" s="522"/>
      <c r="BJ9" s="522"/>
      <c r="BK9" s="522"/>
      <c r="BL9" s="522"/>
      <c r="BM9" s="522"/>
      <c r="BN9" s="522"/>
      <c r="BO9" s="522"/>
      <c r="BP9" s="522"/>
      <c r="BQ9" s="522"/>
      <c r="BR9" s="522"/>
      <c r="BS9" s="522"/>
      <c r="BT9" s="522"/>
      <c r="BU9" s="522"/>
      <c r="BV9" s="522"/>
      <c r="BW9" s="522"/>
      <c r="BX9" s="522"/>
      <c r="BY9" s="522"/>
      <c r="BZ9" s="522"/>
      <c r="CA9" s="522"/>
      <c r="CB9" s="522"/>
      <c r="CC9" s="522"/>
      <c r="CD9" s="522"/>
      <c r="CE9" s="522"/>
      <c r="CF9" s="522"/>
      <c r="CG9" s="522"/>
      <c r="CH9" s="522"/>
      <c r="CI9" s="522"/>
      <c r="CJ9" s="522"/>
      <c r="CK9" s="522"/>
      <c r="CL9" s="522"/>
      <c r="CM9" s="522"/>
      <c r="CN9" s="522"/>
      <c r="CO9" s="522"/>
      <c r="CP9" s="522"/>
      <c r="CQ9" s="522"/>
      <c r="CR9" s="522"/>
      <c r="CS9" s="522"/>
      <c r="CT9" s="522"/>
      <c r="CU9" s="522"/>
      <c r="CV9" s="522"/>
      <c r="CW9" s="522"/>
      <c r="CX9" s="522"/>
      <c r="CY9" s="522"/>
      <c r="CZ9" s="522"/>
      <c r="DA9" s="522"/>
      <c r="DB9" s="522"/>
      <c r="DC9" s="522"/>
      <c r="DD9" s="522"/>
      <c r="DE9" s="522"/>
      <c r="DF9" s="522"/>
      <c r="DG9" s="522"/>
      <c r="DH9" s="522"/>
      <c r="DI9" s="522"/>
      <c r="DJ9" s="522"/>
      <c r="DK9" s="522"/>
      <c r="DL9" s="522"/>
      <c r="DM9" s="522"/>
      <c r="DN9" s="522"/>
      <c r="DO9" s="522"/>
      <c r="DP9" s="522"/>
    </row>
    <row r="10" spans="2:120" ht="90" customHeight="1">
      <c r="B10" s="524" t="s">
        <v>32</v>
      </c>
      <c r="C10" s="524" t="s">
        <v>33</v>
      </c>
      <c r="D10" s="524" t="s">
        <v>34</v>
      </c>
      <c r="E10" s="524"/>
      <c r="F10" s="526" t="s">
        <v>35</v>
      </c>
      <c r="G10" s="526" t="s">
        <v>36</v>
      </c>
      <c r="H10" s="528" t="s">
        <v>37</v>
      </c>
      <c r="I10" s="528"/>
      <c r="J10" s="529" t="s">
        <v>55</v>
      </c>
      <c r="K10" s="523"/>
      <c r="L10" s="523"/>
      <c r="M10" s="523"/>
      <c r="N10" s="523"/>
      <c r="O10" s="523"/>
      <c r="P10" s="523"/>
      <c r="Q10" s="523"/>
      <c r="R10" s="523"/>
      <c r="S10" s="523"/>
      <c r="T10" s="523"/>
      <c r="U10" s="523"/>
      <c r="V10" s="523"/>
      <c r="W10" s="523"/>
      <c r="X10" s="523"/>
      <c r="Y10" s="523"/>
      <c r="Z10" s="523"/>
      <c r="AA10" s="523"/>
      <c r="AB10" s="523"/>
      <c r="AC10" s="523"/>
      <c r="AD10" s="523"/>
      <c r="AE10" s="523"/>
      <c r="AF10" s="523"/>
      <c r="AG10" s="523"/>
      <c r="AH10" s="523"/>
      <c r="AI10" s="523"/>
      <c r="AJ10" s="523"/>
      <c r="AK10" s="523"/>
      <c r="AL10" s="523"/>
      <c r="AM10" s="523"/>
      <c r="AN10" s="523"/>
      <c r="AO10" s="523"/>
      <c r="AP10" s="523"/>
      <c r="AQ10" s="523"/>
      <c r="AR10" s="523"/>
      <c r="AS10" s="523"/>
      <c r="AT10" s="523"/>
      <c r="AU10" s="523"/>
      <c r="AV10" s="523"/>
      <c r="AW10" s="523"/>
      <c r="AX10" s="523"/>
      <c r="AY10" s="523"/>
      <c r="AZ10" s="523"/>
      <c r="BA10" s="523"/>
      <c r="BB10" s="523"/>
      <c r="BC10" s="523"/>
      <c r="BD10" s="523"/>
      <c r="BE10" s="523"/>
      <c r="BF10" s="523"/>
      <c r="BG10" s="523"/>
      <c r="BH10" s="523"/>
      <c r="BI10" s="523"/>
      <c r="BJ10" s="523"/>
      <c r="BK10" s="523"/>
      <c r="BL10" s="523"/>
      <c r="BM10" s="523"/>
      <c r="BN10" s="523"/>
      <c r="BO10" s="523"/>
      <c r="BP10" s="523"/>
      <c r="BQ10" s="523"/>
      <c r="BR10" s="523"/>
      <c r="BS10" s="523"/>
      <c r="BT10" s="523"/>
      <c r="BU10" s="523"/>
      <c r="BV10" s="523"/>
      <c r="BW10" s="523"/>
      <c r="BX10" s="523"/>
      <c r="BY10" s="523"/>
      <c r="BZ10" s="523"/>
      <c r="CA10" s="523"/>
      <c r="CB10" s="523"/>
      <c r="CC10" s="523"/>
      <c r="CD10" s="523"/>
      <c r="CE10" s="523"/>
      <c r="CF10" s="523"/>
      <c r="CG10" s="523"/>
      <c r="CH10" s="523"/>
      <c r="CI10" s="523"/>
      <c r="CJ10" s="523"/>
      <c r="CK10" s="523"/>
      <c r="CL10" s="523"/>
      <c r="CM10" s="523"/>
      <c r="CN10" s="523"/>
      <c r="CO10" s="523"/>
      <c r="CP10" s="523"/>
      <c r="CQ10" s="523"/>
      <c r="CR10" s="523"/>
      <c r="CS10" s="523"/>
      <c r="CT10" s="523"/>
      <c r="CU10" s="523"/>
      <c r="CV10" s="523"/>
      <c r="CW10" s="523"/>
      <c r="CX10" s="523"/>
      <c r="CY10" s="523"/>
      <c r="CZ10" s="523"/>
      <c r="DA10" s="523"/>
      <c r="DB10" s="523"/>
      <c r="DC10" s="523"/>
      <c r="DD10" s="523"/>
      <c r="DE10" s="523"/>
      <c r="DF10" s="523"/>
      <c r="DG10" s="523"/>
      <c r="DH10" s="523"/>
      <c r="DI10" s="523"/>
      <c r="DJ10" s="523"/>
      <c r="DK10" s="523"/>
      <c r="DL10" s="523"/>
      <c r="DM10" s="523"/>
      <c r="DN10" s="523"/>
      <c r="DO10" s="523"/>
      <c r="DP10" s="523"/>
    </row>
    <row r="11" spans="2:120" ht="24.95" customHeight="1">
      <c r="B11" s="524"/>
      <c r="C11" s="524"/>
      <c r="D11" s="524"/>
      <c r="E11" s="524"/>
      <c r="F11" s="526"/>
      <c r="G11" s="526"/>
      <c r="H11" s="526" t="s">
        <v>39</v>
      </c>
      <c r="I11" s="526" t="s">
        <v>40</v>
      </c>
      <c r="J11" s="529"/>
      <c r="K11" s="530" t="s">
        <v>41</v>
      </c>
      <c r="L11" s="531"/>
      <c r="M11" s="531"/>
      <c r="N11" s="531"/>
      <c r="O11" s="531"/>
      <c r="P11" s="531"/>
      <c r="Q11" s="531"/>
      <c r="R11" s="531"/>
      <c r="S11" s="532"/>
      <c r="T11" s="530" t="s">
        <v>42</v>
      </c>
      <c r="U11" s="531"/>
      <c r="V11" s="531"/>
      <c r="W11" s="531"/>
      <c r="X11" s="531"/>
      <c r="Y11" s="531"/>
      <c r="Z11" s="531"/>
      <c r="AA11" s="531"/>
      <c r="AB11" s="532"/>
      <c r="AC11" s="530" t="s">
        <v>43</v>
      </c>
      <c r="AD11" s="531"/>
      <c r="AE11" s="531"/>
      <c r="AF11" s="531"/>
      <c r="AG11" s="531"/>
      <c r="AH11" s="531"/>
      <c r="AI11" s="531"/>
      <c r="AJ11" s="531"/>
      <c r="AK11" s="532"/>
      <c r="AL11" s="530" t="s">
        <v>44</v>
      </c>
      <c r="AM11" s="531"/>
      <c r="AN11" s="531"/>
      <c r="AO11" s="531"/>
      <c r="AP11" s="531"/>
      <c r="AQ11" s="531"/>
      <c r="AR11" s="531"/>
      <c r="AS11" s="531"/>
      <c r="AT11" s="532"/>
      <c r="AU11" s="530" t="s">
        <v>45</v>
      </c>
      <c r="AV11" s="531"/>
      <c r="AW11" s="531"/>
      <c r="AX11" s="531"/>
      <c r="AY11" s="531"/>
      <c r="AZ11" s="531"/>
      <c r="BA11" s="531"/>
      <c r="BB11" s="531"/>
      <c r="BC11" s="532"/>
      <c r="BD11" s="530" t="s">
        <v>46</v>
      </c>
      <c r="BE11" s="531"/>
      <c r="BF11" s="531"/>
      <c r="BG11" s="531"/>
      <c r="BH11" s="531"/>
      <c r="BI11" s="531"/>
      <c r="BJ11" s="531"/>
      <c r="BK11" s="531"/>
      <c r="BL11" s="532"/>
      <c r="BM11" s="530" t="s">
        <v>47</v>
      </c>
      <c r="BN11" s="531"/>
      <c r="BO11" s="531"/>
      <c r="BP11" s="531"/>
      <c r="BQ11" s="531"/>
      <c r="BR11" s="531"/>
      <c r="BS11" s="531"/>
      <c r="BT11" s="531"/>
      <c r="BU11" s="532"/>
      <c r="BV11" s="530" t="s">
        <v>48</v>
      </c>
      <c r="BW11" s="531"/>
      <c r="BX11" s="531"/>
      <c r="BY11" s="531"/>
      <c r="BZ11" s="531"/>
      <c r="CA11" s="531"/>
      <c r="CB11" s="531"/>
      <c r="CC11" s="531"/>
      <c r="CD11" s="532"/>
      <c r="CE11" s="530" t="s">
        <v>49</v>
      </c>
      <c r="CF11" s="531"/>
      <c r="CG11" s="531"/>
      <c r="CH11" s="531"/>
      <c r="CI11" s="531"/>
      <c r="CJ11" s="531"/>
      <c r="CK11" s="531"/>
      <c r="CL11" s="531"/>
      <c r="CM11" s="532"/>
      <c r="CN11" s="546" t="s">
        <v>50</v>
      </c>
      <c r="CO11" s="547"/>
      <c r="CP11" s="547"/>
      <c r="CQ11" s="547"/>
      <c r="CR11" s="547"/>
      <c r="CS11" s="547"/>
      <c r="CT11" s="547"/>
      <c r="CU11" s="547"/>
      <c r="CV11" s="548"/>
      <c r="CW11" s="546" t="s">
        <v>51</v>
      </c>
      <c r="CX11" s="547"/>
      <c r="CY11" s="547"/>
      <c r="CZ11" s="547"/>
      <c r="DA11" s="547"/>
      <c r="DB11" s="547"/>
      <c r="DC11" s="547"/>
      <c r="DD11" s="547"/>
      <c r="DE11" s="548"/>
      <c r="DF11" s="530" t="s">
        <v>52</v>
      </c>
      <c r="DG11" s="531"/>
      <c r="DH11" s="531"/>
      <c r="DI11" s="531"/>
      <c r="DJ11" s="531"/>
      <c r="DK11" s="531"/>
      <c r="DL11" s="531"/>
      <c r="DM11" s="531"/>
      <c r="DN11" s="532"/>
      <c r="DO11" s="539" t="s">
        <v>53</v>
      </c>
      <c r="DP11" s="542" t="s">
        <v>54</v>
      </c>
    </row>
    <row r="12" spans="2:120" ht="48" customHeight="1">
      <c r="B12" s="524"/>
      <c r="C12" s="524"/>
      <c r="D12" s="524"/>
      <c r="E12" s="524"/>
      <c r="F12" s="526"/>
      <c r="G12" s="526"/>
      <c r="H12" s="526"/>
      <c r="I12" s="526"/>
      <c r="J12" s="529"/>
      <c r="K12" s="533"/>
      <c r="L12" s="534"/>
      <c r="M12" s="534"/>
      <c r="N12" s="534"/>
      <c r="O12" s="534"/>
      <c r="P12" s="534"/>
      <c r="Q12" s="534"/>
      <c r="R12" s="534"/>
      <c r="S12" s="535"/>
      <c r="T12" s="533"/>
      <c r="U12" s="534"/>
      <c r="V12" s="534"/>
      <c r="W12" s="534"/>
      <c r="X12" s="534"/>
      <c r="Y12" s="534"/>
      <c r="Z12" s="534"/>
      <c r="AA12" s="534"/>
      <c r="AB12" s="535"/>
      <c r="AC12" s="533"/>
      <c r="AD12" s="534"/>
      <c r="AE12" s="534"/>
      <c r="AF12" s="534"/>
      <c r="AG12" s="534"/>
      <c r="AH12" s="534"/>
      <c r="AI12" s="534"/>
      <c r="AJ12" s="534"/>
      <c r="AK12" s="535"/>
      <c r="AL12" s="533"/>
      <c r="AM12" s="534"/>
      <c r="AN12" s="534"/>
      <c r="AO12" s="534"/>
      <c r="AP12" s="534"/>
      <c r="AQ12" s="534"/>
      <c r="AR12" s="534"/>
      <c r="AS12" s="534"/>
      <c r="AT12" s="535"/>
      <c r="AU12" s="533"/>
      <c r="AV12" s="534"/>
      <c r="AW12" s="534"/>
      <c r="AX12" s="534"/>
      <c r="AY12" s="534"/>
      <c r="AZ12" s="534"/>
      <c r="BA12" s="534"/>
      <c r="BB12" s="534"/>
      <c r="BC12" s="535"/>
      <c r="BD12" s="533"/>
      <c r="BE12" s="534"/>
      <c r="BF12" s="534"/>
      <c r="BG12" s="534"/>
      <c r="BH12" s="534"/>
      <c r="BI12" s="534"/>
      <c r="BJ12" s="534"/>
      <c r="BK12" s="534"/>
      <c r="BL12" s="535"/>
      <c r="BM12" s="533"/>
      <c r="BN12" s="534"/>
      <c r="BO12" s="534"/>
      <c r="BP12" s="534"/>
      <c r="BQ12" s="534"/>
      <c r="BR12" s="534"/>
      <c r="BS12" s="534"/>
      <c r="BT12" s="534"/>
      <c r="BU12" s="535"/>
      <c r="BV12" s="533"/>
      <c r="BW12" s="534"/>
      <c r="BX12" s="534"/>
      <c r="BY12" s="534"/>
      <c r="BZ12" s="534"/>
      <c r="CA12" s="534"/>
      <c r="CB12" s="534"/>
      <c r="CC12" s="534"/>
      <c r="CD12" s="535"/>
      <c r="CE12" s="533"/>
      <c r="CF12" s="534"/>
      <c r="CG12" s="534"/>
      <c r="CH12" s="534"/>
      <c r="CI12" s="534"/>
      <c r="CJ12" s="534"/>
      <c r="CK12" s="534"/>
      <c r="CL12" s="534"/>
      <c r="CM12" s="535"/>
      <c r="CN12" s="549"/>
      <c r="CO12" s="550"/>
      <c r="CP12" s="550"/>
      <c r="CQ12" s="550"/>
      <c r="CR12" s="550"/>
      <c r="CS12" s="550"/>
      <c r="CT12" s="550"/>
      <c r="CU12" s="550"/>
      <c r="CV12" s="551"/>
      <c r="CW12" s="549"/>
      <c r="CX12" s="550"/>
      <c r="CY12" s="550"/>
      <c r="CZ12" s="550"/>
      <c r="DA12" s="550"/>
      <c r="DB12" s="550"/>
      <c r="DC12" s="550"/>
      <c r="DD12" s="550"/>
      <c r="DE12" s="551"/>
      <c r="DF12" s="533"/>
      <c r="DG12" s="534"/>
      <c r="DH12" s="534"/>
      <c r="DI12" s="534"/>
      <c r="DJ12" s="534"/>
      <c r="DK12" s="534"/>
      <c r="DL12" s="534"/>
      <c r="DM12" s="534"/>
      <c r="DN12" s="535"/>
      <c r="DO12" s="540"/>
      <c r="DP12" s="543"/>
    </row>
    <row r="13" spans="2:120" ht="78" customHeight="1">
      <c r="B13" s="524"/>
      <c r="C13" s="524"/>
      <c r="D13" s="524"/>
      <c r="E13" s="524"/>
      <c r="F13" s="526"/>
      <c r="G13" s="526"/>
      <c r="H13" s="526"/>
      <c r="I13" s="526"/>
      <c r="J13" s="545" t="s">
        <v>38</v>
      </c>
      <c r="K13" s="536"/>
      <c r="L13" s="537"/>
      <c r="M13" s="537"/>
      <c r="N13" s="537"/>
      <c r="O13" s="537"/>
      <c r="P13" s="537"/>
      <c r="Q13" s="537"/>
      <c r="R13" s="537"/>
      <c r="S13" s="538"/>
      <c r="T13" s="536"/>
      <c r="U13" s="537"/>
      <c r="V13" s="537"/>
      <c r="W13" s="537"/>
      <c r="X13" s="537"/>
      <c r="Y13" s="537"/>
      <c r="Z13" s="537"/>
      <c r="AA13" s="537"/>
      <c r="AB13" s="538"/>
      <c r="AC13" s="536"/>
      <c r="AD13" s="537"/>
      <c r="AE13" s="537"/>
      <c r="AF13" s="537"/>
      <c r="AG13" s="537"/>
      <c r="AH13" s="537"/>
      <c r="AI13" s="537"/>
      <c r="AJ13" s="537"/>
      <c r="AK13" s="538"/>
      <c r="AL13" s="536"/>
      <c r="AM13" s="537"/>
      <c r="AN13" s="537"/>
      <c r="AO13" s="537"/>
      <c r="AP13" s="537"/>
      <c r="AQ13" s="537"/>
      <c r="AR13" s="537"/>
      <c r="AS13" s="537"/>
      <c r="AT13" s="538"/>
      <c r="AU13" s="536"/>
      <c r="AV13" s="537"/>
      <c r="AW13" s="537"/>
      <c r="AX13" s="537"/>
      <c r="AY13" s="537"/>
      <c r="AZ13" s="537"/>
      <c r="BA13" s="537"/>
      <c r="BB13" s="537"/>
      <c r="BC13" s="538"/>
      <c r="BD13" s="536"/>
      <c r="BE13" s="537"/>
      <c r="BF13" s="537"/>
      <c r="BG13" s="537"/>
      <c r="BH13" s="537"/>
      <c r="BI13" s="537"/>
      <c r="BJ13" s="537"/>
      <c r="BK13" s="537"/>
      <c r="BL13" s="538"/>
      <c r="BM13" s="536"/>
      <c r="BN13" s="537"/>
      <c r="BO13" s="537"/>
      <c r="BP13" s="537"/>
      <c r="BQ13" s="537"/>
      <c r="BR13" s="537"/>
      <c r="BS13" s="537"/>
      <c r="BT13" s="537"/>
      <c r="BU13" s="538"/>
      <c r="BV13" s="536"/>
      <c r="BW13" s="537"/>
      <c r="BX13" s="537"/>
      <c r="BY13" s="537"/>
      <c r="BZ13" s="537"/>
      <c r="CA13" s="537"/>
      <c r="CB13" s="537"/>
      <c r="CC13" s="537"/>
      <c r="CD13" s="538"/>
      <c r="CE13" s="536"/>
      <c r="CF13" s="537"/>
      <c r="CG13" s="537"/>
      <c r="CH13" s="537"/>
      <c r="CI13" s="537"/>
      <c r="CJ13" s="537"/>
      <c r="CK13" s="537"/>
      <c r="CL13" s="537"/>
      <c r="CM13" s="538"/>
      <c r="CN13" s="552"/>
      <c r="CO13" s="553"/>
      <c r="CP13" s="553"/>
      <c r="CQ13" s="553"/>
      <c r="CR13" s="553"/>
      <c r="CS13" s="553"/>
      <c r="CT13" s="553"/>
      <c r="CU13" s="553"/>
      <c r="CV13" s="554"/>
      <c r="CW13" s="552"/>
      <c r="CX13" s="553"/>
      <c r="CY13" s="553"/>
      <c r="CZ13" s="553"/>
      <c r="DA13" s="553"/>
      <c r="DB13" s="553"/>
      <c r="DC13" s="553"/>
      <c r="DD13" s="553"/>
      <c r="DE13" s="554"/>
      <c r="DF13" s="536"/>
      <c r="DG13" s="537"/>
      <c r="DH13" s="537"/>
      <c r="DI13" s="537"/>
      <c r="DJ13" s="537"/>
      <c r="DK13" s="537"/>
      <c r="DL13" s="537"/>
      <c r="DM13" s="537"/>
      <c r="DN13" s="538"/>
      <c r="DO13" s="540"/>
      <c r="DP13" s="543"/>
    </row>
    <row r="14" spans="2:120" ht="99.95" customHeight="1">
      <c r="B14" s="525"/>
      <c r="C14" s="525"/>
      <c r="D14" s="525"/>
      <c r="E14" s="525"/>
      <c r="F14" s="527"/>
      <c r="G14" s="527"/>
      <c r="H14" s="527"/>
      <c r="I14" s="527"/>
      <c r="J14" s="545"/>
      <c r="K14" s="240" t="s">
        <v>56</v>
      </c>
      <c r="L14" s="240" t="s">
        <v>57</v>
      </c>
      <c r="M14" s="240" t="s">
        <v>58</v>
      </c>
      <c r="N14" s="240" t="s">
        <v>59</v>
      </c>
      <c r="O14" s="240" t="s">
        <v>60</v>
      </c>
      <c r="P14" s="240" t="s">
        <v>61</v>
      </c>
      <c r="Q14" s="240" t="s">
        <v>62</v>
      </c>
      <c r="R14" s="240" t="s">
        <v>63</v>
      </c>
      <c r="S14" s="240" t="s">
        <v>64</v>
      </c>
      <c r="T14" s="240" t="s">
        <v>56</v>
      </c>
      <c r="U14" s="240" t="s">
        <v>57</v>
      </c>
      <c r="V14" s="240" t="s">
        <v>58</v>
      </c>
      <c r="W14" s="240" t="s">
        <v>59</v>
      </c>
      <c r="X14" s="240" t="s">
        <v>60</v>
      </c>
      <c r="Y14" s="240" t="s">
        <v>61</v>
      </c>
      <c r="Z14" s="240" t="s">
        <v>62</v>
      </c>
      <c r="AA14" s="240" t="s">
        <v>63</v>
      </c>
      <c r="AB14" s="240" t="s">
        <v>64</v>
      </c>
      <c r="AC14" s="240" t="s">
        <v>56</v>
      </c>
      <c r="AD14" s="240" t="s">
        <v>57</v>
      </c>
      <c r="AE14" s="240" t="s">
        <v>58</v>
      </c>
      <c r="AF14" s="240" t="s">
        <v>59</v>
      </c>
      <c r="AG14" s="240" t="s">
        <v>60</v>
      </c>
      <c r="AH14" s="240" t="s">
        <v>61</v>
      </c>
      <c r="AI14" s="240" t="s">
        <v>62</v>
      </c>
      <c r="AJ14" s="240" t="s">
        <v>63</v>
      </c>
      <c r="AK14" s="240" t="s">
        <v>64</v>
      </c>
      <c r="AL14" s="240" t="s">
        <v>56</v>
      </c>
      <c r="AM14" s="240" t="s">
        <v>57</v>
      </c>
      <c r="AN14" s="240" t="s">
        <v>58</v>
      </c>
      <c r="AO14" s="240" t="s">
        <v>59</v>
      </c>
      <c r="AP14" s="240" t="s">
        <v>60</v>
      </c>
      <c r="AQ14" s="240" t="s">
        <v>61</v>
      </c>
      <c r="AR14" s="240" t="s">
        <v>62</v>
      </c>
      <c r="AS14" s="240" t="s">
        <v>63</v>
      </c>
      <c r="AT14" s="240" t="s">
        <v>64</v>
      </c>
      <c r="AU14" s="241" t="s">
        <v>56</v>
      </c>
      <c r="AV14" s="241" t="s">
        <v>57</v>
      </c>
      <c r="AW14" s="241" t="s">
        <v>58</v>
      </c>
      <c r="AX14" s="241" t="s">
        <v>59</v>
      </c>
      <c r="AY14" s="241" t="s">
        <v>60</v>
      </c>
      <c r="AZ14" s="241" t="s">
        <v>61</v>
      </c>
      <c r="BA14" s="241" t="s">
        <v>62</v>
      </c>
      <c r="BB14" s="241" t="s">
        <v>63</v>
      </c>
      <c r="BC14" s="241" t="s">
        <v>64</v>
      </c>
      <c r="BD14" s="240" t="s">
        <v>56</v>
      </c>
      <c r="BE14" s="240" t="s">
        <v>57</v>
      </c>
      <c r="BF14" s="240" t="s">
        <v>58</v>
      </c>
      <c r="BG14" s="240" t="s">
        <v>59</v>
      </c>
      <c r="BH14" s="240" t="s">
        <v>60</v>
      </c>
      <c r="BI14" s="240" t="s">
        <v>61</v>
      </c>
      <c r="BJ14" s="240" t="s">
        <v>62</v>
      </c>
      <c r="BK14" s="240" t="s">
        <v>63</v>
      </c>
      <c r="BL14" s="240" t="s">
        <v>64</v>
      </c>
      <c r="BM14" s="240" t="s">
        <v>56</v>
      </c>
      <c r="BN14" s="240" t="s">
        <v>57</v>
      </c>
      <c r="BO14" s="240" t="s">
        <v>58</v>
      </c>
      <c r="BP14" s="240" t="s">
        <v>59</v>
      </c>
      <c r="BQ14" s="240" t="s">
        <v>60</v>
      </c>
      <c r="BR14" s="240" t="s">
        <v>61</v>
      </c>
      <c r="BS14" s="240" t="s">
        <v>62</v>
      </c>
      <c r="BT14" s="240" t="s">
        <v>63</v>
      </c>
      <c r="BU14" s="240" t="s">
        <v>64</v>
      </c>
      <c r="BV14" s="240" t="s">
        <v>56</v>
      </c>
      <c r="BW14" s="240" t="s">
        <v>57</v>
      </c>
      <c r="BX14" s="240" t="s">
        <v>58</v>
      </c>
      <c r="BY14" s="240" t="s">
        <v>59</v>
      </c>
      <c r="BZ14" s="240" t="s">
        <v>60</v>
      </c>
      <c r="CA14" s="240" t="s">
        <v>61</v>
      </c>
      <c r="CB14" s="240" t="s">
        <v>62</v>
      </c>
      <c r="CC14" s="240" t="s">
        <v>63</v>
      </c>
      <c r="CD14" s="240" t="s">
        <v>64</v>
      </c>
      <c r="CE14" s="240" t="s">
        <v>56</v>
      </c>
      <c r="CF14" s="240" t="s">
        <v>57</v>
      </c>
      <c r="CG14" s="240" t="s">
        <v>58</v>
      </c>
      <c r="CH14" s="240" t="s">
        <v>59</v>
      </c>
      <c r="CI14" s="240" t="s">
        <v>60</v>
      </c>
      <c r="CJ14" s="240" t="s">
        <v>61</v>
      </c>
      <c r="CK14" s="240" t="s">
        <v>62</v>
      </c>
      <c r="CL14" s="240" t="s">
        <v>63</v>
      </c>
      <c r="CM14" s="240" t="s">
        <v>64</v>
      </c>
      <c r="CN14" s="240" t="s">
        <v>56</v>
      </c>
      <c r="CO14" s="240" t="s">
        <v>57</v>
      </c>
      <c r="CP14" s="240" t="s">
        <v>58</v>
      </c>
      <c r="CQ14" s="240" t="s">
        <v>59</v>
      </c>
      <c r="CR14" s="240" t="s">
        <v>60</v>
      </c>
      <c r="CS14" s="240" t="s">
        <v>61</v>
      </c>
      <c r="CT14" s="240" t="s">
        <v>62</v>
      </c>
      <c r="CU14" s="240" t="s">
        <v>63</v>
      </c>
      <c r="CV14" s="240" t="s">
        <v>64</v>
      </c>
      <c r="CW14" s="240" t="s">
        <v>56</v>
      </c>
      <c r="CX14" s="240" t="s">
        <v>57</v>
      </c>
      <c r="CY14" s="240" t="s">
        <v>58</v>
      </c>
      <c r="CZ14" s="240" t="s">
        <v>59</v>
      </c>
      <c r="DA14" s="240" t="s">
        <v>60</v>
      </c>
      <c r="DB14" s="240" t="s">
        <v>61</v>
      </c>
      <c r="DC14" s="240" t="s">
        <v>62</v>
      </c>
      <c r="DD14" s="240" t="s">
        <v>63</v>
      </c>
      <c r="DE14" s="240" t="s">
        <v>64</v>
      </c>
      <c r="DF14" s="240" t="s">
        <v>56</v>
      </c>
      <c r="DG14" s="240" t="s">
        <v>57</v>
      </c>
      <c r="DH14" s="240" t="s">
        <v>58</v>
      </c>
      <c r="DI14" s="240" t="s">
        <v>59</v>
      </c>
      <c r="DJ14" s="240" t="s">
        <v>60</v>
      </c>
      <c r="DK14" s="240" t="s">
        <v>61</v>
      </c>
      <c r="DL14" s="240" t="s">
        <v>62</v>
      </c>
      <c r="DM14" s="240" t="s">
        <v>63</v>
      </c>
      <c r="DN14" s="240" t="s">
        <v>64</v>
      </c>
      <c r="DO14" s="541"/>
      <c r="DP14" s="544"/>
    </row>
    <row r="15" spans="2:120" ht="244.5" hidden="1" customHeight="1">
      <c r="B15" s="555" t="s">
        <v>78</v>
      </c>
      <c r="C15" s="555" t="s">
        <v>195</v>
      </c>
      <c r="D15" s="555" t="s">
        <v>73</v>
      </c>
      <c r="E15" s="555"/>
      <c r="F15" s="555" t="s">
        <v>14</v>
      </c>
      <c r="G15" s="556">
        <v>108</v>
      </c>
      <c r="H15" s="555" t="s">
        <v>196</v>
      </c>
      <c r="I15" s="564">
        <v>108</v>
      </c>
      <c r="J15" s="242" t="s">
        <v>65</v>
      </c>
      <c r="K15" s="557">
        <v>95</v>
      </c>
      <c r="L15" s="557"/>
      <c r="M15" s="557"/>
      <c r="N15" s="557"/>
      <c r="O15" s="557"/>
      <c r="P15" s="557"/>
      <c r="Q15" s="557"/>
      <c r="R15" s="557"/>
      <c r="S15" s="243">
        <f>SUM(K15)</f>
        <v>95</v>
      </c>
      <c r="T15" s="557">
        <v>2</v>
      </c>
      <c r="U15" s="557"/>
      <c r="V15" s="557"/>
      <c r="W15" s="557"/>
      <c r="X15" s="557"/>
      <c r="Y15" s="557"/>
      <c r="Z15" s="557"/>
      <c r="AA15" s="557"/>
      <c r="AB15" s="243">
        <f>SUM(T15)</f>
        <v>2</v>
      </c>
      <c r="AC15" s="557">
        <v>2</v>
      </c>
      <c r="AD15" s="557"/>
      <c r="AE15" s="557"/>
      <c r="AF15" s="557"/>
      <c r="AG15" s="557"/>
      <c r="AH15" s="557"/>
      <c r="AI15" s="557"/>
      <c r="AJ15" s="557"/>
      <c r="AK15" s="243">
        <f>SUM(AC15)</f>
        <v>2</v>
      </c>
      <c r="AL15" s="557">
        <v>1</v>
      </c>
      <c r="AM15" s="557"/>
      <c r="AN15" s="557"/>
      <c r="AO15" s="557"/>
      <c r="AP15" s="557"/>
      <c r="AQ15" s="557"/>
      <c r="AR15" s="557"/>
      <c r="AS15" s="557"/>
      <c r="AT15" s="243">
        <f>SUM(AL15)</f>
        <v>1</v>
      </c>
      <c r="AU15" s="557">
        <v>1</v>
      </c>
      <c r="AV15" s="557"/>
      <c r="AW15" s="557"/>
      <c r="AX15" s="557"/>
      <c r="AY15" s="557"/>
      <c r="AZ15" s="557"/>
      <c r="BA15" s="557"/>
      <c r="BB15" s="557"/>
      <c r="BC15" s="244">
        <f>SUM(AU15)</f>
        <v>1</v>
      </c>
      <c r="BD15" s="557">
        <v>1</v>
      </c>
      <c r="BE15" s="557"/>
      <c r="BF15" s="557"/>
      <c r="BG15" s="557"/>
      <c r="BH15" s="557"/>
      <c r="BI15" s="557"/>
      <c r="BJ15" s="557"/>
      <c r="BK15" s="557"/>
      <c r="BL15" s="244">
        <f>SUM(BD15)</f>
        <v>1</v>
      </c>
      <c r="BM15" s="557">
        <v>1</v>
      </c>
      <c r="BN15" s="557"/>
      <c r="BO15" s="557"/>
      <c r="BP15" s="557"/>
      <c r="BQ15" s="557"/>
      <c r="BR15" s="557"/>
      <c r="BS15" s="557"/>
      <c r="BT15" s="557"/>
      <c r="BU15" s="243">
        <f>SUM(BM15)</f>
        <v>1</v>
      </c>
      <c r="BV15" s="557">
        <v>1</v>
      </c>
      <c r="BW15" s="557"/>
      <c r="BX15" s="557"/>
      <c r="BY15" s="557"/>
      <c r="BZ15" s="557"/>
      <c r="CA15" s="557"/>
      <c r="CB15" s="557"/>
      <c r="CC15" s="557"/>
      <c r="CD15" s="244">
        <f>SUM(BV15)</f>
        <v>1</v>
      </c>
      <c r="CE15" s="557">
        <v>1</v>
      </c>
      <c r="CF15" s="557"/>
      <c r="CG15" s="557"/>
      <c r="CH15" s="557"/>
      <c r="CI15" s="557"/>
      <c r="CJ15" s="557"/>
      <c r="CK15" s="557"/>
      <c r="CL15" s="557"/>
      <c r="CM15" s="244">
        <f>SUM(CE15)</f>
        <v>1</v>
      </c>
      <c r="CN15" s="557">
        <v>1</v>
      </c>
      <c r="CO15" s="557"/>
      <c r="CP15" s="557"/>
      <c r="CQ15" s="557"/>
      <c r="CR15" s="557"/>
      <c r="CS15" s="557"/>
      <c r="CT15" s="557"/>
      <c r="CU15" s="557"/>
      <c r="CV15" s="244">
        <f>SUM(CN15)</f>
        <v>1</v>
      </c>
      <c r="CW15" s="557">
        <v>1</v>
      </c>
      <c r="CX15" s="557"/>
      <c r="CY15" s="557"/>
      <c r="CZ15" s="557"/>
      <c r="DA15" s="557"/>
      <c r="DB15" s="557"/>
      <c r="DC15" s="557"/>
      <c r="DD15" s="557"/>
      <c r="DE15" s="244">
        <f>SUM(CW15)</f>
        <v>1</v>
      </c>
      <c r="DF15" s="557">
        <v>1</v>
      </c>
      <c r="DG15" s="557"/>
      <c r="DH15" s="557"/>
      <c r="DI15" s="557"/>
      <c r="DJ15" s="557"/>
      <c r="DK15" s="557"/>
      <c r="DL15" s="557"/>
      <c r="DM15" s="557"/>
      <c r="DN15" s="244">
        <f>SUM(DF15)</f>
        <v>1</v>
      </c>
      <c r="DO15" s="245">
        <f>S15++AB15+AK15+AT15+BC15+BL15+BU15+CD15+CM15+CV15+DE15+DN15</f>
        <v>108</v>
      </c>
      <c r="DP15" s="246"/>
    </row>
    <row r="16" spans="2:120" ht="276" customHeight="1">
      <c r="B16" s="555"/>
      <c r="C16" s="555"/>
      <c r="D16" s="555"/>
      <c r="E16" s="555"/>
      <c r="F16" s="555"/>
      <c r="G16" s="555"/>
      <c r="H16" s="555"/>
      <c r="I16" s="565"/>
      <c r="J16" s="247" t="s">
        <v>66</v>
      </c>
      <c r="K16" s="248">
        <v>50</v>
      </c>
      <c r="L16" s="248">
        <v>45</v>
      </c>
      <c r="M16" s="248"/>
      <c r="N16" s="248"/>
      <c r="O16" s="248"/>
      <c r="P16" s="248"/>
      <c r="Q16" s="248"/>
      <c r="R16" s="248"/>
      <c r="S16" s="248">
        <f>SUM(K16:R16)</f>
        <v>95</v>
      </c>
      <c r="T16" s="249"/>
      <c r="U16" s="249"/>
      <c r="V16" s="248"/>
      <c r="W16" s="248"/>
      <c r="X16" s="248"/>
      <c r="Y16" s="248"/>
      <c r="Z16" s="248"/>
      <c r="AA16" s="248"/>
      <c r="AB16" s="248">
        <f>SUM(T16:AA16)</f>
        <v>0</v>
      </c>
      <c r="AC16" s="248"/>
      <c r="AD16" s="248"/>
      <c r="AE16" s="248"/>
      <c r="AF16" s="248"/>
      <c r="AG16" s="248"/>
      <c r="AH16" s="248"/>
      <c r="AI16" s="248"/>
      <c r="AJ16" s="248"/>
      <c r="AK16" s="248">
        <f>SUM(AC16:AJ16)</f>
        <v>0</v>
      </c>
      <c r="AL16" s="248">
        <v>3</v>
      </c>
      <c r="AM16" s="248">
        <v>6</v>
      </c>
      <c r="AN16" s="248"/>
      <c r="AO16" s="248"/>
      <c r="AP16" s="248"/>
      <c r="AQ16" s="248"/>
      <c r="AR16" s="248"/>
      <c r="AS16" s="248"/>
      <c r="AT16" s="248">
        <f>SUM(AL16:AS16)</f>
        <v>9</v>
      </c>
      <c r="AU16" s="248">
        <v>0</v>
      </c>
      <c r="AV16" s="248"/>
      <c r="AW16" s="248"/>
      <c r="AX16" s="248"/>
      <c r="AY16" s="248"/>
      <c r="AZ16" s="248"/>
      <c r="BA16" s="248"/>
      <c r="BB16" s="248"/>
      <c r="BC16" s="248">
        <f>SUM(AU16:BB16)</f>
        <v>0</v>
      </c>
      <c r="BD16" s="248">
        <v>0</v>
      </c>
      <c r="BE16" s="248"/>
      <c r="BF16" s="248"/>
      <c r="BG16" s="248"/>
      <c r="BH16" s="248"/>
      <c r="BI16" s="248"/>
      <c r="BJ16" s="248"/>
      <c r="BK16" s="248"/>
      <c r="BL16" s="248">
        <f>SUM(BD16:BK16)</f>
        <v>0</v>
      </c>
      <c r="BM16" s="248"/>
      <c r="BN16" s="248"/>
      <c r="BO16" s="248">
        <v>1</v>
      </c>
      <c r="BP16" s="248"/>
      <c r="BQ16" s="248"/>
      <c r="BR16" s="248"/>
      <c r="BS16" s="248"/>
      <c r="BT16" s="248"/>
      <c r="BU16" s="248">
        <f>SUM(BM16:BT16)</f>
        <v>1</v>
      </c>
      <c r="BV16" s="248"/>
      <c r="BW16" s="248"/>
      <c r="BX16" s="248"/>
      <c r="BY16" s="248">
        <v>0</v>
      </c>
      <c r="BZ16" s="248"/>
      <c r="CA16" s="248"/>
      <c r="CB16" s="248"/>
      <c r="CC16" s="248"/>
      <c r="CD16" s="248">
        <f>SUM(BV16:CC16)</f>
        <v>0</v>
      </c>
      <c r="CE16" s="248">
        <v>1</v>
      </c>
      <c r="CF16" s="248"/>
      <c r="CG16" s="248"/>
      <c r="CH16" s="248"/>
      <c r="CI16" s="248"/>
      <c r="CJ16" s="248"/>
      <c r="CK16" s="248"/>
      <c r="CL16" s="248"/>
      <c r="CM16" s="244">
        <f>SUM(CE16:CL16)</f>
        <v>1</v>
      </c>
      <c r="CN16" s="248"/>
      <c r="CO16" s="248"/>
      <c r="CP16" s="248"/>
      <c r="CQ16" s="248">
        <v>0</v>
      </c>
      <c r="CR16" s="248"/>
      <c r="CS16" s="248"/>
      <c r="CT16" s="248"/>
      <c r="CU16" s="248"/>
      <c r="CV16" s="248">
        <f>SUM(CN16:CU16)</f>
        <v>0</v>
      </c>
      <c r="CW16" s="248">
        <v>1</v>
      </c>
      <c r="CX16" s="248">
        <v>1</v>
      </c>
      <c r="CY16" s="248"/>
      <c r="CZ16" s="248"/>
      <c r="DA16" s="248"/>
      <c r="DB16" s="248"/>
      <c r="DC16" s="248"/>
      <c r="DD16" s="248"/>
      <c r="DE16" s="248">
        <f>SUM(CW16:DD16)</f>
        <v>2</v>
      </c>
      <c r="DF16" s="244"/>
      <c r="DG16" s="244"/>
      <c r="DH16" s="244"/>
      <c r="DI16" s="244">
        <v>0</v>
      </c>
      <c r="DJ16" s="244"/>
      <c r="DK16" s="244"/>
      <c r="DL16" s="244"/>
      <c r="DM16" s="244"/>
      <c r="DN16" s="244">
        <f>SUM(DF16:DM16)</f>
        <v>0</v>
      </c>
      <c r="DO16" s="245">
        <f>SUM(S16++AB16+AK16+AT16+BC16+BL16+BU16+CD16+CM16+CV16+DE16+DN16)</f>
        <v>108</v>
      </c>
      <c r="DP16" s="246"/>
    </row>
    <row r="17" spans="2:120" ht="195" hidden="1" customHeight="1">
      <c r="B17" s="558" t="s">
        <v>67</v>
      </c>
      <c r="C17" s="558" t="s">
        <v>125</v>
      </c>
      <c r="D17" s="560" t="s">
        <v>4</v>
      </c>
      <c r="E17" s="561"/>
      <c r="F17" s="558" t="s">
        <v>14</v>
      </c>
      <c r="G17" s="556">
        <v>108</v>
      </c>
      <c r="H17" s="555" t="s">
        <v>197</v>
      </c>
      <c r="I17" s="564">
        <v>108</v>
      </c>
      <c r="J17" s="242" t="s">
        <v>65</v>
      </c>
      <c r="K17" s="557">
        <v>95</v>
      </c>
      <c r="L17" s="557"/>
      <c r="M17" s="557"/>
      <c r="N17" s="557"/>
      <c r="O17" s="557"/>
      <c r="P17" s="557"/>
      <c r="Q17" s="557"/>
      <c r="R17" s="557"/>
      <c r="S17" s="243">
        <f>SUM(K17)</f>
        <v>95</v>
      </c>
      <c r="T17" s="557"/>
      <c r="U17" s="557"/>
      <c r="V17" s="557"/>
      <c r="W17" s="557"/>
      <c r="X17" s="557"/>
      <c r="Y17" s="557"/>
      <c r="Z17" s="557"/>
      <c r="AA17" s="557"/>
      <c r="AB17" s="243">
        <f>SUM(T17)</f>
        <v>0</v>
      </c>
      <c r="AC17" s="557">
        <v>2</v>
      </c>
      <c r="AD17" s="557"/>
      <c r="AE17" s="557"/>
      <c r="AF17" s="557"/>
      <c r="AG17" s="557"/>
      <c r="AH17" s="557"/>
      <c r="AI17" s="557"/>
      <c r="AJ17" s="557"/>
      <c r="AK17" s="243">
        <f>SUM(AC17)</f>
        <v>2</v>
      </c>
      <c r="AL17" s="557">
        <v>1</v>
      </c>
      <c r="AM17" s="557"/>
      <c r="AN17" s="557"/>
      <c r="AO17" s="557"/>
      <c r="AP17" s="557"/>
      <c r="AQ17" s="557"/>
      <c r="AR17" s="557"/>
      <c r="AS17" s="557"/>
      <c r="AT17" s="243">
        <f>SUM(AL17)</f>
        <v>1</v>
      </c>
      <c r="AU17" s="557">
        <v>1</v>
      </c>
      <c r="AV17" s="557"/>
      <c r="AW17" s="557"/>
      <c r="AX17" s="557"/>
      <c r="AY17" s="557"/>
      <c r="AZ17" s="557"/>
      <c r="BA17" s="557"/>
      <c r="BB17" s="557"/>
      <c r="BC17" s="244">
        <f>SUM(AU17)</f>
        <v>1</v>
      </c>
      <c r="BD17" s="557">
        <v>1</v>
      </c>
      <c r="BE17" s="557"/>
      <c r="BF17" s="557"/>
      <c r="BG17" s="557"/>
      <c r="BH17" s="557"/>
      <c r="BI17" s="557"/>
      <c r="BJ17" s="557"/>
      <c r="BK17" s="557"/>
      <c r="BL17" s="244">
        <f>SUM(BD17)</f>
        <v>1</v>
      </c>
      <c r="BM17" s="557">
        <v>1</v>
      </c>
      <c r="BN17" s="557"/>
      <c r="BO17" s="557"/>
      <c r="BP17" s="557"/>
      <c r="BQ17" s="557"/>
      <c r="BR17" s="557"/>
      <c r="BS17" s="557"/>
      <c r="BT17" s="557"/>
      <c r="BU17" s="243">
        <f>SUM(BM17)</f>
        <v>1</v>
      </c>
      <c r="BV17" s="557">
        <v>1</v>
      </c>
      <c r="BW17" s="557"/>
      <c r="BX17" s="557"/>
      <c r="BY17" s="557"/>
      <c r="BZ17" s="557"/>
      <c r="CA17" s="557"/>
      <c r="CB17" s="557"/>
      <c r="CC17" s="557"/>
      <c r="CD17" s="244">
        <f>SUM(BV17)</f>
        <v>1</v>
      </c>
      <c r="CE17" s="557">
        <v>1</v>
      </c>
      <c r="CF17" s="557"/>
      <c r="CG17" s="557"/>
      <c r="CH17" s="557"/>
      <c r="CI17" s="557"/>
      <c r="CJ17" s="557"/>
      <c r="CK17" s="557"/>
      <c r="CL17" s="557"/>
      <c r="CM17" s="244">
        <f t="shared" ref="CM17:CM32" si="0">SUM(CE17:CL17)</f>
        <v>1</v>
      </c>
      <c r="CN17" s="557">
        <v>1</v>
      </c>
      <c r="CO17" s="557"/>
      <c r="CP17" s="557"/>
      <c r="CQ17" s="557"/>
      <c r="CR17" s="557"/>
      <c r="CS17" s="557"/>
      <c r="CT17" s="557"/>
      <c r="CU17" s="557"/>
      <c r="CV17" s="244">
        <f>SUM(CN17)</f>
        <v>1</v>
      </c>
      <c r="CW17" s="557">
        <v>1</v>
      </c>
      <c r="CX17" s="557"/>
      <c r="CY17" s="557"/>
      <c r="CZ17" s="557"/>
      <c r="DA17" s="557"/>
      <c r="DB17" s="557"/>
      <c r="DC17" s="557"/>
      <c r="DD17" s="557"/>
      <c r="DE17" s="244">
        <f>SUM(CW17)</f>
        <v>1</v>
      </c>
      <c r="DF17" s="557">
        <v>1</v>
      </c>
      <c r="DG17" s="557"/>
      <c r="DH17" s="557"/>
      <c r="DI17" s="557"/>
      <c r="DJ17" s="557"/>
      <c r="DK17" s="557"/>
      <c r="DL17" s="557"/>
      <c r="DM17" s="557"/>
      <c r="DN17" s="244">
        <f>SUM(DF17)</f>
        <v>1</v>
      </c>
      <c r="DO17" s="245">
        <f t="shared" ref="DO17:DO32" si="1">SUM(S17++AB17+AK17+AT17+BC17+BL17+BU17+CD17+CM17+CV17+DE17+DN17)</f>
        <v>106</v>
      </c>
      <c r="DP17" s="246"/>
    </row>
    <row r="18" spans="2:120" ht="227.25" customHeight="1">
      <c r="B18" s="559"/>
      <c r="C18" s="559"/>
      <c r="D18" s="562"/>
      <c r="E18" s="563"/>
      <c r="F18" s="559"/>
      <c r="G18" s="555"/>
      <c r="H18" s="555"/>
      <c r="I18" s="565"/>
      <c r="J18" s="247" t="s">
        <v>66</v>
      </c>
      <c r="K18" s="248">
        <v>50</v>
      </c>
      <c r="L18" s="248">
        <v>45</v>
      </c>
      <c r="M18" s="248"/>
      <c r="N18" s="248"/>
      <c r="O18" s="248"/>
      <c r="P18" s="248"/>
      <c r="Q18" s="248"/>
      <c r="R18" s="248"/>
      <c r="S18" s="248">
        <f t="shared" ref="S18:S26" si="2">SUM(K18:R18)</f>
        <v>95</v>
      </c>
      <c r="T18" s="249"/>
      <c r="U18" s="249"/>
      <c r="V18" s="248"/>
      <c r="W18" s="248"/>
      <c r="X18" s="248"/>
      <c r="Y18" s="248"/>
      <c r="Z18" s="248"/>
      <c r="AA18" s="248"/>
      <c r="AB18" s="248">
        <f t="shared" ref="AB18:AB26" si="3">SUM(T18:AA18)</f>
        <v>0</v>
      </c>
      <c r="AC18" s="248"/>
      <c r="AD18" s="248"/>
      <c r="AE18" s="248"/>
      <c r="AF18" s="248"/>
      <c r="AG18" s="248"/>
      <c r="AH18" s="248"/>
      <c r="AI18" s="248"/>
      <c r="AJ18" s="248"/>
      <c r="AK18" s="248">
        <f t="shared" ref="AK18:AK26" si="4">SUM(AC18:AJ18)</f>
        <v>0</v>
      </c>
      <c r="AL18" s="248">
        <v>3</v>
      </c>
      <c r="AM18" s="248">
        <v>6</v>
      </c>
      <c r="AN18" s="248"/>
      <c r="AO18" s="248"/>
      <c r="AP18" s="248"/>
      <c r="AQ18" s="248"/>
      <c r="AR18" s="248"/>
      <c r="AS18" s="248"/>
      <c r="AT18" s="248">
        <f t="shared" ref="AT18:AT26" si="5">SUM(AL18:AS18)</f>
        <v>9</v>
      </c>
      <c r="AU18" s="248">
        <v>0</v>
      </c>
      <c r="AV18" s="248"/>
      <c r="AW18" s="248"/>
      <c r="AX18" s="248"/>
      <c r="AY18" s="248"/>
      <c r="AZ18" s="248"/>
      <c r="BA18" s="248"/>
      <c r="BB18" s="248"/>
      <c r="BC18" s="248">
        <f t="shared" ref="BC18:BC26" si="6">SUM(AU18:BB18)</f>
        <v>0</v>
      </c>
      <c r="BD18" s="248">
        <v>0</v>
      </c>
      <c r="BE18" s="248"/>
      <c r="BF18" s="248"/>
      <c r="BG18" s="248"/>
      <c r="BH18" s="248"/>
      <c r="BI18" s="248"/>
      <c r="BJ18" s="248"/>
      <c r="BK18" s="248"/>
      <c r="BL18" s="248">
        <f t="shared" ref="BL18:BL26" si="7">SUM(BD18:BK18)</f>
        <v>0</v>
      </c>
      <c r="BM18" s="248"/>
      <c r="BN18" s="248"/>
      <c r="BO18" s="248">
        <v>1</v>
      </c>
      <c r="BP18" s="248"/>
      <c r="BQ18" s="248"/>
      <c r="BR18" s="248"/>
      <c r="BS18" s="248"/>
      <c r="BT18" s="248"/>
      <c r="BU18" s="248">
        <f t="shared" ref="BU18:BU26" si="8">SUM(BM18:BT18)</f>
        <v>1</v>
      </c>
      <c r="BV18" s="248"/>
      <c r="BW18" s="248"/>
      <c r="BX18" s="248"/>
      <c r="BY18" s="248">
        <v>0</v>
      </c>
      <c r="BZ18" s="248"/>
      <c r="CA18" s="248"/>
      <c r="CB18" s="248"/>
      <c r="CC18" s="248"/>
      <c r="CD18" s="248">
        <f t="shared" ref="CD18:CD26" si="9">SUM(BV18:CC18)</f>
        <v>0</v>
      </c>
      <c r="CE18" s="248">
        <v>1</v>
      </c>
      <c r="CF18" s="248"/>
      <c r="CG18" s="248"/>
      <c r="CH18" s="248"/>
      <c r="CI18" s="248"/>
      <c r="CJ18" s="248"/>
      <c r="CK18" s="248"/>
      <c r="CL18" s="248"/>
      <c r="CM18" s="244">
        <f t="shared" si="0"/>
        <v>1</v>
      </c>
      <c r="CN18" s="248"/>
      <c r="CO18" s="248"/>
      <c r="CP18" s="248"/>
      <c r="CQ18" s="248">
        <v>0</v>
      </c>
      <c r="CR18" s="248"/>
      <c r="CS18" s="248"/>
      <c r="CT18" s="248"/>
      <c r="CU18" s="248"/>
      <c r="CV18" s="248">
        <f t="shared" ref="CV18:CV26" si="10">SUM(CN18:CU18)</f>
        <v>0</v>
      </c>
      <c r="CW18" s="248">
        <v>1</v>
      </c>
      <c r="CX18" s="248">
        <v>1</v>
      </c>
      <c r="CY18" s="248"/>
      <c r="CZ18" s="248"/>
      <c r="DA18" s="248"/>
      <c r="DB18" s="248"/>
      <c r="DC18" s="248"/>
      <c r="DD18" s="248"/>
      <c r="DE18" s="248">
        <f t="shared" ref="DE18:DE26" si="11">SUM(CW18:DD18)</f>
        <v>2</v>
      </c>
      <c r="DF18" s="244"/>
      <c r="DG18" s="244"/>
      <c r="DH18" s="244"/>
      <c r="DI18" s="244">
        <v>0</v>
      </c>
      <c r="DJ18" s="244"/>
      <c r="DK18" s="244"/>
      <c r="DL18" s="244"/>
      <c r="DM18" s="244"/>
      <c r="DN18" s="244">
        <f t="shared" ref="DN18:DN26" si="12">SUM(DF18:DM18)</f>
        <v>0</v>
      </c>
      <c r="DO18" s="245">
        <f t="shared" si="1"/>
        <v>108</v>
      </c>
      <c r="DP18" s="246"/>
    </row>
    <row r="19" spans="2:120" ht="171" hidden="1" customHeight="1">
      <c r="B19" s="555" t="s">
        <v>78</v>
      </c>
      <c r="C19" s="555" t="s">
        <v>198</v>
      </c>
      <c r="D19" s="555" t="s">
        <v>5</v>
      </c>
      <c r="E19" s="555"/>
      <c r="F19" s="555" t="s">
        <v>1</v>
      </c>
      <c r="G19" s="558">
        <v>1570</v>
      </c>
      <c r="H19" s="555" t="s">
        <v>199</v>
      </c>
      <c r="I19" s="566">
        <v>1570</v>
      </c>
      <c r="J19" s="242" t="s">
        <v>65</v>
      </c>
      <c r="K19" s="557">
        <v>100</v>
      </c>
      <c r="L19" s="557"/>
      <c r="M19" s="557"/>
      <c r="N19" s="557"/>
      <c r="O19" s="557"/>
      <c r="P19" s="557"/>
      <c r="Q19" s="557"/>
      <c r="R19" s="557"/>
      <c r="S19" s="243">
        <f>SUM(K19)</f>
        <v>100</v>
      </c>
      <c r="T19" s="557">
        <v>100</v>
      </c>
      <c r="U19" s="557"/>
      <c r="V19" s="557"/>
      <c r="W19" s="557"/>
      <c r="X19" s="557"/>
      <c r="Y19" s="557"/>
      <c r="Z19" s="557"/>
      <c r="AA19" s="557"/>
      <c r="AB19" s="243">
        <f>SUM(T19)</f>
        <v>100</v>
      </c>
      <c r="AC19" s="557">
        <v>150</v>
      </c>
      <c r="AD19" s="557"/>
      <c r="AE19" s="557"/>
      <c r="AF19" s="557"/>
      <c r="AG19" s="557"/>
      <c r="AH19" s="557"/>
      <c r="AI19" s="557"/>
      <c r="AJ19" s="557"/>
      <c r="AK19" s="243">
        <f>SUM(AC19)</f>
        <v>150</v>
      </c>
      <c r="AL19" s="557">
        <v>150</v>
      </c>
      <c r="AM19" s="557"/>
      <c r="AN19" s="557"/>
      <c r="AO19" s="557"/>
      <c r="AP19" s="557"/>
      <c r="AQ19" s="557"/>
      <c r="AR19" s="557"/>
      <c r="AS19" s="557"/>
      <c r="AT19" s="243">
        <f>SUM(AL19)</f>
        <v>150</v>
      </c>
      <c r="AU19" s="557">
        <v>150</v>
      </c>
      <c r="AV19" s="557"/>
      <c r="AW19" s="557"/>
      <c r="AX19" s="557"/>
      <c r="AY19" s="557"/>
      <c r="AZ19" s="557"/>
      <c r="BA19" s="557"/>
      <c r="BB19" s="557"/>
      <c r="BC19" s="244">
        <f>SUM(AU19)</f>
        <v>150</v>
      </c>
      <c r="BD19" s="557">
        <v>140</v>
      </c>
      <c r="BE19" s="557"/>
      <c r="BF19" s="557"/>
      <c r="BG19" s="557"/>
      <c r="BH19" s="557"/>
      <c r="BI19" s="557"/>
      <c r="BJ19" s="557"/>
      <c r="BK19" s="557"/>
      <c r="BL19" s="244">
        <f>SUM(BD19)</f>
        <v>140</v>
      </c>
      <c r="BM19" s="557">
        <v>150</v>
      </c>
      <c r="BN19" s="557"/>
      <c r="BO19" s="557"/>
      <c r="BP19" s="557"/>
      <c r="BQ19" s="557"/>
      <c r="BR19" s="557"/>
      <c r="BS19" s="557"/>
      <c r="BT19" s="557"/>
      <c r="BU19" s="243">
        <f>SUM(BM19)</f>
        <v>150</v>
      </c>
      <c r="BV19" s="557">
        <v>120</v>
      </c>
      <c r="BW19" s="557"/>
      <c r="BX19" s="557"/>
      <c r="BY19" s="557"/>
      <c r="BZ19" s="557"/>
      <c r="CA19" s="557"/>
      <c r="CB19" s="557"/>
      <c r="CC19" s="557"/>
      <c r="CD19" s="244">
        <f>SUM(BV19)</f>
        <v>120</v>
      </c>
      <c r="CE19" s="557">
        <v>140</v>
      </c>
      <c r="CF19" s="557"/>
      <c r="CG19" s="557"/>
      <c r="CH19" s="557"/>
      <c r="CI19" s="557"/>
      <c r="CJ19" s="557"/>
      <c r="CK19" s="557"/>
      <c r="CL19" s="557"/>
      <c r="CM19" s="244">
        <f t="shared" si="0"/>
        <v>140</v>
      </c>
      <c r="CN19" s="557">
        <v>125</v>
      </c>
      <c r="CO19" s="557"/>
      <c r="CP19" s="557"/>
      <c r="CQ19" s="557"/>
      <c r="CR19" s="557"/>
      <c r="CS19" s="557"/>
      <c r="CT19" s="557"/>
      <c r="CU19" s="557"/>
      <c r="CV19" s="244">
        <f>SUM(CN19)</f>
        <v>125</v>
      </c>
      <c r="CW19" s="557">
        <v>125</v>
      </c>
      <c r="CX19" s="557"/>
      <c r="CY19" s="557"/>
      <c r="CZ19" s="557"/>
      <c r="DA19" s="557"/>
      <c r="DB19" s="557"/>
      <c r="DC19" s="557"/>
      <c r="DD19" s="557"/>
      <c r="DE19" s="244">
        <f>SUM(CW19)</f>
        <v>125</v>
      </c>
      <c r="DF19" s="557">
        <v>120</v>
      </c>
      <c r="DG19" s="557"/>
      <c r="DH19" s="557"/>
      <c r="DI19" s="557"/>
      <c r="DJ19" s="557"/>
      <c r="DK19" s="557"/>
      <c r="DL19" s="557"/>
      <c r="DM19" s="557"/>
      <c r="DN19" s="244">
        <f>SUM(DF19)</f>
        <v>120</v>
      </c>
      <c r="DO19" s="245">
        <f t="shared" si="1"/>
        <v>1570</v>
      </c>
      <c r="DP19" s="250"/>
    </row>
    <row r="20" spans="2:120" ht="264.95" customHeight="1">
      <c r="B20" s="555"/>
      <c r="C20" s="555"/>
      <c r="D20" s="555"/>
      <c r="E20" s="555"/>
      <c r="F20" s="555"/>
      <c r="G20" s="559"/>
      <c r="H20" s="555"/>
      <c r="I20" s="567"/>
      <c r="J20" s="247" t="s">
        <v>66</v>
      </c>
      <c r="K20" s="248">
        <v>68</v>
      </c>
      <c r="L20" s="248"/>
      <c r="M20" s="248"/>
      <c r="N20" s="248"/>
      <c r="O20" s="248"/>
      <c r="P20" s="248"/>
      <c r="Q20" s="248"/>
      <c r="R20" s="248"/>
      <c r="S20" s="251">
        <f>SUM(K20:R20)</f>
        <v>68</v>
      </c>
      <c r="T20" s="248">
        <v>86</v>
      </c>
      <c r="U20" s="248"/>
      <c r="V20" s="248"/>
      <c r="W20" s="248"/>
      <c r="X20" s="248"/>
      <c r="Y20" s="248"/>
      <c r="Z20" s="248"/>
      <c r="AA20" s="248"/>
      <c r="AB20" s="251">
        <f>SUM(T20:AA20)</f>
        <v>86</v>
      </c>
      <c r="AC20" s="248"/>
      <c r="AD20" s="248"/>
      <c r="AE20" s="248"/>
      <c r="AF20" s="248"/>
      <c r="AG20" s="248"/>
      <c r="AH20" s="248"/>
      <c r="AI20" s="248"/>
      <c r="AJ20" s="248"/>
      <c r="AK20" s="248">
        <f>SUM(AC20:AJ20)</f>
        <v>0</v>
      </c>
      <c r="AL20" s="248">
        <v>42</v>
      </c>
      <c r="AM20" s="248"/>
      <c r="AN20" s="248"/>
      <c r="AO20" s="248">
        <v>37</v>
      </c>
      <c r="AP20" s="248"/>
      <c r="AQ20" s="248"/>
      <c r="AR20" s="248"/>
      <c r="AS20" s="248"/>
      <c r="AT20" s="248">
        <f>SUM(AL20:AS20)</f>
        <v>79</v>
      </c>
      <c r="AU20" s="248">
        <v>122</v>
      </c>
      <c r="AV20" s="248"/>
      <c r="AW20" s="248"/>
      <c r="AX20" s="248"/>
      <c r="AY20" s="248"/>
      <c r="AZ20" s="248"/>
      <c r="BA20" s="248"/>
      <c r="BB20" s="248"/>
      <c r="BC20" s="248">
        <f>SUM(AU20:BB20)</f>
        <v>122</v>
      </c>
      <c r="BD20" s="248">
        <v>124</v>
      </c>
      <c r="BE20" s="248"/>
      <c r="BF20" s="248"/>
      <c r="BG20" s="248"/>
      <c r="BH20" s="248"/>
      <c r="BI20" s="248"/>
      <c r="BJ20" s="248"/>
      <c r="BK20" s="248"/>
      <c r="BL20" s="248">
        <f>SUM(BD20:BK20)</f>
        <v>124</v>
      </c>
      <c r="BM20" s="248"/>
      <c r="BN20" s="248"/>
      <c r="BO20" s="248">
        <v>101</v>
      </c>
      <c r="BP20" s="248"/>
      <c r="BQ20" s="248"/>
      <c r="BR20" s="248"/>
      <c r="BS20" s="248"/>
      <c r="BT20" s="248"/>
      <c r="BU20" s="248">
        <f>SUM(BM20:BT20)</f>
        <v>101</v>
      </c>
      <c r="BV20" s="248"/>
      <c r="BW20" s="248"/>
      <c r="BX20" s="248"/>
      <c r="BY20" s="248">
        <v>64</v>
      </c>
      <c r="BZ20" s="248"/>
      <c r="CA20" s="248"/>
      <c r="CB20" s="248"/>
      <c r="CC20" s="248"/>
      <c r="CD20" s="248">
        <f>SUM(BV20:CC20)</f>
        <v>64</v>
      </c>
      <c r="CE20" s="248">
        <v>103</v>
      </c>
      <c r="CF20" s="248"/>
      <c r="CG20" s="248"/>
      <c r="CH20" s="248"/>
      <c r="CI20" s="248"/>
      <c r="CJ20" s="248"/>
      <c r="CK20" s="248"/>
      <c r="CL20" s="248"/>
      <c r="CM20" s="244">
        <f t="shared" si="0"/>
        <v>103</v>
      </c>
      <c r="CN20" s="248"/>
      <c r="CO20" s="248"/>
      <c r="CP20" s="248"/>
      <c r="CQ20" s="248">
        <v>217</v>
      </c>
      <c r="CR20" s="248"/>
      <c r="CS20" s="248"/>
      <c r="CT20" s="248"/>
      <c r="CU20" s="248"/>
      <c r="CV20" s="248">
        <f>SUM(CN20:CU20)</f>
        <v>217</v>
      </c>
      <c r="CW20" s="248"/>
      <c r="CX20" s="248"/>
      <c r="CY20" s="248"/>
      <c r="CZ20" s="248">
        <v>242</v>
      </c>
      <c r="DA20" s="248"/>
      <c r="DB20" s="248"/>
      <c r="DC20" s="248"/>
      <c r="DD20" s="248"/>
      <c r="DE20" s="248">
        <f>SUM(CW20:DD20)</f>
        <v>242</v>
      </c>
      <c r="DF20" s="244"/>
      <c r="DG20" s="244"/>
      <c r="DH20" s="244"/>
      <c r="DI20" s="244">
        <v>257</v>
      </c>
      <c r="DJ20" s="244"/>
      <c r="DK20" s="244"/>
      <c r="DL20" s="244"/>
      <c r="DM20" s="244"/>
      <c r="DN20" s="244">
        <f>SUM(DF20:DM20)</f>
        <v>257</v>
      </c>
      <c r="DO20" s="245">
        <f t="shared" si="1"/>
        <v>1463</v>
      </c>
      <c r="DP20" s="252"/>
    </row>
    <row r="21" spans="2:120" ht="171" hidden="1" customHeight="1">
      <c r="B21" s="555" t="s">
        <v>78</v>
      </c>
      <c r="C21" s="555" t="s">
        <v>198</v>
      </c>
      <c r="D21" s="555" t="s">
        <v>5</v>
      </c>
      <c r="E21" s="555"/>
      <c r="F21" s="555" t="s">
        <v>1</v>
      </c>
      <c r="G21" s="558">
        <v>16</v>
      </c>
      <c r="H21" s="558" t="s">
        <v>200</v>
      </c>
      <c r="I21" s="566">
        <v>16</v>
      </c>
      <c r="J21" s="242" t="s">
        <v>65</v>
      </c>
      <c r="K21" s="557">
        <v>1</v>
      </c>
      <c r="L21" s="557"/>
      <c r="M21" s="557"/>
      <c r="N21" s="557"/>
      <c r="O21" s="557"/>
      <c r="P21" s="557"/>
      <c r="Q21" s="557"/>
      <c r="R21" s="557"/>
      <c r="S21" s="253">
        <f>SUM(K21)</f>
        <v>1</v>
      </c>
      <c r="T21" s="557">
        <v>1</v>
      </c>
      <c r="U21" s="557"/>
      <c r="V21" s="557"/>
      <c r="W21" s="557"/>
      <c r="X21" s="557"/>
      <c r="Y21" s="557"/>
      <c r="Z21" s="557"/>
      <c r="AA21" s="557"/>
      <c r="AB21" s="253">
        <f>SUM(T21)</f>
        <v>1</v>
      </c>
      <c r="AC21" s="557">
        <v>1</v>
      </c>
      <c r="AD21" s="557"/>
      <c r="AE21" s="557"/>
      <c r="AF21" s="557"/>
      <c r="AG21" s="557"/>
      <c r="AH21" s="557"/>
      <c r="AI21" s="557"/>
      <c r="AJ21" s="557"/>
      <c r="AK21" s="243">
        <f>SUM(AC21)</f>
        <v>1</v>
      </c>
      <c r="AL21" s="557">
        <v>2</v>
      </c>
      <c r="AM21" s="557"/>
      <c r="AN21" s="557"/>
      <c r="AO21" s="557"/>
      <c r="AP21" s="557"/>
      <c r="AQ21" s="557"/>
      <c r="AR21" s="557"/>
      <c r="AS21" s="557"/>
      <c r="AT21" s="243">
        <f>SUM(AL21)</f>
        <v>2</v>
      </c>
      <c r="AU21" s="557">
        <v>2</v>
      </c>
      <c r="AV21" s="557"/>
      <c r="AW21" s="557"/>
      <c r="AX21" s="557"/>
      <c r="AY21" s="557"/>
      <c r="AZ21" s="557"/>
      <c r="BA21" s="557"/>
      <c r="BB21" s="557"/>
      <c r="BC21" s="244">
        <f>SUM(AU21)</f>
        <v>2</v>
      </c>
      <c r="BD21" s="557">
        <v>2</v>
      </c>
      <c r="BE21" s="557"/>
      <c r="BF21" s="557"/>
      <c r="BG21" s="557"/>
      <c r="BH21" s="557"/>
      <c r="BI21" s="557"/>
      <c r="BJ21" s="557"/>
      <c r="BK21" s="557"/>
      <c r="BL21" s="244">
        <f>SUM(BD21)</f>
        <v>2</v>
      </c>
      <c r="BM21" s="557">
        <v>2</v>
      </c>
      <c r="BN21" s="557"/>
      <c r="BO21" s="557"/>
      <c r="BP21" s="557"/>
      <c r="BQ21" s="557"/>
      <c r="BR21" s="557"/>
      <c r="BS21" s="557"/>
      <c r="BT21" s="557"/>
      <c r="BU21" s="243">
        <f>SUM(BM21)</f>
        <v>2</v>
      </c>
      <c r="BV21" s="557">
        <v>1</v>
      </c>
      <c r="BW21" s="557"/>
      <c r="BX21" s="557"/>
      <c r="BY21" s="557"/>
      <c r="BZ21" s="557"/>
      <c r="CA21" s="557"/>
      <c r="CB21" s="557"/>
      <c r="CC21" s="557"/>
      <c r="CD21" s="244">
        <f>SUM(BV21)</f>
        <v>1</v>
      </c>
      <c r="CE21" s="557">
        <v>1</v>
      </c>
      <c r="CF21" s="557"/>
      <c r="CG21" s="557"/>
      <c r="CH21" s="557"/>
      <c r="CI21" s="557"/>
      <c r="CJ21" s="557"/>
      <c r="CK21" s="557"/>
      <c r="CL21" s="557"/>
      <c r="CM21" s="244">
        <f t="shared" si="0"/>
        <v>1</v>
      </c>
      <c r="CN21" s="557">
        <v>1</v>
      </c>
      <c r="CO21" s="557"/>
      <c r="CP21" s="557"/>
      <c r="CQ21" s="557"/>
      <c r="CR21" s="557"/>
      <c r="CS21" s="557"/>
      <c r="CT21" s="557"/>
      <c r="CU21" s="557"/>
      <c r="CV21" s="244">
        <f>SUM(CN21)</f>
        <v>1</v>
      </c>
      <c r="CW21" s="557">
        <v>1</v>
      </c>
      <c r="CX21" s="557"/>
      <c r="CY21" s="557"/>
      <c r="CZ21" s="557"/>
      <c r="DA21" s="557"/>
      <c r="DB21" s="557"/>
      <c r="DC21" s="557"/>
      <c r="DD21" s="557"/>
      <c r="DE21" s="244">
        <f>SUM(CW21)</f>
        <v>1</v>
      </c>
      <c r="DF21" s="557">
        <v>1</v>
      </c>
      <c r="DG21" s="557"/>
      <c r="DH21" s="557"/>
      <c r="DI21" s="557"/>
      <c r="DJ21" s="557"/>
      <c r="DK21" s="557"/>
      <c r="DL21" s="557"/>
      <c r="DM21" s="557"/>
      <c r="DN21" s="244">
        <f>SUM(DF21)</f>
        <v>1</v>
      </c>
      <c r="DO21" s="245">
        <f t="shared" si="1"/>
        <v>16</v>
      </c>
      <c r="DP21" s="254"/>
    </row>
    <row r="22" spans="2:120" ht="408.95" customHeight="1">
      <c r="B22" s="555"/>
      <c r="C22" s="555"/>
      <c r="D22" s="555"/>
      <c r="E22" s="555"/>
      <c r="F22" s="555"/>
      <c r="G22" s="559"/>
      <c r="H22" s="559"/>
      <c r="I22" s="567"/>
      <c r="J22" s="247" t="s">
        <v>66</v>
      </c>
      <c r="K22" s="248">
        <v>1</v>
      </c>
      <c r="L22" s="248"/>
      <c r="M22" s="248"/>
      <c r="N22" s="248"/>
      <c r="O22" s="248"/>
      <c r="P22" s="248"/>
      <c r="Q22" s="248"/>
      <c r="R22" s="248"/>
      <c r="S22" s="251">
        <f t="shared" si="2"/>
        <v>1</v>
      </c>
      <c r="T22" s="248">
        <v>1</v>
      </c>
      <c r="U22" s="248"/>
      <c r="V22" s="248"/>
      <c r="W22" s="248"/>
      <c r="X22" s="248"/>
      <c r="Y22" s="248"/>
      <c r="Z22" s="248"/>
      <c r="AA22" s="248"/>
      <c r="AB22" s="251">
        <f t="shared" si="3"/>
        <v>1</v>
      </c>
      <c r="AC22" s="248"/>
      <c r="AD22" s="248"/>
      <c r="AE22" s="248"/>
      <c r="AF22" s="248"/>
      <c r="AG22" s="248"/>
      <c r="AH22" s="248"/>
      <c r="AI22" s="248"/>
      <c r="AJ22" s="248"/>
      <c r="AK22" s="248">
        <f t="shared" si="4"/>
        <v>0</v>
      </c>
      <c r="AL22" s="248"/>
      <c r="AM22" s="248">
        <v>1</v>
      </c>
      <c r="AN22" s="248"/>
      <c r="AO22" s="248"/>
      <c r="AP22" s="248"/>
      <c r="AQ22" s="248"/>
      <c r="AR22" s="248"/>
      <c r="AS22" s="248"/>
      <c r="AT22" s="248">
        <f t="shared" si="5"/>
        <v>1</v>
      </c>
      <c r="AU22" s="248">
        <v>2</v>
      </c>
      <c r="AV22" s="248"/>
      <c r="AW22" s="248"/>
      <c r="AX22" s="248"/>
      <c r="AY22" s="248"/>
      <c r="AZ22" s="248"/>
      <c r="BA22" s="248"/>
      <c r="BB22" s="248"/>
      <c r="BC22" s="248">
        <f t="shared" si="6"/>
        <v>2</v>
      </c>
      <c r="BD22" s="248">
        <v>2</v>
      </c>
      <c r="BE22" s="248"/>
      <c r="BF22" s="248"/>
      <c r="BG22" s="248"/>
      <c r="BH22" s="248"/>
      <c r="BI22" s="248"/>
      <c r="BJ22" s="248"/>
      <c r="BK22" s="248"/>
      <c r="BL22" s="248">
        <f t="shared" si="7"/>
        <v>2</v>
      </c>
      <c r="BM22" s="248"/>
      <c r="BN22" s="248"/>
      <c r="BO22" s="248">
        <v>0</v>
      </c>
      <c r="BP22" s="248"/>
      <c r="BQ22" s="248"/>
      <c r="BR22" s="248"/>
      <c r="BS22" s="248"/>
      <c r="BT22" s="248"/>
      <c r="BU22" s="248">
        <f t="shared" si="8"/>
        <v>0</v>
      </c>
      <c r="BV22" s="248"/>
      <c r="BW22" s="248"/>
      <c r="BX22" s="248"/>
      <c r="BY22" s="248">
        <v>2</v>
      </c>
      <c r="BZ22" s="248"/>
      <c r="CA22" s="248"/>
      <c r="CB22" s="248"/>
      <c r="CC22" s="248"/>
      <c r="CD22" s="248">
        <f t="shared" si="9"/>
        <v>2</v>
      </c>
      <c r="CE22" s="248"/>
      <c r="CF22" s="248"/>
      <c r="CG22" s="248"/>
      <c r="CH22" s="248">
        <v>1</v>
      </c>
      <c r="CI22" s="248"/>
      <c r="CJ22" s="248"/>
      <c r="CK22" s="248"/>
      <c r="CL22" s="248"/>
      <c r="CM22" s="244">
        <f t="shared" si="0"/>
        <v>1</v>
      </c>
      <c r="CN22" s="248"/>
      <c r="CO22" s="248"/>
      <c r="CP22" s="248"/>
      <c r="CQ22" s="248">
        <v>0</v>
      </c>
      <c r="CR22" s="248"/>
      <c r="CS22" s="248"/>
      <c r="CT22" s="248"/>
      <c r="CU22" s="248"/>
      <c r="CV22" s="248">
        <f t="shared" si="10"/>
        <v>0</v>
      </c>
      <c r="CW22" s="248"/>
      <c r="CX22" s="248">
        <v>2</v>
      </c>
      <c r="CY22" s="248"/>
      <c r="CZ22" s="248"/>
      <c r="DA22" s="248"/>
      <c r="DB22" s="248"/>
      <c r="DC22" s="248"/>
      <c r="DD22" s="248"/>
      <c r="DE22" s="248">
        <f t="shared" si="11"/>
        <v>2</v>
      </c>
      <c r="DF22" s="244"/>
      <c r="DG22" s="244"/>
      <c r="DH22" s="244"/>
      <c r="DI22" s="244">
        <v>1</v>
      </c>
      <c r="DJ22" s="244"/>
      <c r="DK22" s="244"/>
      <c r="DL22" s="244"/>
      <c r="DM22" s="244"/>
      <c r="DN22" s="244">
        <f t="shared" si="12"/>
        <v>1</v>
      </c>
      <c r="DO22" s="245">
        <f t="shared" si="1"/>
        <v>13</v>
      </c>
      <c r="DP22" s="255" t="s">
        <v>201</v>
      </c>
    </row>
    <row r="23" spans="2:120" ht="150" hidden="1" customHeight="1">
      <c r="B23" s="558" t="s">
        <v>67</v>
      </c>
      <c r="C23" s="558" t="s">
        <v>202</v>
      </c>
      <c r="D23" s="560" t="s">
        <v>69</v>
      </c>
      <c r="E23" s="561"/>
      <c r="F23" s="558" t="s">
        <v>14</v>
      </c>
      <c r="G23" s="568">
        <v>6433</v>
      </c>
      <c r="H23" s="555" t="s">
        <v>104</v>
      </c>
      <c r="I23" s="556">
        <v>6433</v>
      </c>
      <c r="J23" s="256" t="s">
        <v>65</v>
      </c>
      <c r="K23" s="557">
        <v>536</v>
      </c>
      <c r="L23" s="557"/>
      <c r="M23" s="557"/>
      <c r="N23" s="557"/>
      <c r="O23" s="557"/>
      <c r="P23" s="557"/>
      <c r="Q23" s="557"/>
      <c r="R23" s="557"/>
      <c r="S23" s="243">
        <f>SUM(K23)</f>
        <v>536</v>
      </c>
      <c r="T23" s="557">
        <v>537</v>
      </c>
      <c r="U23" s="557"/>
      <c r="V23" s="557"/>
      <c r="W23" s="557"/>
      <c r="X23" s="557"/>
      <c r="Y23" s="557"/>
      <c r="Z23" s="557"/>
      <c r="AA23" s="557"/>
      <c r="AB23" s="243">
        <f>SUM(T23)</f>
        <v>537</v>
      </c>
      <c r="AC23" s="557">
        <v>536</v>
      </c>
      <c r="AD23" s="557"/>
      <c r="AE23" s="557"/>
      <c r="AF23" s="557"/>
      <c r="AG23" s="557"/>
      <c r="AH23" s="557"/>
      <c r="AI23" s="557"/>
      <c r="AJ23" s="557"/>
      <c r="AK23" s="243">
        <f>SUM(AC23)</f>
        <v>536</v>
      </c>
      <c r="AL23" s="557">
        <v>536</v>
      </c>
      <c r="AM23" s="557"/>
      <c r="AN23" s="557"/>
      <c r="AO23" s="557"/>
      <c r="AP23" s="557"/>
      <c r="AQ23" s="557"/>
      <c r="AR23" s="557"/>
      <c r="AS23" s="557"/>
      <c r="AT23" s="243">
        <f>SUM(AL23)</f>
        <v>536</v>
      </c>
      <c r="AU23" s="557">
        <v>536</v>
      </c>
      <c r="AV23" s="557"/>
      <c r="AW23" s="557"/>
      <c r="AX23" s="557"/>
      <c r="AY23" s="557"/>
      <c r="AZ23" s="557"/>
      <c r="BA23" s="557"/>
      <c r="BB23" s="557"/>
      <c r="BC23" s="244">
        <f>SUM(AU23)</f>
        <v>536</v>
      </c>
      <c r="BD23" s="557">
        <v>536</v>
      </c>
      <c r="BE23" s="557"/>
      <c r="BF23" s="557"/>
      <c r="BG23" s="557"/>
      <c r="BH23" s="557"/>
      <c r="BI23" s="557"/>
      <c r="BJ23" s="557"/>
      <c r="BK23" s="557"/>
      <c r="BL23" s="244">
        <f>SUM(BD23)</f>
        <v>536</v>
      </c>
      <c r="BM23" s="557">
        <v>536</v>
      </c>
      <c r="BN23" s="557"/>
      <c r="BO23" s="557"/>
      <c r="BP23" s="557"/>
      <c r="BQ23" s="557"/>
      <c r="BR23" s="557"/>
      <c r="BS23" s="557"/>
      <c r="BT23" s="557"/>
      <c r="BU23" s="243">
        <f>SUM(BM23)</f>
        <v>536</v>
      </c>
      <c r="BV23" s="557">
        <v>536</v>
      </c>
      <c r="BW23" s="557"/>
      <c r="BX23" s="557"/>
      <c r="BY23" s="557"/>
      <c r="BZ23" s="557"/>
      <c r="CA23" s="557"/>
      <c r="CB23" s="557"/>
      <c r="CC23" s="557"/>
      <c r="CD23" s="244">
        <f>SUM(BV23)</f>
        <v>536</v>
      </c>
      <c r="CE23" s="557">
        <v>536</v>
      </c>
      <c r="CF23" s="557"/>
      <c r="CG23" s="557"/>
      <c r="CH23" s="557"/>
      <c r="CI23" s="557"/>
      <c r="CJ23" s="557"/>
      <c r="CK23" s="557"/>
      <c r="CL23" s="557"/>
      <c r="CM23" s="244">
        <f t="shared" si="0"/>
        <v>536</v>
      </c>
      <c r="CN23" s="557">
        <v>536</v>
      </c>
      <c r="CO23" s="557"/>
      <c r="CP23" s="557"/>
      <c r="CQ23" s="557"/>
      <c r="CR23" s="557"/>
      <c r="CS23" s="557"/>
      <c r="CT23" s="557"/>
      <c r="CU23" s="557"/>
      <c r="CV23" s="244">
        <f>SUM(CN23)</f>
        <v>536</v>
      </c>
      <c r="CW23" s="557">
        <v>536</v>
      </c>
      <c r="CX23" s="557"/>
      <c r="CY23" s="557"/>
      <c r="CZ23" s="557"/>
      <c r="DA23" s="557"/>
      <c r="DB23" s="557"/>
      <c r="DC23" s="557"/>
      <c r="DD23" s="557"/>
      <c r="DE23" s="244">
        <f>SUM(CW23)</f>
        <v>536</v>
      </c>
      <c r="DF23" s="557">
        <v>536</v>
      </c>
      <c r="DG23" s="557"/>
      <c r="DH23" s="557"/>
      <c r="DI23" s="557"/>
      <c r="DJ23" s="557"/>
      <c r="DK23" s="557"/>
      <c r="DL23" s="557"/>
      <c r="DM23" s="557"/>
      <c r="DN23" s="244">
        <f>SUM(DF23)</f>
        <v>536</v>
      </c>
      <c r="DO23" s="245">
        <f t="shared" si="1"/>
        <v>6433</v>
      </c>
      <c r="DP23" s="257"/>
    </row>
    <row r="24" spans="2:120" ht="246" customHeight="1">
      <c r="B24" s="559"/>
      <c r="C24" s="559"/>
      <c r="D24" s="562"/>
      <c r="E24" s="563"/>
      <c r="F24" s="559"/>
      <c r="G24" s="569"/>
      <c r="H24" s="555"/>
      <c r="I24" s="555"/>
      <c r="J24" s="258" t="s">
        <v>66</v>
      </c>
      <c r="K24" s="248">
        <v>572</v>
      </c>
      <c r="L24" s="248"/>
      <c r="M24" s="248"/>
      <c r="N24" s="248"/>
      <c r="O24" s="248"/>
      <c r="P24" s="248"/>
      <c r="Q24" s="248"/>
      <c r="R24" s="248"/>
      <c r="S24" s="259">
        <f t="shared" si="2"/>
        <v>572</v>
      </c>
      <c r="T24" s="248">
        <v>681</v>
      </c>
      <c r="U24" s="248"/>
      <c r="V24" s="248"/>
      <c r="W24" s="248"/>
      <c r="X24" s="248"/>
      <c r="Y24" s="248"/>
      <c r="Z24" s="248"/>
      <c r="AA24" s="248"/>
      <c r="AB24" s="259">
        <f t="shared" si="3"/>
        <v>681</v>
      </c>
      <c r="AC24" s="248"/>
      <c r="AD24" s="248"/>
      <c r="AE24" s="248"/>
      <c r="AF24" s="248"/>
      <c r="AG24" s="248"/>
      <c r="AH24" s="248"/>
      <c r="AI24" s="248"/>
      <c r="AJ24" s="248"/>
      <c r="AK24" s="260">
        <f t="shared" si="4"/>
        <v>0</v>
      </c>
      <c r="AL24" s="248">
        <v>794</v>
      </c>
      <c r="AM24" s="248"/>
      <c r="AN24" s="248"/>
      <c r="AO24" s="248"/>
      <c r="AP24" s="248"/>
      <c r="AQ24" s="248"/>
      <c r="AR24" s="248"/>
      <c r="AS24" s="248"/>
      <c r="AT24" s="260">
        <f t="shared" si="5"/>
        <v>794</v>
      </c>
      <c r="AU24" s="248">
        <v>646</v>
      </c>
      <c r="AV24" s="248"/>
      <c r="AW24" s="248"/>
      <c r="AX24" s="248"/>
      <c r="AY24" s="248"/>
      <c r="AZ24" s="248"/>
      <c r="BA24" s="248"/>
      <c r="BB24" s="248"/>
      <c r="BC24" s="260">
        <f t="shared" si="6"/>
        <v>646</v>
      </c>
      <c r="BD24" s="248">
        <v>731</v>
      </c>
      <c r="BE24" s="248"/>
      <c r="BF24" s="248"/>
      <c r="BG24" s="248"/>
      <c r="BH24" s="248"/>
      <c r="BI24" s="248"/>
      <c r="BJ24" s="248"/>
      <c r="BK24" s="248"/>
      <c r="BL24" s="260">
        <f t="shared" si="7"/>
        <v>731</v>
      </c>
      <c r="BM24" s="248"/>
      <c r="BN24" s="248"/>
      <c r="BO24" s="248">
        <v>449</v>
      </c>
      <c r="BP24" s="248"/>
      <c r="BQ24" s="248"/>
      <c r="BR24" s="248"/>
      <c r="BS24" s="248"/>
      <c r="BT24" s="248"/>
      <c r="BU24" s="260">
        <f t="shared" si="8"/>
        <v>449</v>
      </c>
      <c r="BV24" s="248"/>
      <c r="BW24" s="248"/>
      <c r="BX24" s="248"/>
      <c r="BY24" s="248">
        <v>486</v>
      </c>
      <c r="BZ24" s="248"/>
      <c r="CA24" s="248"/>
      <c r="CB24" s="248"/>
      <c r="CC24" s="248"/>
      <c r="CD24" s="260">
        <f t="shared" si="9"/>
        <v>486</v>
      </c>
      <c r="CE24" s="248"/>
      <c r="CF24" s="248">
        <v>660</v>
      </c>
      <c r="CG24" s="248"/>
      <c r="CH24" s="248"/>
      <c r="CI24" s="248"/>
      <c r="CJ24" s="248"/>
      <c r="CK24" s="248"/>
      <c r="CL24" s="248"/>
      <c r="CM24" s="244">
        <f t="shared" si="0"/>
        <v>660</v>
      </c>
      <c r="CN24" s="248"/>
      <c r="CO24" s="248"/>
      <c r="CP24" s="248"/>
      <c r="CQ24" s="248">
        <v>346</v>
      </c>
      <c r="CR24" s="248"/>
      <c r="CS24" s="248"/>
      <c r="CT24" s="248"/>
      <c r="CU24" s="248"/>
      <c r="CV24" s="248">
        <f t="shared" si="10"/>
        <v>346</v>
      </c>
      <c r="CW24" s="248"/>
      <c r="CX24" s="248"/>
      <c r="CY24" s="248"/>
      <c r="CZ24" s="248">
        <v>154</v>
      </c>
      <c r="DA24" s="248"/>
      <c r="DB24" s="248"/>
      <c r="DC24" s="248"/>
      <c r="DD24" s="248"/>
      <c r="DE24" s="248">
        <f t="shared" si="11"/>
        <v>154</v>
      </c>
      <c r="DF24" s="244"/>
      <c r="DG24" s="244"/>
      <c r="DH24" s="244"/>
      <c r="DI24" s="244">
        <v>251</v>
      </c>
      <c r="DJ24" s="244"/>
      <c r="DK24" s="244"/>
      <c r="DL24" s="244"/>
      <c r="DM24" s="244"/>
      <c r="DN24" s="244">
        <f t="shared" si="12"/>
        <v>251</v>
      </c>
      <c r="DO24" s="245">
        <f t="shared" si="1"/>
        <v>5770</v>
      </c>
      <c r="DP24" s="261"/>
    </row>
    <row r="25" spans="2:120" ht="204.75" hidden="1" customHeight="1">
      <c r="B25" s="558" t="s">
        <v>67</v>
      </c>
      <c r="C25" s="558" t="s">
        <v>202</v>
      </c>
      <c r="D25" s="560" t="s">
        <v>69</v>
      </c>
      <c r="E25" s="561"/>
      <c r="F25" s="558" t="s">
        <v>14</v>
      </c>
      <c r="G25" s="555">
        <v>4829</v>
      </c>
      <c r="H25" s="555" t="s">
        <v>203</v>
      </c>
      <c r="I25" s="555">
        <v>4829</v>
      </c>
      <c r="J25" s="256" t="s">
        <v>65</v>
      </c>
      <c r="K25" s="557">
        <v>402</v>
      </c>
      <c r="L25" s="557"/>
      <c r="M25" s="557"/>
      <c r="N25" s="557"/>
      <c r="O25" s="557"/>
      <c r="P25" s="557"/>
      <c r="Q25" s="557"/>
      <c r="R25" s="557"/>
      <c r="S25" s="262">
        <f>SUM(K25)</f>
        <v>402</v>
      </c>
      <c r="T25" s="557">
        <v>402</v>
      </c>
      <c r="U25" s="557"/>
      <c r="V25" s="557"/>
      <c r="W25" s="557"/>
      <c r="X25" s="557"/>
      <c r="Y25" s="557"/>
      <c r="Z25" s="557"/>
      <c r="AA25" s="557"/>
      <c r="AB25" s="262">
        <f>SUM(T25)</f>
        <v>402</v>
      </c>
      <c r="AC25" s="557">
        <v>402</v>
      </c>
      <c r="AD25" s="557"/>
      <c r="AE25" s="557"/>
      <c r="AF25" s="557"/>
      <c r="AG25" s="557"/>
      <c r="AH25" s="557"/>
      <c r="AI25" s="557"/>
      <c r="AJ25" s="557"/>
      <c r="AK25" s="263">
        <f>SUM(AC25)</f>
        <v>402</v>
      </c>
      <c r="AL25" s="557">
        <v>403</v>
      </c>
      <c r="AM25" s="557"/>
      <c r="AN25" s="557"/>
      <c r="AO25" s="557"/>
      <c r="AP25" s="557"/>
      <c r="AQ25" s="557"/>
      <c r="AR25" s="557"/>
      <c r="AS25" s="557"/>
      <c r="AT25" s="263">
        <f>SUM(AL25)</f>
        <v>403</v>
      </c>
      <c r="AU25" s="557">
        <v>402</v>
      </c>
      <c r="AV25" s="557"/>
      <c r="AW25" s="557"/>
      <c r="AX25" s="557"/>
      <c r="AY25" s="557"/>
      <c r="AZ25" s="557"/>
      <c r="BA25" s="557"/>
      <c r="BB25" s="557"/>
      <c r="BC25" s="264">
        <f>SUM(AU25)</f>
        <v>402</v>
      </c>
      <c r="BD25" s="557">
        <v>403</v>
      </c>
      <c r="BE25" s="557"/>
      <c r="BF25" s="557"/>
      <c r="BG25" s="557"/>
      <c r="BH25" s="557"/>
      <c r="BI25" s="557"/>
      <c r="BJ25" s="557"/>
      <c r="BK25" s="557"/>
      <c r="BL25" s="264">
        <f>SUM(BD25)</f>
        <v>403</v>
      </c>
      <c r="BM25" s="557">
        <v>402</v>
      </c>
      <c r="BN25" s="557"/>
      <c r="BO25" s="557"/>
      <c r="BP25" s="557"/>
      <c r="BQ25" s="557"/>
      <c r="BR25" s="557"/>
      <c r="BS25" s="557"/>
      <c r="BT25" s="557"/>
      <c r="BU25" s="263">
        <f>SUM(BM25)</f>
        <v>402</v>
      </c>
      <c r="BV25" s="557">
        <v>403</v>
      </c>
      <c r="BW25" s="557"/>
      <c r="BX25" s="557"/>
      <c r="BY25" s="557"/>
      <c r="BZ25" s="557"/>
      <c r="CA25" s="557"/>
      <c r="CB25" s="557"/>
      <c r="CC25" s="557"/>
      <c r="CD25" s="264">
        <f>SUM(BV25)</f>
        <v>403</v>
      </c>
      <c r="CE25" s="557">
        <v>402</v>
      </c>
      <c r="CF25" s="557"/>
      <c r="CG25" s="557"/>
      <c r="CH25" s="557"/>
      <c r="CI25" s="557"/>
      <c r="CJ25" s="557"/>
      <c r="CK25" s="557"/>
      <c r="CL25" s="557"/>
      <c r="CM25" s="244">
        <f t="shared" si="0"/>
        <v>402</v>
      </c>
      <c r="CN25" s="557">
        <v>403</v>
      </c>
      <c r="CO25" s="557"/>
      <c r="CP25" s="557"/>
      <c r="CQ25" s="557"/>
      <c r="CR25" s="557"/>
      <c r="CS25" s="557"/>
      <c r="CT25" s="557"/>
      <c r="CU25" s="557"/>
      <c r="CV25" s="244">
        <f>SUM(CN25)</f>
        <v>403</v>
      </c>
      <c r="CW25" s="557">
        <v>402</v>
      </c>
      <c r="CX25" s="557"/>
      <c r="CY25" s="557"/>
      <c r="CZ25" s="557"/>
      <c r="DA25" s="557"/>
      <c r="DB25" s="557"/>
      <c r="DC25" s="557"/>
      <c r="DD25" s="557"/>
      <c r="DE25" s="244">
        <f>SUM(CW25)</f>
        <v>402</v>
      </c>
      <c r="DF25" s="557">
        <v>403</v>
      </c>
      <c r="DG25" s="557"/>
      <c r="DH25" s="557"/>
      <c r="DI25" s="557"/>
      <c r="DJ25" s="557"/>
      <c r="DK25" s="557"/>
      <c r="DL25" s="557"/>
      <c r="DM25" s="557"/>
      <c r="DN25" s="244">
        <f>SUM(DF25)</f>
        <v>403</v>
      </c>
      <c r="DO25" s="245">
        <f t="shared" si="1"/>
        <v>4829</v>
      </c>
      <c r="DP25" s="257"/>
    </row>
    <row r="26" spans="2:120" ht="186" customHeight="1">
      <c r="B26" s="559"/>
      <c r="C26" s="559"/>
      <c r="D26" s="562"/>
      <c r="E26" s="563"/>
      <c r="F26" s="559"/>
      <c r="G26" s="555"/>
      <c r="H26" s="555"/>
      <c r="I26" s="555"/>
      <c r="J26" s="258" t="s">
        <v>66</v>
      </c>
      <c r="K26" s="248">
        <v>413</v>
      </c>
      <c r="L26" s="248"/>
      <c r="M26" s="248"/>
      <c r="N26" s="248"/>
      <c r="O26" s="248"/>
      <c r="P26" s="248"/>
      <c r="Q26" s="248"/>
      <c r="R26" s="248"/>
      <c r="S26" s="259">
        <f t="shared" si="2"/>
        <v>413</v>
      </c>
      <c r="T26" s="248">
        <v>298</v>
      </c>
      <c r="U26" s="248"/>
      <c r="V26" s="248"/>
      <c r="W26" s="248"/>
      <c r="X26" s="248"/>
      <c r="Y26" s="248"/>
      <c r="Z26" s="248"/>
      <c r="AA26" s="248"/>
      <c r="AB26" s="259">
        <f t="shared" si="3"/>
        <v>298</v>
      </c>
      <c r="AC26" s="248"/>
      <c r="AD26" s="248"/>
      <c r="AE26" s="248"/>
      <c r="AF26" s="248"/>
      <c r="AG26" s="248"/>
      <c r="AH26" s="248"/>
      <c r="AI26" s="248"/>
      <c r="AJ26" s="248"/>
      <c r="AK26" s="260">
        <f t="shared" si="4"/>
        <v>0</v>
      </c>
      <c r="AL26" s="248">
        <v>683</v>
      </c>
      <c r="AM26" s="248"/>
      <c r="AN26" s="248"/>
      <c r="AO26" s="248"/>
      <c r="AP26" s="248"/>
      <c r="AQ26" s="248"/>
      <c r="AR26" s="248"/>
      <c r="AS26" s="248"/>
      <c r="AT26" s="260">
        <f t="shared" si="5"/>
        <v>683</v>
      </c>
      <c r="AU26" s="248">
        <v>547</v>
      </c>
      <c r="AV26" s="248"/>
      <c r="AW26" s="248"/>
      <c r="AX26" s="248"/>
      <c r="AY26" s="248"/>
      <c r="AZ26" s="248"/>
      <c r="BA26" s="248"/>
      <c r="BB26" s="248"/>
      <c r="BC26" s="260">
        <f t="shared" si="6"/>
        <v>547</v>
      </c>
      <c r="BD26" s="248">
        <v>610</v>
      </c>
      <c r="BE26" s="248"/>
      <c r="BF26" s="248"/>
      <c r="BG26" s="248"/>
      <c r="BH26" s="248"/>
      <c r="BI26" s="248"/>
      <c r="BJ26" s="248"/>
      <c r="BK26" s="248"/>
      <c r="BL26" s="260">
        <f t="shared" si="7"/>
        <v>610</v>
      </c>
      <c r="BM26" s="248"/>
      <c r="BN26" s="248"/>
      <c r="BO26" s="248">
        <v>553</v>
      </c>
      <c r="BP26" s="248"/>
      <c r="BQ26" s="248"/>
      <c r="BR26" s="248"/>
      <c r="BS26" s="248"/>
      <c r="BT26" s="248"/>
      <c r="BU26" s="260">
        <f t="shared" si="8"/>
        <v>553</v>
      </c>
      <c r="BV26" s="248"/>
      <c r="BW26" s="248"/>
      <c r="BX26" s="248"/>
      <c r="BY26" s="248">
        <v>349</v>
      </c>
      <c r="BZ26" s="248"/>
      <c r="CA26" s="248"/>
      <c r="CB26" s="248"/>
      <c r="CC26" s="248"/>
      <c r="CD26" s="260">
        <f t="shared" si="9"/>
        <v>349</v>
      </c>
      <c r="CE26" s="248"/>
      <c r="CF26" s="248">
        <v>430</v>
      </c>
      <c r="CG26" s="248"/>
      <c r="CH26" s="248"/>
      <c r="CI26" s="248"/>
      <c r="CJ26" s="248"/>
      <c r="CK26" s="248"/>
      <c r="CL26" s="248"/>
      <c r="CM26" s="244">
        <f t="shared" si="0"/>
        <v>430</v>
      </c>
      <c r="CN26" s="248"/>
      <c r="CO26" s="248"/>
      <c r="CP26" s="248"/>
      <c r="CQ26" s="248">
        <v>355</v>
      </c>
      <c r="CR26" s="248"/>
      <c r="CS26" s="248"/>
      <c r="CT26" s="248"/>
      <c r="CU26" s="248"/>
      <c r="CV26" s="248">
        <f t="shared" si="10"/>
        <v>355</v>
      </c>
      <c r="CW26" s="248"/>
      <c r="CX26" s="248"/>
      <c r="CY26" s="248"/>
      <c r="CZ26" s="248">
        <v>471</v>
      </c>
      <c r="DA26" s="248"/>
      <c r="DB26" s="248"/>
      <c r="DC26" s="248"/>
      <c r="DD26" s="248"/>
      <c r="DE26" s="248">
        <f t="shared" si="11"/>
        <v>471</v>
      </c>
      <c r="DF26" s="244"/>
      <c r="DG26" s="244"/>
      <c r="DH26" s="244"/>
      <c r="DI26" s="244">
        <v>381</v>
      </c>
      <c r="DJ26" s="244"/>
      <c r="DK26" s="244"/>
      <c r="DL26" s="244"/>
      <c r="DM26" s="244"/>
      <c r="DN26" s="244">
        <f t="shared" si="12"/>
        <v>381</v>
      </c>
      <c r="DO26" s="245">
        <f t="shared" si="1"/>
        <v>5090</v>
      </c>
      <c r="DP26" s="261"/>
    </row>
    <row r="27" spans="2:120" ht="165" hidden="1" customHeight="1">
      <c r="B27" s="558" t="s">
        <v>75</v>
      </c>
      <c r="C27" s="558" t="s">
        <v>9</v>
      </c>
      <c r="D27" s="560" t="s">
        <v>204</v>
      </c>
      <c r="E27" s="561"/>
      <c r="F27" s="558" t="s">
        <v>98</v>
      </c>
      <c r="G27" s="558">
        <v>1</v>
      </c>
      <c r="H27" s="570" t="s">
        <v>98</v>
      </c>
      <c r="I27" s="572">
        <v>1</v>
      </c>
      <c r="J27" s="265" t="s">
        <v>65</v>
      </c>
      <c r="K27" s="557">
        <v>0</v>
      </c>
      <c r="L27" s="557"/>
      <c r="M27" s="557"/>
      <c r="N27" s="557"/>
      <c r="O27" s="557"/>
      <c r="P27" s="557"/>
      <c r="Q27" s="557"/>
      <c r="R27" s="557"/>
      <c r="S27" s="243">
        <f t="shared" ref="S27:S32" si="13">SUM(K27)</f>
        <v>0</v>
      </c>
      <c r="T27" s="557">
        <v>1</v>
      </c>
      <c r="U27" s="557"/>
      <c r="V27" s="557"/>
      <c r="W27" s="557"/>
      <c r="X27" s="557"/>
      <c r="Y27" s="557"/>
      <c r="Z27" s="557"/>
      <c r="AA27" s="557"/>
      <c r="AB27" s="243">
        <f t="shared" ref="AB27:AB32" si="14">SUM(T27)</f>
        <v>1</v>
      </c>
      <c r="AC27" s="557">
        <v>0</v>
      </c>
      <c r="AD27" s="557"/>
      <c r="AE27" s="557"/>
      <c r="AF27" s="557"/>
      <c r="AG27" s="557"/>
      <c r="AH27" s="557"/>
      <c r="AI27" s="557"/>
      <c r="AJ27" s="557"/>
      <c r="AK27" s="243">
        <f t="shared" ref="AK27:AK32" si="15">SUM(AC27)</f>
        <v>0</v>
      </c>
      <c r="AL27" s="557">
        <v>0</v>
      </c>
      <c r="AM27" s="557"/>
      <c r="AN27" s="557"/>
      <c r="AO27" s="557"/>
      <c r="AP27" s="557"/>
      <c r="AQ27" s="557"/>
      <c r="AR27" s="557"/>
      <c r="AS27" s="557"/>
      <c r="AT27" s="243">
        <f t="shared" ref="AT27:AT32" si="16">SUM(AL27)</f>
        <v>0</v>
      </c>
      <c r="AU27" s="557">
        <v>0</v>
      </c>
      <c r="AV27" s="557"/>
      <c r="AW27" s="557"/>
      <c r="AX27" s="557"/>
      <c r="AY27" s="557"/>
      <c r="AZ27" s="557"/>
      <c r="BA27" s="557"/>
      <c r="BB27" s="557"/>
      <c r="BC27" s="244">
        <f t="shared" ref="BC27:BC32" si="17">SUM(AU27)</f>
        <v>0</v>
      </c>
      <c r="BD27" s="557">
        <v>0</v>
      </c>
      <c r="BE27" s="557"/>
      <c r="BF27" s="557"/>
      <c r="BG27" s="557"/>
      <c r="BH27" s="557"/>
      <c r="BI27" s="557"/>
      <c r="BJ27" s="557"/>
      <c r="BK27" s="557"/>
      <c r="BL27" s="244">
        <f t="shared" ref="BL27:BL32" si="18">SUM(BD27)</f>
        <v>0</v>
      </c>
      <c r="BM27" s="557">
        <v>0</v>
      </c>
      <c r="BN27" s="557"/>
      <c r="BO27" s="557"/>
      <c r="BP27" s="557"/>
      <c r="BQ27" s="557"/>
      <c r="BR27" s="557"/>
      <c r="BS27" s="557"/>
      <c r="BT27" s="557"/>
      <c r="BU27" s="243">
        <f t="shared" ref="BU27:BU32" si="19">SUM(BM27)</f>
        <v>0</v>
      </c>
      <c r="BV27" s="557">
        <v>0</v>
      </c>
      <c r="BW27" s="557"/>
      <c r="BX27" s="557"/>
      <c r="BY27" s="557"/>
      <c r="BZ27" s="557"/>
      <c r="CA27" s="557"/>
      <c r="CB27" s="557"/>
      <c r="CC27" s="557"/>
      <c r="CD27" s="244">
        <f t="shared" ref="CD27:CD32" si="20">SUM(BV27)</f>
        <v>0</v>
      </c>
      <c r="CE27" s="557">
        <v>0</v>
      </c>
      <c r="CF27" s="557"/>
      <c r="CG27" s="557"/>
      <c r="CH27" s="557"/>
      <c r="CI27" s="557"/>
      <c r="CJ27" s="557"/>
      <c r="CK27" s="557"/>
      <c r="CL27" s="557"/>
      <c r="CM27" s="244">
        <f t="shared" si="0"/>
        <v>0</v>
      </c>
      <c r="CN27" s="557">
        <v>0</v>
      </c>
      <c r="CO27" s="557"/>
      <c r="CP27" s="557"/>
      <c r="CQ27" s="557"/>
      <c r="CR27" s="557"/>
      <c r="CS27" s="557"/>
      <c r="CT27" s="557"/>
      <c r="CU27" s="557"/>
      <c r="CV27" s="244">
        <f t="shared" ref="CV27:CV32" si="21">SUM(CN27)</f>
        <v>0</v>
      </c>
      <c r="CW27" s="557">
        <v>0</v>
      </c>
      <c r="CX27" s="557"/>
      <c r="CY27" s="557"/>
      <c r="CZ27" s="557"/>
      <c r="DA27" s="557"/>
      <c r="DB27" s="557"/>
      <c r="DC27" s="557"/>
      <c r="DD27" s="557"/>
      <c r="DE27" s="244">
        <f t="shared" ref="DE27:DE32" si="22">SUM(CW27)</f>
        <v>0</v>
      </c>
      <c r="DF27" s="557">
        <v>0</v>
      </c>
      <c r="DG27" s="557"/>
      <c r="DH27" s="557"/>
      <c r="DI27" s="557"/>
      <c r="DJ27" s="557"/>
      <c r="DK27" s="557"/>
      <c r="DL27" s="557"/>
      <c r="DM27" s="557"/>
      <c r="DN27" s="244">
        <f t="shared" ref="DN27:DN32" si="23">SUM(DF27)</f>
        <v>0</v>
      </c>
      <c r="DO27" s="245">
        <f t="shared" si="1"/>
        <v>1</v>
      </c>
      <c r="DP27" s="257"/>
    </row>
    <row r="28" spans="2:120" ht="165" customHeight="1">
      <c r="B28" s="559"/>
      <c r="C28" s="559"/>
      <c r="D28" s="562"/>
      <c r="E28" s="563"/>
      <c r="F28" s="559"/>
      <c r="G28" s="559"/>
      <c r="H28" s="571"/>
      <c r="I28" s="573"/>
      <c r="J28" s="247" t="s">
        <v>66</v>
      </c>
      <c r="K28" s="557">
        <v>0</v>
      </c>
      <c r="L28" s="557"/>
      <c r="M28" s="557"/>
      <c r="N28" s="557"/>
      <c r="O28" s="557"/>
      <c r="P28" s="557"/>
      <c r="Q28" s="557"/>
      <c r="R28" s="557"/>
      <c r="S28" s="243">
        <f t="shared" si="13"/>
        <v>0</v>
      </c>
      <c r="T28" s="557">
        <v>0</v>
      </c>
      <c r="U28" s="557"/>
      <c r="V28" s="557"/>
      <c r="W28" s="557"/>
      <c r="X28" s="557"/>
      <c r="Y28" s="557"/>
      <c r="Z28" s="557"/>
      <c r="AA28" s="557"/>
      <c r="AB28" s="243">
        <f t="shared" si="14"/>
        <v>0</v>
      </c>
      <c r="AC28" s="557">
        <v>0</v>
      </c>
      <c r="AD28" s="557"/>
      <c r="AE28" s="557"/>
      <c r="AF28" s="557"/>
      <c r="AG28" s="557"/>
      <c r="AH28" s="557"/>
      <c r="AI28" s="557"/>
      <c r="AJ28" s="557"/>
      <c r="AK28" s="243">
        <f t="shared" si="15"/>
        <v>0</v>
      </c>
      <c r="AL28" s="557">
        <v>1</v>
      </c>
      <c r="AM28" s="557"/>
      <c r="AN28" s="557"/>
      <c r="AO28" s="557"/>
      <c r="AP28" s="557"/>
      <c r="AQ28" s="557"/>
      <c r="AR28" s="557"/>
      <c r="AS28" s="557"/>
      <c r="AT28" s="243">
        <f t="shared" si="16"/>
        <v>1</v>
      </c>
      <c r="AU28" s="557">
        <v>0</v>
      </c>
      <c r="AV28" s="557"/>
      <c r="AW28" s="557"/>
      <c r="AX28" s="557"/>
      <c r="AY28" s="557"/>
      <c r="AZ28" s="557"/>
      <c r="BA28" s="557"/>
      <c r="BB28" s="557"/>
      <c r="BC28" s="244">
        <f t="shared" si="17"/>
        <v>0</v>
      </c>
      <c r="BD28" s="557">
        <v>0</v>
      </c>
      <c r="BE28" s="557"/>
      <c r="BF28" s="557"/>
      <c r="BG28" s="557"/>
      <c r="BH28" s="557"/>
      <c r="BI28" s="557"/>
      <c r="BJ28" s="557"/>
      <c r="BK28" s="557"/>
      <c r="BL28" s="244">
        <f t="shared" si="18"/>
        <v>0</v>
      </c>
      <c r="BM28" s="557">
        <v>0</v>
      </c>
      <c r="BN28" s="557"/>
      <c r="BO28" s="557"/>
      <c r="BP28" s="557"/>
      <c r="BQ28" s="557"/>
      <c r="BR28" s="557"/>
      <c r="BS28" s="557"/>
      <c r="BT28" s="557"/>
      <c r="BU28" s="243">
        <f t="shared" si="19"/>
        <v>0</v>
      </c>
      <c r="BV28" s="557">
        <v>0</v>
      </c>
      <c r="BW28" s="557"/>
      <c r="BX28" s="557"/>
      <c r="BY28" s="557"/>
      <c r="BZ28" s="557"/>
      <c r="CA28" s="557"/>
      <c r="CB28" s="557"/>
      <c r="CC28" s="557"/>
      <c r="CD28" s="244">
        <f t="shared" si="20"/>
        <v>0</v>
      </c>
      <c r="CE28" s="557">
        <v>0</v>
      </c>
      <c r="CF28" s="557"/>
      <c r="CG28" s="557"/>
      <c r="CH28" s="557"/>
      <c r="CI28" s="557"/>
      <c r="CJ28" s="557"/>
      <c r="CK28" s="557"/>
      <c r="CL28" s="557"/>
      <c r="CM28" s="244">
        <f t="shared" si="0"/>
        <v>0</v>
      </c>
      <c r="CN28" s="557">
        <v>0</v>
      </c>
      <c r="CO28" s="557"/>
      <c r="CP28" s="557"/>
      <c r="CQ28" s="557"/>
      <c r="CR28" s="557"/>
      <c r="CS28" s="557"/>
      <c r="CT28" s="557"/>
      <c r="CU28" s="557"/>
      <c r="CV28" s="244">
        <f t="shared" si="21"/>
        <v>0</v>
      </c>
      <c r="CW28" s="557">
        <v>0</v>
      </c>
      <c r="CX28" s="557"/>
      <c r="CY28" s="557"/>
      <c r="CZ28" s="557"/>
      <c r="DA28" s="557"/>
      <c r="DB28" s="557"/>
      <c r="DC28" s="557"/>
      <c r="DD28" s="557"/>
      <c r="DE28" s="244">
        <f t="shared" si="22"/>
        <v>0</v>
      </c>
      <c r="DF28" s="557">
        <v>0</v>
      </c>
      <c r="DG28" s="557"/>
      <c r="DH28" s="557"/>
      <c r="DI28" s="557"/>
      <c r="DJ28" s="557"/>
      <c r="DK28" s="557"/>
      <c r="DL28" s="557"/>
      <c r="DM28" s="557"/>
      <c r="DN28" s="244">
        <f t="shared" si="23"/>
        <v>0</v>
      </c>
      <c r="DO28" s="245">
        <f t="shared" si="1"/>
        <v>1</v>
      </c>
      <c r="DP28" s="257"/>
    </row>
    <row r="29" spans="2:120" ht="165" hidden="1" customHeight="1">
      <c r="B29" s="558" t="s">
        <v>76</v>
      </c>
      <c r="C29" s="558" t="s">
        <v>7</v>
      </c>
      <c r="D29" s="560" t="s">
        <v>1</v>
      </c>
      <c r="E29" s="561"/>
      <c r="F29" s="558" t="s">
        <v>1</v>
      </c>
      <c r="G29" s="558">
        <v>1</v>
      </c>
      <c r="H29" s="558" t="s">
        <v>1</v>
      </c>
      <c r="I29" s="572">
        <v>1</v>
      </c>
      <c r="J29" s="265" t="s">
        <v>65</v>
      </c>
      <c r="K29" s="557">
        <v>0</v>
      </c>
      <c r="L29" s="557"/>
      <c r="M29" s="557"/>
      <c r="N29" s="557"/>
      <c r="O29" s="557"/>
      <c r="P29" s="557"/>
      <c r="Q29" s="557"/>
      <c r="R29" s="557"/>
      <c r="S29" s="243">
        <f t="shared" si="13"/>
        <v>0</v>
      </c>
      <c r="T29" s="557">
        <v>0</v>
      </c>
      <c r="U29" s="557"/>
      <c r="V29" s="557"/>
      <c r="W29" s="557"/>
      <c r="X29" s="557"/>
      <c r="Y29" s="557"/>
      <c r="Z29" s="557"/>
      <c r="AA29" s="557"/>
      <c r="AB29" s="243">
        <f t="shared" si="14"/>
        <v>0</v>
      </c>
      <c r="AC29" s="557">
        <v>0</v>
      </c>
      <c r="AD29" s="557"/>
      <c r="AE29" s="557"/>
      <c r="AF29" s="557"/>
      <c r="AG29" s="557"/>
      <c r="AH29" s="557"/>
      <c r="AI29" s="557"/>
      <c r="AJ29" s="557"/>
      <c r="AK29" s="243">
        <f t="shared" si="15"/>
        <v>0</v>
      </c>
      <c r="AL29" s="557">
        <v>0</v>
      </c>
      <c r="AM29" s="557"/>
      <c r="AN29" s="557"/>
      <c r="AO29" s="557"/>
      <c r="AP29" s="557"/>
      <c r="AQ29" s="557"/>
      <c r="AR29" s="557"/>
      <c r="AS29" s="557"/>
      <c r="AT29" s="243">
        <f t="shared" si="16"/>
        <v>0</v>
      </c>
      <c r="AU29" s="557">
        <v>0</v>
      </c>
      <c r="AV29" s="557"/>
      <c r="AW29" s="557"/>
      <c r="AX29" s="557"/>
      <c r="AY29" s="557"/>
      <c r="AZ29" s="557"/>
      <c r="BA29" s="557"/>
      <c r="BB29" s="557"/>
      <c r="BC29" s="244">
        <f t="shared" si="17"/>
        <v>0</v>
      </c>
      <c r="BD29" s="557">
        <v>0</v>
      </c>
      <c r="BE29" s="557"/>
      <c r="BF29" s="557"/>
      <c r="BG29" s="557"/>
      <c r="BH29" s="557"/>
      <c r="BI29" s="557"/>
      <c r="BJ29" s="557"/>
      <c r="BK29" s="557"/>
      <c r="BL29" s="244">
        <f t="shared" si="18"/>
        <v>0</v>
      </c>
      <c r="BM29" s="557">
        <v>0</v>
      </c>
      <c r="BN29" s="557"/>
      <c r="BO29" s="557"/>
      <c r="BP29" s="557"/>
      <c r="BQ29" s="557"/>
      <c r="BR29" s="557"/>
      <c r="BS29" s="557"/>
      <c r="BT29" s="557"/>
      <c r="BU29" s="243">
        <f t="shared" si="19"/>
        <v>0</v>
      </c>
      <c r="BV29" s="557">
        <v>0</v>
      </c>
      <c r="BW29" s="557"/>
      <c r="BX29" s="557"/>
      <c r="BY29" s="557"/>
      <c r="BZ29" s="557"/>
      <c r="CA29" s="557"/>
      <c r="CB29" s="557"/>
      <c r="CC29" s="557"/>
      <c r="CD29" s="244">
        <f t="shared" si="20"/>
        <v>0</v>
      </c>
      <c r="CE29" s="557">
        <v>0</v>
      </c>
      <c r="CF29" s="557"/>
      <c r="CG29" s="557"/>
      <c r="CH29" s="557"/>
      <c r="CI29" s="557"/>
      <c r="CJ29" s="557"/>
      <c r="CK29" s="557"/>
      <c r="CL29" s="557"/>
      <c r="CM29" s="244">
        <f t="shared" si="0"/>
        <v>0</v>
      </c>
      <c r="CN29" s="557">
        <v>0</v>
      </c>
      <c r="CO29" s="557"/>
      <c r="CP29" s="557"/>
      <c r="CQ29" s="557"/>
      <c r="CR29" s="557"/>
      <c r="CS29" s="557"/>
      <c r="CT29" s="557"/>
      <c r="CU29" s="557"/>
      <c r="CV29" s="244">
        <f t="shared" si="21"/>
        <v>0</v>
      </c>
      <c r="CW29" s="557">
        <v>0</v>
      </c>
      <c r="CX29" s="557"/>
      <c r="CY29" s="557"/>
      <c r="CZ29" s="557"/>
      <c r="DA29" s="557"/>
      <c r="DB29" s="557"/>
      <c r="DC29" s="557"/>
      <c r="DD29" s="557"/>
      <c r="DE29" s="244">
        <f t="shared" si="22"/>
        <v>0</v>
      </c>
      <c r="DF29" s="557">
        <v>1</v>
      </c>
      <c r="DG29" s="557"/>
      <c r="DH29" s="557"/>
      <c r="DI29" s="557"/>
      <c r="DJ29" s="557"/>
      <c r="DK29" s="557"/>
      <c r="DL29" s="557"/>
      <c r="DM29" s="557"/>
      <c r="DN29" s="244">
        <f t="shared" si="23"/>
        <v>1</v>
      </c>
      <c r="DO29" s="245">
        <f t="shared" si="1"/>
        <v>1</v>
      </c>
      <c r="DP29" s="257"/>
    </row>
    <row r="30" spans="2:120" ht="165" customHeight="1">
      <c r="B30" s="559"/>
      <c r="C30" s="559"/>
      <c r="D30" s="562"/>
      <c r="E30" s="563"/>
      <c r="F30" s="559"/>
      <c r="G30" s="559"/>
      <c r="H30" s="559"/>
      <c r="I30" s="573"/>
      <c r="J30" s="247" t="s">
        <v>66</v>
      </c>
      <c r="K30" s="557">
        <v>0</v>
      </c>
      <c r="L30" s="557"/>
      <c r="M30" s="557"/>
      <c r="N30" s="557"/>
      <c r="O30" s="557"/>
      <c r="P30" s="557"/>
      <c r="Q30" s="557"/>
      <c r="R30" s="557"/>
      <c r="S30" s="243">
        <f t="shared" si="13"/>
        <v>0</v>
      </c>
      <c r="T30" s="557">
        <v>0</v>
      </c>
      <c r="U30" s="557"/>
      <c r="V30" s="557"/>
      <c r="W30" s="557"/>
      <c r="X30" s="557"/>
      <c r="Y30" s="557"/>
      <c r="Z30" s="557"/>
      <c r="AA30" s="557"/>
      <c r="AB30" s="243">
        <f t="shared" si="14"/>
        <v>0</v>
      </c>
      <c r="AC30" s="557">
        <v>0</v>
      </c>
      <c r="AD30" s="557"/>
      <c r="AE30" s="557"/>
      <c r="AF30" s="557"/>
      <c r="AG30" s="557"/>
      <c r="AH30" s="557"/>
      <c r="AI30" s="557"/>
      <c r="AJ30" s="557"/>
      <c r="AK30" s="243">
        <f t="shared" si="15"/>
        <v>0</v>
      </c>
      <c r="AL30" s="557">
        <v>0</v>
      </c>
      <c r="AM30" s="557"/>
      <c r="AN30" s="557"/>
      <c r="AO30" s="557"/>
      <c r="AP30" s="557"/>
      <c r="AQ30" s="557"/>
      <c r="AR30" s="557"/>
      <c r="AS30" s="557"/>
      <c r="AT30" s="243">
        <f t="shared" si="16"/>
        <v>0</v>
      </c>
      <c r="AU30" s="557">
        <v>0</v>
      </c>
      <c r="AV30" s="557"/>
      <c r="AW30" s="557"/>
      <c r="AX30" s="557"/>
      <c r="AY30" s="557"/>
      <c r="AZ30" s="557"/>
      <c r="BA30" s="557"/>
      <c r="BB30" s="557"/>
      <c r="BC30" s="244">
        <f t="shared" si="17"/>
        <v>0</v>
      </c>
      <c r="BD30" s="557">
        <v>0</v>
      </c>
      <c r="BE30" s="557"/>
      <c r="BF30" s="557"/>
      <c r="BG30" s="557"/>
      <c r="BH30" s="557"/>
      <c r="BI30" s="557"/>
      <c r="BJ30" s="557"/>
      <c r="BK30" s="557"/>
      <c r="BL30" s="244">
        <f t="shared" si="18"/>
        <v>0</v>
      </c>
      <c r="BM30" s="557">
        <v>0</v>
      </c>
      <c r="BN30" s="557"/>
      <c r="BO30" s="557"/>
      <c r="BP30" s="557"/>
      <c r="BQ30" s="557"/>
      <c r="BR30" s="557"/>
      <c r="BS30" s="557"/>
      <c r="BT30" s="557"/>
      <c r="BU30" s="243">
        <f t="shared" si="19"/>
        <v>0</v>
      </c>
      <c r="BV30" s="557">
        <v>0</v>
      </c>
      <c r="BW30" s="557"/>
      <c r="BX30" s="557"/>
      <c r="BY30" s="557"/>
      <c r="BZ30" s="557"/>
      <c r="CA30" s="557"/>
      <c r="CB30" s="557"/>
      <c r="CC30" s="557"/>
      <c r="CD30" s="244">
        <f t="shared" si="20"/>
        <v>0</v>
      </c>
      <c r="CE30" s="557">
        <v>0</v>
      </c>
      <c r="CF30" s="557"/>
      <c r="CG30" s="557"/>
      <c r="CH30" s="557"/>
      <c r="CI30" s="557"/>
      <c r="CJ30" s="557"/>
      <c r="CK30" s="557"/>
      <c r="CL30" s="557"/>
      <c r="CM30" s="244">
        <f t="shared" si="0"/>
        <v>0</v>
      </c>
      <c r="CN30" s="557">
        <v>0</v>
      </c>
      <c r="CO30" s="557"/>
      <c r="CP30" s="557"/>
      <c r="CQ30" s="557"/>
      <c r="CR30" s="557"/>
      <c r="CS30" s="557"/>
      <c r="CT30" s="557"/>
      <c r="CU30" s="557"/>
      <c r="CV30" s="244">
        <f t="shared" si="21"/>
        <v>0</v>
      </c>
      <c r="CW30" s="557">
        <v>0</v>
      </c>
      <c r="CX30" s="557"/>
      <c r="CY30" s="557"/>
      <c r="CZ30" s="557"/>
      <c r="DA30" s="557"/>
      <c r="DB30" s="557"/>
      <c r="DC30" s="557"/>
      <c r="DD30" s="557"/>
      <c r="DE30" s="244">
        <f t="shared" si="22"/>
        <v>0</v>
      </c>
      <c r="DF30" s="557">
        <v>1</v>
      </c>
      <c r="DG30" s="557"/>
      <c r="DH30" s="557"/>
      <c r="DI30" s="557"/>
      <c r="DJ30" s="557"/>
      <c r="DK30" s="557"/>
      <c r="DL30" s="557"/>
      <c r="DM30" s="557"/>
      <c r="DN30" s="244">
        <f t="shared" si="23"/>
        <v>1</v>
      </c>
      <c r="DO30" s="245">
        <f t="shared" si="1"/>
        <v>1</v>
      </c>
      <c r="DP30" s="257"/>
    </row>
    <row r="31" spans="2:120" ht="183.75" hidden="1" customHeight="1">
      <c r="B31" s="555" t="s">
        <v>173</v>
      </c>
      <c r="C31" s="558" t="s">
        <v>18</v>
      </c>
      <c r="D31" s="560" t="s">
        <v>174</v>
      </c>
      <c r="E31" s="561"/>
      <c r="F31" s="558" t="s">
        <v>11</v>
      </c>
      <c r="G31" s="558">
        <v>1</v>
      </c>
      <c r="H31" s="558" t="s">
        <v>193</v>
      </c>
      <c r="I31" s="565">
        <v>1</v>
      </c>
      <c r="J31" s="265" t="s">
        <v>65</v>
      </c>
      <c r="K31" s="557">
        <v>0</v>
      </c>
      <c r="L31" s="557"/>
      <c r="M31" s="557"/>
      <c r="N31" s="557"/>
      <c r="O31" s="557"/>
      <c r="P31" s="557"/>
      <c r="Q31" s="557"/>
      <c r="R31" s="557"/>
      <c r="S31" s="243">
        <f t="shared" si="13"/>
        <v>0</v>
      </c>
      <c r="T31" s="557">
        <v>0</v>
      </c>
      <c r="U31" s="557"/>
      <c r="V31" s="557"/>
      <c r="W31" s="557"/>
      <c r="X31" s="557"/>
      <c r="Y31" s="557"/>
      <c r="Z31" s="557"/>
      <c r="AA31" s="557"/>
      <c r="AB31" s="243">
        <f t="shared" si="14"/>
        <v>0</v>
      </c>
      <c r="AC31" s="557">
        <v>0</v>
      </c>
      <c r="AD31" s="557"/>
      <c r="AE31" s="557"/>
      <c r="AF31" s="557"/>
      <c r="AG31" s="557"/>
      <c r="AH31" s="557"/>
      <c r="AI31" s="557"/>
      <c r="AJ31" s="557"/>
      <c r="AK31" s="243">
        <f t="shared" si="15"/>
        <v>0</v>
      </c>
      <c r="AL31" s="557">
        <v>0</v>
      </c>
      <c r="AM31" s="557"/>
      <c r="AN31" s="557"/>
      <c r="AO31" s="557"/>
      <c r="AP31" s="557"/>
      <c r="AQ31" s="557"/>
      <c r="AR31" s="557"/>
      <c r="AS31" s="557"/>
      <c r="AT31" s="243">
        <f t="shared" si="16"/>
        <v>0</v>
      </c>
      <c r="AU31" s="557">
        <v>0</v>
      </c>
      <c r="AV31" s="557"/>
      <c r="AW31" s="557"/>
      <c r="AX31" s="557"/>
      <c r="AY31" s="557"/>
      <c r="AZ31" s="557"/>
      <c r="BA31" s="557"/>
      <c r="BB31" s="557"/>
      <c r="BC31" s="244">
        <f t="shared" si="17"/>
        <v>0</v>
      </c>
      <c r="BD31" s="557">
        <v>1</v>
      </c>
      <c r="BE31" s="557"/>
      <c r="BF31" s="557"/>
      <c r="BG31" s="557"/>
      <c r="BH31" s="557"/>
      <c r="BI31" s="557"/>
      <c r="BJ31" s="557"/>
      <c r="BK31" s="557"/>
      <c r="BL31" s="244">
        <f t="shared" si="18"/>
        <v>1</v>
      </c>
      <c r="BM31" s="557">
        <v>0</v>
      </c>
      <c r="BN31" s="557"/>
      <c r="BO31" s="557"/>
      <c r="BP31" s="557"/>
      <c r="BQ31" s="557"/>
      <c r="BR31" s="557"/>
      <c r="BS31" s="557"/>
      <c r="BT31" s="557"/>
      <c r="BU31" s="243">
        <f t="shared" si="19"/>
        <v>0</v>
      </c>
      <c r="BV31" s="557">
        <v>0</v>
      </c>
      <c r="BW31" s="557"/>
      <c r="BX31" s="557"/>
      <c r="BY31" s="557"/>
      <c r="BZ31" s="557"/>
      <c r="CA31" s="557"/>
      <c r="CB31" s="557"/>
      <c r="CC31" s="557"/>
      <c r="CD31" s="244">
        <f t="shared" si="20"/>
        <v>0</v>
      </c>
      <c r="CE31" s="557">
        <v>0</v>
      </c>
      <c r="CF31" s="557"/>
      <c r="CG31" s="557"/>
      <c r="CH31" s="557"/>
      <c r="CI31" s="557"/>
      <c r="CJ31" s="557"/>
      <c r="CK31" s="557"/>
      <c r="CL31" s="557"/>
      <c r="CM31" s="244">
        <f t="shared" si="0"/>
        <v>0</v>
      </c>
      <c r="CN31" s="557">
        <v>0</v>
      </c>
      <c r="CO31" s="557"/>
      <c r="CP31" s="557"/>
      <c r="CQ31" s="557"/>
      <c r="CR31" s="557"/>
      <c r="CS31" s="557"/>
      <c r="CT31" s="557"/>
      <c r="CU31" s="557"/>
      <c r="CV31" s="244">
        <f t="shared" si="21"/>
        <v>0</v>
      </c>
      <c r="CW31" s="557">
        <v>0</v>
      </c>
      <c r="CX31" s="557"/>
      <c r="CY31" s="557"/>
      <c r="CZ31" s="557"/>
      <c r="DA31" s="557"/>
      <c r="DB31" s="557"/>
      <c r="DC31" s="557"/>
      <c r="DD31" s="557"/>
      <c r="DE31" s="244">
        <f t="shared" si="22"/>
        <v>0</v>
      </c>
      <c r="DF31" s="557">
        <v>0</v>
      </c>
      <c r="DG31" s="557"/>
      <c r="DH31" s="557"/>
      <c r="DI31" s="557"/>
      <c r="DJ31" s="557"/>
      <c r="DK31" s="557"/>
      <c r="DL31" s="557"/>
      <c r="DM31" s="557"/>
      <c r="DN31" s="244">
        <f t="shared" si="23"/>
        <v>0</v>
      </c>
      <c r="DO31" s="245">
        <f t="shared" si="1"/>
        <v>1</v>
      </c>
      <c r="DP31" s="257"/>
    </row>
    <row r="32" spans="2:120" ht="150" customHeight="1">
      <c r="B32" s="555"/>
      <c r="C32" s="559"/>
      <c r="D32" s="562"/>
      <c r="E32" s="563"/>
      <c r="F32" s="559"/>
      <c r="G32" s="559"/>
      <c r="H32" s="559"/>
      <c r="I32" s="565"/>
      <c r="J32" s="247" t="s">
        <v>66</v>
      </c>
      <c r="K32" s="574">
        <v>0</v>
      </c>
      <c r="L32" s="574"/>
      <c r="M32" s="574"/>
      <c r="N32" s="574"/>
      <c r="O32" s="574"/>
      <c r="P32" s="574"/>
      <c r="Q32" s="574"/>
      <c r="R32" s="574"/>
      <c r="S32" s="266">
        <f t="shared" si="13"/>
        <v>0</v>
      </c>
      <c r="T32" s="574">
        <v>0</v>
      </c>
      <c r="U32" s="574"/>
      <c r="V32" s="574"/>
      <c r="W32" s="574"/>
      <c r="X32" s="574"/>
      <c r="Y32" s="574"/>
      <c r="Z32" s="574"/>
      <c r="AA32" s="574"/>
      <c r="AB32" s="266">
        <f t="shared" si="14"/>
        <v>0</v>
      </c>
      <c r="AC32" s="574">
        <v>0</v>
      </c>
      <c r="AD32" s="574"/>
      <c r="AE32" s="574"/>
      <c r="AF32" s="574"/>
      <c r="AG32" s="574"/>
      <c r="AH32" s="574"/>
      <c r="AI32" s="574"/>
      <c r="AJ32" s="574"/>
      <c r="AK32" s="266">
        <f t="shared" si="15"/>
        <v>0</v>
      </c>
      <c r="AL32" s="574">
        <v>0</v>
      </c>
      <c r="AM32" s="574"/>
      <c r="AN32" s="574"/>
      <c r="AO32" s="574"/>
      <c r="AP32" s="574"/>
      <c r="AQ32" s="574"/>
      <c r="AR32" s="574"/>
      <c r="AS32" s="574"/>
      <c r="AT32" s="266">
        <f t="shared" si="16"/>
        <v>0</v>
      </c>
      <c r="AU32" s="574">
        <v>0</v>
      </c>
      <c r="AV32" s="574"/>
      <c r="AW32" s="574"/>
      <c r="AX32" s="574"/>
      <c r="AY32" s="574"/>
      <c r="AZ32" s="574"/>
      <c r="BA32" s="574"/>
      <c r="BB32" s="574"/>
      <c r="BC32" s="267">
        <f t="shared" si="17"/>
        <v>0</v>
      </c>
      <c r="BD32" s="574">
        <v>0</v>
      </c>
      <c r="BE32" s="574"/>
      <c r="BF32" s="574"/>
      <c r="BG32" s="574"/>
      <c r="BH32" s="574"/>
      <c r="BI32" s="574"/>
      <c r="BJ32" s="574"/>
      <c r="BK32" s="574"/>
      <c r="BL32" s="267">
        <f t="shared" si="18"/>
        <v>0</v>
      </c>
      <c r="BM32" s="574">
        <v>0</v>
      </c>
      <c r="BN32" s="574"/>
      <c r="BO32" s="574"/>
      <c r="BP32" s="574"/>
      <c r="BQ32" s="574"/>
      <c r="BR32" s="574"/>
      <c r="BS32" s="574"/>
      <c r="BT32" s="574"/>
      <c r="BU32" s="266">
        <f t="shared" si="19"/>
        <v>0</v>
      </c>
      <c r="BV32" s="574">
        <v>0</v>
      </c>
      <c r="BW32" s="574"/>
      <c r="BX32" s="574"/>
      <c r="BY32" s="574"/>
      <c r="BZ32" s="574"/>
      <c r="CA32" s="574"/>
      <c r="CB32" s="574"/>
      <c r="CC32" s="574"/>
      <c r="CD32" s="267">
        <f t="shared" si="20"/>
        <v>0</v>
      </c>
      <c r="CE32" s="574">
        <v>0</v>
      </c>
      <c r="CF32" s="574"/>
      <c r="CG32" s="574"/>
      <c r="CH32" s="574"/>
      <c r="CI32" s="574"/>
      <c r="CJ32" s="574"/>
      <c r="CK32" s="574"/>
      <c r="CL32" s="574"/>
      <c r="CM32" s="244">
        <f t="shared" si="0"/>
        <v>0</v>
      </c>
      <c r="CN32" s="574">
        <v>0</v>
      </c>
      <c r="CO32" s="574"/>
      <c r="CP32" s="574"/>
      <c r="CQ32" s="574"/>
      <c r="CR32" s="574"/>
      <c r="CS32" s="574"/>
      <c r="CT32" s="574"/>
      <c r="CU32" s="574"/>
      <c r="CV32" s="267">
        <f t="shared" si="21"/>
        <v>0</v>
      </c>
      <c r="CW32" s="574">
        <v>0</v>
      </c>
      <c r="CX32" s="574"/>
      <c r="CY32" s="574"/>
      <c r="CZ32" s="574"/>
      <c r="DA32" s="574"/>
      <c r="DB32" s="574"/>
      <c r="DC32" s="574"/>
      <c r="DD32" s="574"/>
      <c r="DE32" s="267">
        <f t="shared" si="22"/>
        <v>0</v>
      </c>
      <c r="DF32" s="574">
        <v>1</v>
      </c>
      <c r="DG32" s="574"/>
      <c r="DH32" s="574"/>
      <c r="DI32" s="574"/>
      <c r="DJ32" s="574"/>
      <c r="DK32" s="574"/>
      <c r="DL32" s="574"/>
      <c r="DM32" s="574"/>
      <c r="DN32" s="267">
        <f t="shared" si="23"/>
        <v>1</v>
      </c>
      <c r="DO32" s="245">
        <f t="shared" si="1"/>
        <v>1</v>
      </c>
      <c r="DP32" s="257"/>
    </row>
    <row r="33" spans="2:119" ht="61.5">
      <c r="B33" s="575"/>
      <c r="C33" s="575"/>
      <c r="D33" s="576"/>
      <c r="E33" s="576"/>
      <c r="F33" s="268"/>
      <c r="G33" s="269"/>
      <c r="H33" s="269"/>
      <c r="I33" s="269"/>
      <c r="J33" s="270"/>
      <c r="S33" s="271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2"/>
      <c r="BC33" s="273"/>
      <c r="BD33" s="272"/>
      <c r="BE33" s="272"/>
      <c r="BF33" s="272"/>
      <c r="BG33" s="272"/>
      <c r="BH33" s="272"/>
      <c r="BI33" s="272"/>
      <c r="BJ33" s="272"/>
      <c r="BK33" s="272"/>
      <c r="BL33" s="272"/>
      <c r="BM33" s="272"/>
      <c r="BN33" s="272"/>
      <c r="BO33" s="272"/>
      <c r="BP33" s="272"/>
      <c r="BQ33" s="272"/>
      <c r="BR33" s="272"/>
      <c r="BS33" s="272"/>
      <c r="BT33" s="272"/>
      <c r="BU33" s="272"/>
      <c r="BV33" s="272"/>
      <c r="BW33" s="272"/>
      <c r="BX33" s="272"/>
      <c r="BY33" s="272"/>
      <c r="BZ33" s="272"/>
      <c r="CA33" s="272"/>
      <c r="CB33" s="272"/>
      <c r="CC33" s="272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</row>
    <row r="34" spans="2:119" ht="61.5">
      <c r="B34" s="274"/>
      <c r="C34" s="3"/>
      <c r="S34" s="271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3"/>
      <c r="BD34" s="272"/>
      <c r="BE34" s="272"/>
      <c r="BF34" s="272"/>
      <c r="BG34" s="272"/>
      <c r="BH34" s="272"/>
      <c r="BI34" s="272"/>
      <c r="BJ34" s="272"/>
      <c r="BK34" s="272"/>
      <c r="BL34" s="272"/>
      <c r="BM34" s="272"/>
      <c r="BN34" s="272"/>
      <c r="BO34" s="272"/>
      <c r="BP34" s="272"/>
      <c r="BQ34" s="272"/>
      <c r="BR34" s="272"/>
      <c r="BS34" s="272"/>
      <c r="BT34" s="272"/>
      <c r="BU34" s="272"/>
      <c r="BV34" s="272"/>
      <c r="BW34" s="272"/>
      <c r="BX34" s="272"/>
      <c r="BY34" s="272"/>
      <c r="BZ34" s="272"/>
      <c r="CA34" s="272"/>
      <c r="CB34" s="272"/>
      <c r="CC34" s="272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</row>
    <row r="35" spans="2:119">
      <c r="CD35" s="232"/>
      <c r="CE35" s="232"/>
      <c r="CF35" s="232"/>
      <c r="CG35" s="232"/>
      <c r="CH35" s="232"/>
      <c r="CI35" s="232"/>
      <c r="CJ35" s="232"/>
      <c r="CK35" s="232"/>
      <c r="CL35" s="232"/>
      <c r="CM35" s="232"/>
      <c r="CN35" s="232"/>
      <c r="CO35" s="232"/>
      <c r="CP35" s="232"/>
      <c r="CQ35" s="232"/>
      <c r="CR35" s="232"/>
      <c r="CS35" s="232"/>
      <c r="CT35" s="232"/>
      <c r="CU35" s="232"/>
      <c r="CV35" s="232"/>
      <c r="CW35" s="232"/>
      <c r="CX35" s="232"/>
      <c r="CY35" s="232"/>
      <c r="CZ35" s="232"/>
      <c r="DA35" s="232"/>
      <c r="DB35" s="232"/>
      <c r="DC35" s="232"/>
      <c r="DD35" s="232"/>
      <c r="DE35" s="232"/>
      <c r="DF35" s="232"/>
      <c r="DG35" s="232"/>
      <c r="DH35" s="232"/>
      <c r="DI35" s="232"/>
      <c r="DJ35" s="232"/>
      <c r="DK35" s="232"/>
      <c r="DL35" s="232"/>
      <c r="DM35" s="232"/>
      <c r="DN35" s="232"/>
      <c r="DO35" s="232"/>
    </row>
    <row r="36" spans="2:119">
      <c r="J36" s="275"/>
      <c r="CD36" s="232"/>
      <c r="CE36" s="232"/>
      <c r="CF36" s="232"/>
      <c r="CG36" s="232"/>
      <c r="CH36" s="232"/>
      <c r="CI36" s="232"/>
      <c r="CJ36" s="232"/>
      <c r="CK36" s="232"/>
      <c r="CL36" s="232"/>
      <c r="CM36" s="232"/>
      <c r="CN36" s="232"/>
      <c r="CO36" s="232"/>
      <c r="CP36" s="232"/>
      <c r="CQ36" s="232"/>
      <c r="CR36" s="232"/>
      <c r="CS36" s="232"/>
      <c r="CT36" s="232"/>
      <c r="CU36" s="232"/>
      <c r="CV36" s="232"/>
      <c r="CW36" s="232"/>
      <c r="CX36" s="232"/>
      <c r="CY36" s="232"/>
      <c r="CZ36" s="232"/>
      <c r="DA36" s="232"/>
      <c r="DB36" s="232"/>
      <c r="DC36" s="232"/>
      <c r="DD36" s="232"/>
      <c r="DE36" s="232"/>
      <c r="DF36" s="232"/>
      <c r="DG36" s="232"/>
      <c r="DH36" s="232"/>
      <c r="DI36" s="232"/>
      <c r="DJ36" s="232"/>
      <c r="DK36" s="232"/>
      <c r="DL36" s="232"/>
      <c r="DM36" s="232"/>
      <c r="DN36" s="232"/>
      <c r="DO36" s="232"/>
    </row>
    <row r="59" spans="2:10" ht="217.5" customHeight="1">
      <c r="B59" s="577" t="s">
        <v>70</v>
      </c>
      <c r="C59" s="578"/>
      <c r="D59" s="276"/>
      <c r="E59" s="276"/>
      <c r="F59" s="276"/>
      <c r="G59" s="579" t="s">
        <v>71</v>
      </c>
      <c r="H59" s="579"/>
      <c r="I59" s="579"/>
      <c r="J59" s="580"/>
    </row>
    <row r="60" spans="2:10" ht="33.75" customHeight="1">
      <c r="B60" s="276"/>
      <c r="C60" s="276"/>
      <c r="D60" s="276"/>
      <c r="E60" s="276"/>
      <c r="F60" s="276"/>
      <c r="G60" s="276"/>
      <c r="H60" s="276"/>
      <c r="I60" s="276"/>
      <c r="J60" s="276"/>
    </row>
    <row r="61" spans="2:10" ht="92.25">
      <c r="B61" s="276"/>
      <c r="C61" s="276"/>
      <c r="D61" s="276"/>
      <c r="E61" s="276"/>
      <c r="F61" s="276"/>
      <c r="G61" s="276"/>
      <c r="H61" s="276"/>
      <c r="I61" s="276"/>
      <c r="J61" s="276"/>
    </row>
    <row r="62" spans="2:10" ht="92.25">
      <c r="B62" s="276"/>
      <c r="C62" s="276"/>
      <c r="D62" s="276"/>
      <c r="E62" s="276"/>
      <c r="F62" s="276"/>
      <c r="G62" s="276"/>
      <c r="H62" s="276"/>
      <c r="I62" s="276"/>
      <c r="J62" s="276"/>
    </row>
  </sheetData>
  <mergeCells count="243">
    <mergeCell ref="CN32:CU32"/>
    <mergeCell ref="CW32:DD32"/>
    <mergeCell ref="DF32:DM32"/>
    <mergeCell ref="B33:C33"/>
    <mergeCell ref="D33:E33"/>
    <mergeCell ref="B59:C59"/>
    <mergeCell ref="G59:J59"/>
    <mergeCell ref="DF31:DM31"/>
    <mergeCell ref="K32:R32"/>
    <mergeCell ref="T32:AA32"/>
    <mergeCell ref="AC32:AJ32"/>
    <mergeCell ref="AL32:AS32"/>
    <mergeCell ref="AU32:BB32"/>
    <mergeCell ref="BD32:BK32"/>
    <mergeCell ref="BM32:BT32"/>
    <mergeCell ref="BV32:CC32"/>
    <mergeCell ref="CE32:CL32"/>
    <mergeCell ref="BD31:BK31"/>
    <mergeCell ref="BM31:BT31"/>
    <mergeCell ref="BV31:CC31"/>
    <mergeCell ref="CE31:CL31"/>
    <mergeCell ref="CN31:CU31"/>
    <mergeCell ref="CW31:DD31"/>
    <mergeCell ref="I31:I32"/>
    <mergeCell ref="K31:R31"/>
    <mergeCell ref="T31:AA31"/>
    <mergeCell ref="AC31:AJ31"/>
    <mergeCell ref="AL31:AS31"/>
    <mergeCell ref="AU31:BB31"/>
    <mergeCell ref="B31:B32"/>
    <mergeCell ref="C31:C32"/>
    <mergeCell ref="D31:E32"/>
    <mergeCell ref="F31:F32"/>
    <mergeCell ref="G31:G32"/>
    <mergeCell ref="H31:H32"/>
    <mergeCell ref="BV30:CC30"/>
    <mergeCell ref="CE30:CL30"/>
    <mergeCell ref="CN30:CU30"/>
    <mergeCell ref="CW30:DD30"/>
    <mergeCell ref="DF30:DM30"/>
    <mergeCell ref="K30:R30"/>
    <mergeCell ref="T30:AA30"/>
    <mergeCell ref="AC30:AJ30"/>
    <mergeCell ref="AL30:AS30"/>
    <mergeCell ref="AU30:BB30"/>
    <mergeCell ref="BD30:BK30"/>
    <mergeCell ref="CN28:CU28"/>
    <mergeCell ref="CW28:DD28"/>
    <mergeCell ref="DF28:DM28"/>
    <mergeCell ref="B29:B30"/>
    <mergeCell ref="C29:C30"/>
    <mergeCell ref="D29:E30"/>
    <mergeCell ref="F29:F30"/>
    <mergeCell ref="G29:G30"/>
    <mergeCell ref="H29:H30"/>
    <mergeCell ref="I29:I30"/>
    <mergeCell ref="I27:I28"/>
    <mergeCell ref="BM29:BT29"/>
    <mergeCell ref="BV29:CC29"/>
    <mergeCell ref="CE29:CL29"/>
    <mergeCell ref="CN29:CU29"/>
    <mergeCell ref="CW29:DD29"/>
    <mergeCell ref="DF29:DM29"/>
    <mergeCell ref="K29:R29"/>
    <mergeCell ref="T29:AA29"/>
    <mergeCell ref="AC29:AJ29"/>
    <mergeCell ref="AL29:AS29"/>
    <mergeCell ref="AU29:BB29"/>
    <mergeCell ref="BD29:BK29"/>
    <mergeCell ref="BM30:BT30"/>
    <mergeCell ref="BM27:BT27"/>
    <mergeCell ref="BV27:CC27"/>
    <mergeCell ref="CE27:CL27"/>
    <mergeCell ref="CN27:CU27"/>
    <mergeCell ref="CW27:DD27"/>
    <mergeCell ref="K27:R27"/>
    <mergeCell ref="T27:AA27"/>
    <mergeCell ref="AC27:AJ27"/>
    <mergeCell ref="AL27:AS27"/>
    <mergeCell ref="AU27:BB27"/>
    <mergeCell ref="DF25:DM25"/>
    <mergeCell ref="B27:B28"/>
    <mergeCell ref="C27:C28"/>
    <mergeCell ref="D27:E28"/>
    <mergeCell ref="F27:F28"/>
    <mergeCell ref="G27:G28"/>
    <mergeCell ref="H27:H28"/>
    <mergeCell ref="AC25:AJ25"/>
    <mergeCell ref="AL25:AS25"/>
    <mergeCell ref="AU25:BB25"/>
    <mergeCell ref="BD25:BK25"/>
    <mergeCell ref="BM25:BT25"/>
    <mergeCell ref="BV25:CC25"/>
    <mergeCell ref="DF27:DM27"/>
    <mergeCell ref="K28:R28"/>
    <mergeCell ref="T28:AA28"/>
    <mergeCell ref="AC28:AJ28"/>
    <mergeCell ref="AL28:AS28"/>
    <mergeCell ref="AU28:BB28"/>
    <mergeCell ref="BD28:BK28"/>
    <mergeCell ref="BM28:BT28"/>
    <mergeCell ref="BV28:CC28"/>
    <mergeCell ref="CE28:CL28"/>
    <mergeCell ref="BD27:BK27"/>
    <mergeCell ref="CN23:CU23"/>
    <mergeCell ref="CW23:DD23"/>
    <mergeCell ref="I23:I24"/>
    <mergeCell ref="K23:R23"/>
    <mergeCell ref="T23:AA23"/>
    <mergeCell ref="AC23:AJ23"/>
    <mergeCell ref="AL23:AS23"/>
    <mergeCell ref="AU23:BB23"/>
    <mergeCell ref="CE25:CL25"/>
    <mergeCell ref="CN25:CU25"/>
    <mergeCell ref="CW25:DD25"/>
    <mergeCell ref="B25:B26"/>
    <mergeCell ref="C25:C26"/>
    <mergeCell ref="D25:E26"/>
    <mergeCell ref="F25:F26"/>
    <mergeCell ref="G25:G26"/>
    <mergeCell ref="H25:H26"/>
    <mergeCell ref="I25:I26"/>
    <mergeCell ref="K25:R25"/>
    <mergeCell ref="T25:AA25"/>
    <mergeCell ref="AC19:AJ19"/>
    <mergeCell ref="AL19:AS19"/>
    <mergeCell ref="AU19:BB19"/>
    <mergeCell ref="CE21:CL21"/>
    <mergeCell ref="CN21:CU21"/>
    <mergeCell ref="CW21:DD21"/>
    <mergeCell ref="DF21:DM21"/>
    <mergeCell ref="B23:B24"/>
    <mergeCell ref="C23:C24"/>
    <mergeCell ref="D23:E24"/>
    <mergeCell ref="F23:F24"/>
    <mergeCell ref="G23:G24"/>
    <mergeCell ref="H23:H24"/>
    <mergeCell ref="AC21:AJ21"/>
    <mergeCell ref="AL21:AS21"/>
    <mergeCell ref="AU21:BB21"/>
    <mergeCell ref="BD21:BK21"/>
    <mergeCell ref="BM21:BT21"/>
    <mergeCell ref="BV21:CC21"/>
    <mergeCell ref="DF23:DM23"/>
    <mergeCell ref="BD23:BK23"/>
    <mergeCell ref="BM23:BT23"/>
    <mergeCell ref="BV23:CC23"/>
    <mergeCell ref="CE23:CL23"/>
    <mergeCell ref="B21:B22"/>
    <mergeCell ref="C21:C22"/>
    <mergeCell ref="D21:E22"/>
    <mergeCell ref="F21:F22"/>
    <mergeCell ref="G21:G22"/>
    <mergeCell ref="H21:H22"/>
    <mergeCell ref="I21:I22"/>
    <mergeCell ref="K21:R21"/>
    <mergeCell ref="T21:AA21"/>
    <mergeCell ref="CW17:DD17"/>
    <mergeCell ref="DF17:DM17"/>
    <mergeCell ref="B19:B20"/>
    <mergeCell ref="C19:C20"/>
    <mergeCell ref="D19:E20"/>
    <mergeCell ref="F19:F20"/>
    <mergeCell ref="G19:G20"/>
    <mergeCell ref="H19:H20"/>
    <mergeCell ref="AC17:AJ17"/>
    <mergeCell ref="AL17:AS17"/>
    <mergeCell ref="AU17:BB17"/>
    <mergeCell ref="BD17:BK17"/>
    <mergeCell ref="BM17:BT17"/>
    <mergeCell ref="BV17:CC17"/>
    <mergeCell ref="DF19:DM19"/>
    <mergeCell ref="BD19:BK19"/>
    <mergeCell ref="BM19:BT19"/>
    <mergeCell ref="BV19:CC19"/>
    <mergeCell ref="CE19:CL19"/>
    <mergeCell ref="CN19:CU19"/>
    <mergeCell ref="CW19:DD19"/>
    <mergeCell ref="I19:I20"/>
    <mergeCell ref="K19:R19"/>
    <mergeCell ref="T19:AA19"/>
    <mergeCell ref="DF15:DM15"/>
    <mergeCell ref="B17:B18"/>
    <mergeCell ref="C17:C18"/>
    <mergeCell ref="D17:E18"/>
    <mergeCell ref="F17:F18"/>
    <mergeCell ref="G17:G18"/>
    <mergeCell ref="H17:H18"/>
    <mergeCell ref="I17:I18"/>
    <mergeCell ref="K17:R17"/>
    <mergeCell ref="T17:AA17"/>
    <mergeCell ref="BD15:BK15"/>
    <mergeCell ref="BM15:BT15"/>
    <mergeCell ref="BV15:CC15"/>
    <mergeCell ref="CE15:CL15"/>
    <mergeCell ref="CN15:CU15"/>
    <mergeCell ref="CW15:DD15"/>
    <mergeCell ref="I15:I16"/>
    <mergeCell ref="K15:R15"/>
    <mergeCell ref="T15:AA15"/>
    <mergeCell ref="AC15:AJ15"/>
    <mergeCell ref="AL15:AS15"/>
    <mergeCell ref="AU15:BB15"/>
    <mergeCell ref="CE17:CL17"/>
    <mergeCell ref="CN17:CU17"/>
    <mergeCell ref="B15:B16"/>
    <mergeCell ref="C15:C16"/>
    <mergeCell ref="D15:E16"/>
    <mergeCell ref="F15:F16"/>
    <mergeCell ref="G15:G16"/>
    <mergeCell ref="H15:H16"/>
    <mergeCell ref="BD11:BL13"/>
    <mergeCell ref="BM11:BU13"/>
    <mergeCell ref="BV11:CD13"/>
    <mergeCell ref="I11:I14"/>
    <mergeCell ref="K11:S13"/>
    <mergeCell ref="T11:AB13"/>
    <mergeCell ref="AC11:AK13"/>
    <mergeCell ref="AL11:AT13"/>
    <mergeCell ref="AU11:BC13"/>
    <mergeCell ref="B2:DP3"/>
    <mergeCell ref="B4:E4"/>
    <mergeCell ref="B5:E5"/>
    <mergeCell ref="B6:E6"/>
    <mergeCell ref="B7:E7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H11:H14"/>
    <mergeCell ref="DF11:DN13"/>
    <mergeCell ref="DO11:DO14"/>
    <mergeCell ref="DP11:DP14"/>
    <mergeCell ref="J13:J14"/>
    <mergeCell ref="CE11:CM13"/>
    <mergeCell ref="CN11:CV13"/>
    <mergeCell ref="CW11:DE13"/>
  </mergeCells>
  <pageMargins left="0.70866141732283472" right="0.70866141732283472" top="0.74803149606299213" bottom="0.74803149606299213" header="0.31496062992125984" footer="0.31496062992125984"/>
  <pageSetup paperSize="5" scale="10" orientation="landscape" r:id="rId1"/>
  <headerFooter>
    <oddFooter>&amp;R&amp;10F-PEM-07-00 
DIF Guadalajara
Pág. &amp;P de &amp;N</oddFooter>
  </headerFooter>
  <rowBreaks count="1" manualBreakCount="1">
    <brk id="64" max="118" man="1"/>
  </rowBreaks>
  <colBreaks count="2" manualBreakCount="2">
    <brk id="73" max="63" man="1"/>
    <brk id="121" max="37" man="1"/>
  </colBreaks>
  <ignoredErrors>
    <ignoredError sqref="DN15:DO15 DN25:DO25 DO16:DO24 DN27:DO32 DO26" unlockedFormula="1"/>
    <ignoredError sqref="DN16:DN24 DN26" formula="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P72"/>
  <sheetViews>
    <sheetView topLeftCell="D22" zoomScale="18" zoomScaleNormal="18" zoomScaleSheetLayoutView="20" workbookViewId="0">
      <selection activeCell="H39" sqref="H39:H40"/>
    </sheetView>
  </sheetViews>
  <sheetFormatPr baseColWidth="10" defaultColWidth="10.85546875" defaultRowHeight="15"/>
  <cols>
    <col min="1" max="1" width="6.5703125" style="277" customWidth="1"/>
    <col min="2" max="2" width="163.5703125" style="278" customWidth="1"/>
    <col min="3" max="3" width="99.140625" style="278" customWidth="1"/>
    <col min="4" max="4" width="34.85546875" style="278" customWidth="1"/>
    <col min="5" max="5" width="36.7109375" style="278" customWidth="1"/>
    <col min="6" max="6" width="110.5703125" style="278" customWidth="1"/>
    <col min="7" max="7" width="61.85546875" style="278" customWidth="1"/>
    <col min="8" max="8" width="109.7109375" style="278" customWidth="1"/>
    <col min="9" max="9" width="44.7109375" style="278" customWidth="1"/>
    <col min="10" max="10" width="76.140625" style="278" customWidth="1"/>
    <col min="11" max="12" width="30.7109375" style="279" hidden="1" customWidth="1"/>
    <col min="13" max="18" width="30.7109375" style="280" hidden="1" customWidth="1"/>
    <col min="19" max="19" width="45.7109375" style="280" hidden="1" customWidth="1"/>
    <col min="20" max="27" width="30.7109375" style="277" hidden="1" customWidth="1"/>
    <col min="28" max="28" width="54.28515625" style="277" hidden="1" customWidth="1"/>
    <col min="29" max="36" width="30.7109375" style="277" hidden="1" customWidth="1"/>
    <col min="37" max="37" width="45.7109375" style="277" hidden="1" customWidth="1"/>
    <col min="38" max="45" width="30.7109375" style="277" hidden="1" customWidth="1"/>
    <col min="46" max="46" width="58.5703125" style="277" hidden="1" customWidth="1"/>
    <col min="47" max="54" width="30.7109375" style="277" hidden="1" customWidth="1"/>
    <col min="55" max="55" width="48.5703125" style="277" hidden="1" customWidth="1"/>
    <col min="56" max="63" width="30.7109375" style="277" hidden="1" customWidth="1"/>
    <col min="64" max="64" width="45" style="277" hidden="1" customWidth="1"/>
    <col min="65" max="72" width="30.7109375" style="277" hidden="1" customWidth="1"/>
    <col min="73" max="73" width="42.85546875" style="277" hidden="1" customWidth="1"/>
    <col min="74" max="81" width="30.7109375" style="277" hidden="1" customWidth="1"/>
    <col min="82" max="82" width="55" style="277" hidden="1" customWidth="1"/>
    <col min="83" max="90" width="30.7109375" style="277" hidden="1" customWidth="1"/>
    <col min="91" max="91" width="52" style="277" hidden="1" customWidth="1"/>
    <col min="92" max="99" width="30.7109375" style="277" hidden="1" customWidth="1"/>
    <col min="100" max="100" width="43.5703125" style="277" hidden="1" customWidth="1"/>
    <col min="101" max="108" width="30.7109375" style="277" hidden="1" customWidth="1"/>
    <col min="109" max="109" width="48.5703125" style="277" hidden="1" customWidth="1"/>
    <col min="110" max="117" width="30.7109375" style="277" customWidth="1"/>
    <col min="118" max="118" width="45" style="277" customWidth="1"/>
    <col min="119" max="119" width="55.7109375" style="277" customWidth="1"/>
    <col min="120" max="120" width="179" style="277" customWidth="1"/>
    <col min="121" max="256" width="10.85546875" style="277"/>
    <col min="257" max="257" width="6.5703125" style="277" customWidth="1"/>
    <col min="258" max="258" width="125.42578125" style="277" customWidth="1"/>
    <col min="259" max="259" width="99.140625" style="277" customWidth="1"/>
    <col min="260" max="260" width="34.85546875" style="277" customWidth="1"/>
    <col min="261" max="261" width="36.7109375" style="277" customWidth="1"/>
    <col min="262" max="262" width="69.5703125" style="277" customWidth="1"/>
    <col min="263" max="263" width="61.85546875" style="277" customWidth="1"/>
    <col min="264" max="264" width="69.7109375" style="277" customWidth="1"/>
    <col min="265" max="265" width="44.7109375" style="277" customWidth="1"/>
    <col min="266" max="266" width="65.7109375" style="277" customWidth="1"/>
    <col min="267" max="356" width="0" style="277" hidden="1" customWidth="1"/>
    <col min="357" max="364" width="30.7109375" style="277" customWidth="1"/>
    <col min="365" max="365" width="48.5703125" style="277" customWidth="1"/>
    <col min="366" max="374" width="0" style="277" hidden="1" customWidth="1"/>
    <col min="375" max="375" width="55.7109375" style="277" customWidth="1"/>
    <col min="376" max="376" width="163.28515625" style="277" customWidth="1"/>
    <col min="377" max="512" width="10.85546875" style="277"/>
    <col min="513" max="513" width="6.5703125" style="277" customWidth="1"/>
    <col min="514" max="514" width="125.42578125" style="277" customWidth="1"/>
    <col min="515" max="515" width="99.140625" style="277" customWidth="1"/>
    <col min="516" max="516" width="34.85546875" style="277" customWidth="1"/>
    <col min="517" max="517" width="36.7109375" style="277" customWidth="1"/>
    <col min="518" max="518" width="69.5703125" style="277" customWidth="1"/>
    <col min="519" max="519" width="61.85546875" style="277" customWidth="1"/>
    <col min="520" max="520" width="69.7109375" style="277" customWidth="1"/>
    <col min="521" max="521" width="44.7109375" style="277" customWidth="1"/>
    <col min="522" max="522" width="65.7109375" style="277" customWidth="1"/>
    <col min="523" max="612" width="0" style="277" hidden="1" customWidth="1"/>
    <col min="613" max="620" width="30.7109375" style="277" customWidth="1"/>
    <col min="621" max="621" width="48.5703125" style="277" customWidth="1"/>
    <col min="622" max="630" width="0" style="277" hidden="1" customWidth="1"/>
    <col min="631" max="631" width="55.7109375" style="277" customWidth="1"/>
    <col min="632" max="632" width="163.28515625" style="277" customWidth="1"/>
    <col min="633" max="768" width="10.85546875" style="277"/>
    <col min="769" max="769" width="6.5703125" style="277" customWidth="1"/>
    <col min="770" max="770" width="125.42578125" style="277" customWidth="1"/>
    <col min="771" max="771" width="99.140625" style="277" customWidth="1"/>
    <col min="772" max="772" width="34.85546875" style="277" customWidth="1"/>
    <col min="773" max="773" width="36.7109375" style="277" customWidth="1"/>
    <col min="774" max="774" width="69.5703125" style="277" customWidth="1"/>
    <col min="775" max="775" width="61.85546875" style="277" customWidth="1"/>
    <col min="776" max="776" width="69.7109375" style="277" customWidth="1"/>
    <col min="777" max="777" width="44.7109375" style="277" customWidth="1"/>
    <col min="778" max="778" width="65.7109375" style="277" customWidth="1"/>
    <col min="779" max="868" width="0" style="277" hidden="1" customWidth="1"/>
    <col min="869" max="876" width="30.7109375" style="277" customWidth="1"/>
    <col min="877" max="877" width="48.5703125" style="277" customWidth="1"/>
    <col min="878" max="886" width="0" style="277" hidden="1" customWidth="1"/>
    <col min="887" max="887" width="55.7109375" style="277" customWidth="1"/>
    <col min="888" max="888" width="163.28515625" style="277" customWidth="1"/>
    <col min="889" max="1024" width="10.85546875" style="277"/>
    <col min="1025" max="1025" width="6.5703125" style="277" customWidth="1"/>
    <col min="1026" max="1026" width="125.42578125" style="277" customWidth="1"/>
    <col min="1027" max="1027" width="99.140625" style="277" customWidth="1"/>
    <col min="1028" max="1028" width="34.85546875" style="277" customWidth="1"/>
    <col min="1029" max="1029" width="36.7109375" style="277" customWidth="1"/>
    <col min="1030" max="1030" width="69.5703125" style="277" customWidth="1"/>
    <col min="1031" max="1031" width="61.85546875" style="277" customWidth="1"/>
    <col min="1032" max="1032" width="69.7109375" style="277" customWidth="1"/>
    <col min="1033" max="1033" width="44.7109375" style="277" customWidth="1"/>
    <col min="1034" max="1034" width="65.7109375" style="277" customWidth="1"/>
    <col min="1035" max="1124" width="0" style="277" hidden="1" customWidth="1"/>
    <col min="1125" max="1132" width="30.7109375" style="277" customWidth="1"/>
    <col min="1133" max="1133" width="48.5703125" style="277" customWidth="1"/>
    <col min="1134" max="1142" width="0" style="277" hidden="1" customWidth="1"/>
    <col min="1143" max="1143" width="55.7109375" style="277" customWidth="1"/>
    <col min="1144" max="1144" width="163.28515625" style="277" customWidth="1"/>
    <col min="1145" max="1280" width="10.85546875" style="277"/>
    <col min="1281" max="1281" width="6.5703125" style="277" customWidth="1"/>
    <col min="1282" max="1282" width="125.42578125" style="277" customWidth="1"/>
    <col min="1283" max="1283" width="99.140625" style="277" customWidth="1"/>
    <col min="1284" max="1284" width="34.85546875" style="277" customWidth="1"/>
    <col min="1285" max="1285" width="36.7109375" style="277" customWidth="1"/>
    <col min="1286" max="1286" width="69.5703125" style="277" customWidth="1"/>
    <col min="1287" max="1287" width="61.85546875" style="277" customWidth="1"/>
    <col min="1288" max="1288" width="69.7109375" style="277" customWidth="1"/>
    <col min="1289" max="1289" width="44.7109375" style="277" customWidth="1"/>
    <col min="1290" max="1290" width="65.7109375" style="277" customWidth="1"/>
    <col min="1291" max="1380" width="0" style="277" hidden="1" customWidth="1"/>
    <col min="1381" max="1388" width="30.7109375" style="277" customWidth="1"/>
    <col min="1389" max="1389" width="48.5703125" style="277" customWidth="1"/>
    <col min="1390" max="1398" width="0" style="277" hidden="1" customWidth="1"/>
    <col min="1399" max="1399" width="55.7109375" style="277" customWidth="1"/>
    <col min="1400" max="1400" width="163.28515625" style="277" customWidth="1"/>
    <col min="1401" max="1536" width="10.85546875" style="277"/>
    <col min="1537" max="1537" width="6.5703125" style="277" customWidth="1"/>
    <col min="1538" max="1538" width="125.42578125" style="277" customWidth="1"/>
    <col min="1539" max="1539" width="99.140625" style="277" customWidth="1"/>
    <col min="1540" max="1540" width="34.85546875" style="277" customWidth="1"/>
    <col min="1541" max="1541" width="36.7109375" style="277" customWidth="1"/>
    <col min="1542" max="1542" width="69.5703125" style="277" customWidth="1"/>
    <col min="1543" max="1543" width="61.85546875" style="277" customWidth="1"/>
    <col min="1544" max="1544" width="69.7109375" style="277" customWidth="1"/>
    <col min="1545" max="1545" width="44.7109375" style="277" customWidth="1"/>
    <col min="1546" max="1546" width="65.7109375" style="277" customWidth="1"/>
    <col min="1547" max="1636" width="0" style="277" hidden="1" customWidth="1"/>
    <col min="1637" max="1644" width="30.7109375" style="277" customWidth="1"/>
    <col min="1645" max="1645" width="48.5703125" style="277" customWidth="1"/>
    <col min="1646" max="1654" width="0" style="277" hidden="1" customWidth="1"/>
    <col min="1655" max="1655" width="55.7109375" style="277" customWidth="1"/>
    <col min="1656" max="1656" width="163.28515625" style="277" customWidth="1"/>
    <col min="1657" max="1792" width="10.85546875" style="277"/>
    <col min="1793" max="1793" width="6.5703125" style="277" customWidth="1"/>
    <col min="1794" max="1794" width="125.42578125" style="277" customWidth="1"/>
    <col min="1795" max="1795" width="99.140625" style="277" customWidth="1"/>
    <col min="1796" max="1796" width="34.85546875" style="277" customWidth="1"/>
    <col min="1797" max="1797" width="36.7109375" style="277" customWidth="1"/>
    <col min="1798" max="1798" width="69.5703125" style="277" customWidth="1"/>
    <col min="1799" max="1799" width="61.85546875" style="277" customWidth="1"/>
    <col min="1800" max="1800" width="69.7109375" style="277" customWidth="1"/>
    <col min="1801" max="1801" width="44.7109375" style="277" customWidth="1"/>
    <col min="1802" max="1802" width="65.7109375" style="277" customWidth="1"/>
    <col min="1803" max="1892" width="0" style="277" hidden="1" customWidth="1"/>
    <col min="1893" max="1900" width="30.7109375" style="277" customWidth="1"/>
    <col min="1901" max="1901" width="48.5703125" style="277" customWidth="1"/>
    <col min="1902" max="1910" width="0" style="277" hidden="1" customWidth="1"/>
    <col min="1911" max="1911" width="55.7109375" style="277" customWidth="1"/>
    <col min="1912" max="1912" width="163.28515625" style="277" customWidth="1"/>
    <col min="1913" max="2048" width="10.85546875" style="277"/>
    <col min="2049" max="2049" width="6.5703125" style="277" customWidth="1"/>
    <col min="2050" max="2050" width="125.42578125" style="277" customWidth="1"/>
    <col min="2051" max="2051" width="99.140625" style="277" customWidth="1"/>
    <col min="2052" max="2052" width="34.85546875" style="277" customWidth="1"/>
    <col min="2053" max="2053" width="36.7109375" style="277" customWidth="1"/>
    <col min="2054" max="2054" width="69.5703125" style="277" customWidth="1"/>
    <col min="2055" max="2055" width="61.85546875" style="277" customWidth="1"/>
    <col min="2056" max="2056" width="69.7109375" style="277" customWidth="1"/>
    <col min="2057" max="2057" width="44.7109375" style="277" customWidth="1"/>
    <col min="2058" max="2058" width="65.7109375" style="277" customWidth="1"/>
    <col min="2059" max="2148" width="0" style="277" hidden="1" customWidth="1"/>
    <col min="2149" max="2156" width="30.7109375" style="277" customWidth="1"/>
    <col min="2157" max="2157" width="48.5703125" style="277" customWidth="1"/>
    <col min="2158" max="2166" width="0" style="277" hidden="1" customWidth="1"/>
    <col min="2167" max="2167" width="55.7109375" style="277" customWidth="1"/>
    <col min="2168" max="2168" width="163.28515625" style="277" customWidth="1"/>
    <col min="2169" max="2304" width="10.85546875" style="277"/>
    <col min="2305" max="2305" width="6.5703125" style="277" customWidth="1"/>
    <col min="2306" max="2306" width="125.42578125" style="277" customWidth="1"/>
    <col min="2307" max="2307" width="99.140625" style="277" customWidth="1"/>
    <col min="2308" max="2308" width="34.85546875" style="277" customWidth="1"/>
    <col min="2309" max="2309" width="36.7109375" style="277" customWidth="1"/>
    <col min="2310" max="2310" width="69.5703125" style="277" customWidth="1"/>
    <col min="2311" max="2311" width="61.85546875" style="277" customWidth="1"/>
    <col min="2312" max="2312" width="69.7109375" style="277" customWidth="1"/>
    <col min="2313" max="2313" width="44.7109375" style="277" customWidth="1"/>
    <col min="2314" max="2314" width="65.7109375" style="277" customWidth="1"/>
    <col min="2315" max="2404" width="0" style="277" hidden="1" customWidth="1"/>
    <col min="2405" max="2412" width="30.7109375" style="277" customWidth="1"/>
    <col min="2413" max="2413" width="48.5703125" style="277" customWidth="1"/>
    <col min="2414" max="2422" width="0" style="277" hidden="1" customWidth="1"/>
    <col min="2423" max="2423" width="55.7109375" style="277" customWidth="1"/>
    <col min="2424" max="2424" width="163.28515625" style="277" customWidth="1"/>
    <col min="2425" max="2560" width="10.85546875" style="277"/>
    <col min="2561" max="2561" width="6.5703125" style="277" customWidth="1"/>
    <col min="2562" max="2562" width="125.42578125" style="277" customWidth="1"/>
    <col min="2563" max="2563" width="99.140625" style="277" customWidth="1"/>
    <col min="2564" max="2564" width="34.85546875" style="277" customWidth="1"/>
    <col min="2565" max="2565" width="36.7109375" style="277" customWidth="1"/>
    <col min="2566" max="2566" width="69.5703125" style="277" customWidth="1"/>
    <col min="2567" max="2567" width="61.85546875" style="277" customWidth="1"/>
    <col min="2568" max="2568" width="69.7109375" style="277" customWidth="1"/>
    <col min="2569" max="2569" width="44.7109375" style="277" customWidth="1"/>
    <col min="2570" max="2570" width="65.7109375" style="277" customWidth="1"/>
    <col min="2571" max="2660" width="0" style="277" hidden="1" customWidth="1"/>
    <col min="2661" max="2668" width="30.7109375" style="277" customWidth="1"/>
    <col min="2669" max="2669" width="48.5703125" style="277" customWidth="1"/>
    <col min="2670" max="2678" width="0" style="277" hidden="1" customWidth="1"/>
    <col min="2679" max="2679" width="55.7109375" style="277" customWidth="1"/>
    <col min="2680" max="2680" width="163.28515625" style="277" customWidth="1"/>
    <col min="2681" max="2816" width="10.85546875" style="277"/>
    <col min="2817" max="2817" width="6.5703125" style="277" customWidth="1"/>
    <col min="2818" max="2818" width="125.42578125" style="277" customWidth="1"/>
    <col min="2819" max="2819" width="99.140625" style="277" customWidth="1"/>
    <col min="2820" max="2820" width="34.85546875" style="277" customWidth="1"/>
    <col min="2821" max="2821" width="36.7109375" style="277" customWidth="1"/>
    <col min="2822" max="2822" width="69.5703125" style="277" customWidth="1"/>
    <col min="2823" max="2823" width="61.85546875" style="277" customWidth="1"/>
    <col min="2824" max="2824" width="69.7109375" style="277" customWidth="1"/>
    <col min="2825" max="2825" width="44.7109375" style="277" customWidth="1"/>
    <col min="2826" max="2826" width="65.7109375" style="277" customWidth="1"/>
    <col min="2827" max="2916" width="0" style="277" hidden="1" customWidth="1"/>
    <col min="2917" max="2924" width="30.7109375" style="277" customWidth="1"/>
    <col min="2925" max="2925" width="48.5703125" style="277" customWidth="1"/>
    <col min="2926" max="2934" width="0" style="277" hidden="1" customWidth="1"/>
    <col min="2935" max="2935" width="55.7109375" style="277" customWidth="1"/>
    <col min="2936" max="2936" width="163.28515625" style="277" customWidth="1"/>
    <col min="2937" max="3072" width="10.85546875" style="277"/>
    <col min="3073" max="3073" width="6.5703125" style="277" customWidth="1"/>
    <col min="3074" max="3074" width="125.42578125" style="277" customWidth="1"/>
    <col min="3075" max="3075" width="99.140625" style="277" customWidth="1"/>
    <col min="3076" max="3076" width="34.85546875" style="277" customWidth="1"/>
    <col min="3077" max="3077" width="36.7109375" style="277" customWidth="1"/>
    <col min="3078" max="3078" width="69.5703125" style="277" customWidth="1"/>
    <col min="3079" max="3079" width="61.85546875" style="277" customWidth="1"/>
    <col min="3080" max="3080" width="69.7109375" style="277" customWidth="1"/>
    <col min="3081" max="3081" width="44.7109375" style="277" customWidth="1"/>
    <col min="3082" max="3082" width="65.7109375" style="277" customWidth="1"/>
    <col min="3083" max="3172" width="0" style="277" hidden="1" customWidth="1"/>
    <col min="3173" max="3180" width="30.7109375" style="277" customWidth="1"/>
    <col min="3181" max="3181" width="48.5703125" style="277" customWidth="1"/>
    <col min="3182" max="3190" width="0" style="277" hidden="1" customWidth="1"/>
    <col min="3191" max="3191" width="55.7109375" style="277" customWidth="1"/>
    <col min="3192" max="3192" width="163.28515625" style="277" customWidth="1"/>
    <col min="3193" max="3328" width="10.85546875" style="277"/>
    <col min="3329" max="3329" width="6.5703125" style="277" customWidth="1"/>
    <col min="3330" max="3330" width="125.42578125" style="277" customWidth="1"/>
    <col min="3331" max="3331" width="99.140625" style="277" customWidth="1"/>
    <col min="3332" max="3332" width="34.85546875" style="277" customWidth="1"/>
    <col min="3333" max="3333" width="36.7109375" style="277" customWidth="1"/>
    <col min="3334" max="3334" width="69.5703125" style="277" customWidth="1"/>
    <col min="3335" max="3335" width="61.85546875" style="277" customWidth="1"/>
    <col min="3336" max="3336" width="69.7109375" style="277" customWidth="1"/>
    <col min="3337" max="3337" width="44.7109375" style="277" customWidth="1"/>
    <col min="3338" max="3338" width="65.7109375" style="277" customWidth="1"/>
    <col min="3339" max="3428" width="0" style="277" hidden="1" customWidth="1"/>
    <col min="3429" max="3436" width="30.7109375" style="277" customWidth="1"/>
    <col min="3437" max="3437" width="48.5703125" style="277" customWidth="1"/>
    <col min="3438" max="3446" width="0" style="277" hidden="1" customWidth="1"/>
    <col min="3447" max="3447" width="55.7109375" style="277" customWidth="1"/>
    <col min="3448" max="3448" width="163.28515625" style="277" customWidth="1"/>
    <col min="3449" max="3584" width="10.85546875" style="277"/>
    <col min="3585" max="3585" width="6.5703125" style="277" customWidth="1"/>
    <col min="3586" max="3586" width="125.42578125" style="277" customWidth="1"/>
    <col min="3587" max="3587" width="99.140625" style="277" customWidth="1"/>
    <col min="3588" max="3588" width="34.85546875" style="277" customWidth="1"/>
    <col min="3589" max="3589" width="36.7109375" style="277" customWidth="1"/>
    <col min="3590" max="3590" width="69.5703125" style="277" customWidth="1"/>
    <col min="3591" max="3591" width="61.85546875" style="277" customWidth="1"/>
    <col min="3592" max="3592" width="69.7109375" style="277" customWidth="1"/>
    <col min="3593" max="3593" width="44.7109375" style="277" customWidth="1"/>
    <col min="3594" max="3594" width="65.7109375" style="277" customWidth="1"/>
    <col min="3595" max="3684" width="0" style="277" hidden="1" customWidth="1"/>
    <col min="3685" max="3692" width="30.7109375" style="277" customWidth="1"/>
    <col min="3693" max="3693" width="48.5703125" style="277" customWidth="1"/>
    <col min="3694" max="3702" width="0" style="277" hidden="1" customWidth="1"/>
    <col min="3703" max="3703" width="55.7109375" style="277" customWidth="1"/>
    <col min="3704" max="3704" width="163.28515625" style="277" customWidth="1"/>
    <col min="3705" max="3840" width="10.85546875" style="277"/>
    <col min="3841" max="3841" width="6.5703125" style="277" customWidth="1"/>
    <col min="3842" max="3842" width="125.42578125" style="277" customWidth="1"/>
    <col min="3843" max="3843" width="99.140625" style="277" customWidth="1"/>
    <col min="3844" max="3844" width="34.85546875" style="277" customWidth="1"/>
    <col min="3845" max="3845" width="36.7109375" style="277" customWidth="1"/>
    <col min="3846" max="3846" width="69.5703125" style="277" customWidth="1"/>
    <col min="3847" max="3847" width="61.85546875" style="277" customWidth="1"/>
    <col min="3848" max="3848" width="69.7109375" style="277" customWidth="1"/>
    <col min="3849" max="3849" width="44.7109375" style="277" customWidth="1"/>
    <col min="3850" max="3850" width="65.7109375" style="277" customWidth="1"/>
    <col min="3851" max="3940" width="0" style="277" hidden="1" customWidth="1"/>
    <col min="3941" max="3948" width="30.7109375" style="277" customWidth="1"/>
    <col min="3949" max="3949" width="48.5703125" style="277" customWidth="1"/>
    <col min="3950" max="3958" width="0" style="277" hidden="1" customWidth="1"/>
    <col min="3959" max="3959" width="55.7109375" style="277" customWidth="1"/>
    <col min="3960" max="3960" width="163.28515625" style="277" customWidth="1"/>
    <col min="3961" max="4096" width="10.85546875" style="277"/>
    <col min="4097" max="4097" width="6.5703125" style="277" customWidth="1"/>
    <col min="4098" max="4098" width="125.42578125" style="277" customWidth="1"/>
    <col min="4099" max="4099" width="99.140625" style="277" customWidth="1"/>
    <col min="4100" max="4100" width="34.85546875" style="277" customWidth="1"/>
    <col min="4101" max="4101" width="36.7109375" style="277" customWidth="1"/>
    <col min="4102" max="4102" width="69.5703125" style="277" customWidth="1"/>
    <col min="4103" max="4103" width="61.85546875" style="277" customWidth="1"/>
    <col min="4104" max="4104" width="69.7109375" style="277" customWidth="1"/>
    <col min="4105" max="4105" width="44.7109375" style="277" customWidth="1"/>
    <col min="4106" max="4106" width="65.7109375" style="277" customWidth="1"/>
    <col min="4107" max="4196" width="0" style="277" hidden="1" customWidth="1"/>
    <col min="4197" max="4204" width="30.7109375" style="277" customWidth="1"/>
    <col min="4205" max="4205" width="48.5703125" style="277" customWidth="1"/>
    <col min="4206" max="4214" width="0" style="277" hidden="1" customWidth="1"/>
    <col min="4215" max="4215" width="55.7109375" style="277" customWidth="1"/>
    <col min="4216" max="4216" width="163.28515625" style="277" customWidth="1"/>
    <col min="4217" max="4352" width="10.85546875" style="277"/>
    <col min="4353" max="4353" width="6.5703125" style="277" customWidth="1"/>
    <col min="4354" max="4354" width="125.42578125" style="277" customWidth="1"/>
    <col min="4355" max="4355" width="99.140625" style="277" customWidth="1"/>
    <col min="4356" max="4356" width="34.85546875" style="277" customWidth="1"/>
    <col min="4357" max="4357" width="36.7109375" style="277" customWidth="1"/>
    <col min="4358" max="4358" width="69.5703125" style="277" customWidth="1"/>
    <col min="4359" max="4359" width="61.85546875" style="277" customWidth="1"/>
    <col min="4360" max="4360" width="69.7109375" style="277" customWidth="1"/>
    <col min="4361" max="4361" width="44.7109375" style="277" customWidth="1"/>
    <col min="4362" max="4362" width="65.7109375" style="277" customWidth="1"/>
    <col min="4363" max="4452" width="0" style="277" hidden="1" customWidth="1"/>
    <col min="4453" max="4460" width="30.7109375" style="277" customWidth="1"/>
    <col min="4461" max="4461" width="48.5703125" style="277" customWidth="1"/>
    <col min="4462" max="4470" width="0" style="277" hidden="1" customWidth="1"/>
    <col min="4471" max="4471" width="55.7109375" style="277" customWidth="1"/>
    <col min="4472" max="4472" width="163.28515625" style="277" customWidth="1"/>
    <col min="4473" max="4608" width="10.85546875" style="277"/>
    <col min="4609" max="4609" width="6.5703125" style="277" customWidth="1"/>
    <col min="4610" max="4610" width="125.42578125" style="277" customWidth="1"/>
    <col min="4611" max="4611" width="99.140625" style="277" customWidth="1"/>
    <col min="4612" max="4612" width="34.85546875" style="277" customWidth="1"/>
    <col min="4613" max="4613" width="36.7109375" style="277" customWidth="1"/>
    <col min="4614" max="4614" width="69.5703125" style="277" customWidth="1"/>
    <col min="4615" max="4615" width="61.85546875" style="277" customWidth="1"/>
    <col min="4616" max="4616" width="69.7109375" style="277" customWidth="1"/>
    <col min="4617" max="4617" width="44.7109375" style="277" customWidth="1"/>
    <col min="4618" max="4618" width="65.7109375" style="277" customWidth="1"/>
    <col min="4619" max="4708" width="0" style="277" hidden="1" customWidth="1"/>
    <col min="4709" max="4716" width="30.7109375" style="277" customWidth="1"/>
    <col min="4717" max="4717" width="48.5703125" style="277" customWidth="1"/>
    <col min="4718" max="4726" width="0" style="277" hidden="1" customWidth="1"/>
    <col min="4727" max="4727" width="55.7109375" style="277" customWidth="1"/>
    <col min="4728" max="4728" width="163.28515625" style="277" customWidth="1"/>
    <col min="4729" max="4864" width="10.85546875" style="277"/>
    <col min="4865" max="4865" width="6.5703125" style="277" customWidth="1"/>
    <col min="4866" max="4866" width="125.42578125" style="277" customWidth="1"/>
    <col min="4867" max="4867" width="99.140625" style="277" customWidth="1"/>
    <col min="4868" max="4868" width="34.85546875" style="277" customWidth="1"/>
    <col min="4869" max="4869" width="36.7109375" style="277" customWidth="1"/>
    <col min="4870" max="4870" width="69.5703125" style="277" customWidth="1"/>
    <col min="4871" max="4871" width="61.85546875" style="277" customWidth="1"/>
    <col min="4872" max="4872" width="69.7109375" style="277" customWidth="1"/>
    <col min="4873" max="4873" width="44.7109375" style="277" customWidth="1"/>
    <col min="4874" max="4874" width="65.7109375" style="277" customWidth="1"/>
    <col min="4875" max="4964" width="0" style="277" hidden="1" customWidth="1"/>
    <col min="4965" max="4972" width="30.7109375" style="277" customWidth="1"/>
    <col min="4973" max="4973" width="48.5703125" style="277" customWidth="1"/>
    <col min="4974" max="4982" width="0" style="277" hidden="1" customWidth="1"/>
    <col min="4983" max="4983" width="55.7109375" style="277" customWidth="1"/>
    <col min="4984" max="4984" width="163.28515625" style="277" customWidth="1"/>
    <col min="4985" max="5120" width="10.85546875" style="277"/>
    <col min="5121" max="5121" width="6.5703125" style="277" customWidth="1"/>
    <col min="5122" max="5122" width="125.42578125" style="277" customWidth="1"/>
    <col min="5123" max="5123" width="99.140625" style="277" customWidth="1"/>
    <col min="5124" max="5124" width="34.85546875" style="277" customWidth="1"/>
    <col min="5125" max="5125" width="36.7109375" style="277" customWidth="1"/>
    <col min="5126" max="5126" width="69.5703125" style="277" customWidth="1"/>
    <col min="5127" max="5127" width="61.85546875" style="277" customWidth="1"/>
    <col min="5128" max="5128" width="69.7109375" style="277" customWidth="1"/>
    <col min="5129" max="5129" width="44.7109375" style="277" customWidth="1"/>
    <col min="5130" max="5130" width="65.7109375" style="277" customWidth="1"/>
    <col min="5131" max="5220" width="0" style="277" hidden="1" customWidth="1"/>
    <col min="5221" max="5228" width="30.7109375" style="277" customWidth="1"/>
    <col min="5229" max="5229" width="48.5703125" style="277" customWidth="1"/>
    <col min="5230" max="5238" width="0" style="277" hidden="1" customWidth="1"/>
    <col min="5239" max="5239" width="55.7109375" style="277" customWidth="1"/>
    <col min="5240" max="5240" width="163.28515625" style="277" customWidth="1"/>
    <col min="5241" max="5376" width="10.85546875" style="277"/>
    <col min="5377" max="5377" width="6.5703125" style="277" customWidth="1"/>
    <col min="5378" max="5378" width="125.42578125" style="277" customWidth="1"/>
    <col min="5379" max="5379" width="99.140625" style="277" customWidth="1"/>
    <col min="5380" max="5380" width="34.85546875" style="277" customWidth="1"/>
    <col min="5381" max="5381" width="36.7109375" style="277" customWidth="1"/>
    <col min="5382" max="5382" width="69.5703125" style="277" customWidth="1"/>
    <col min="5383" max="5383" width="61.85546875" style="277" customWidth="1"/>
    <col min="5384" max="5384" width="69.7109375" style="277" customWidth="1"/>
    <col min="5385" max="5385" width="44.7109375" style="277" customWidth="1"/>
    <col min="5386" max="5386" width="65.7109375" style="277" customWidth="1"/>
    <col min="5387" max="5476" width="0" style="277" hidden="1" customWidth="1"/>
    <col min="5477" max="5484" width="30.7109375" style="277" customWidth="1"/>
    <col min="5485" max="5485" width="48.5703125" style="277" customWidth="1"/>
    <col min="5486" max="5494" width="0" style="277" hidden="1" customWidth="1"/>
    <col min="5495" max="5495" width="55.7109375" style="277" customWidth="1"/>
    <col min="5496" max="5496" width="163.28515625" style="277" customWidth="1"/>
    <col min="5497" max="5632" width="10.85546875" style="277"/>
    <col min="5633" max="5633" width="6.5703125" style="277" customWidth="1"/>
    <col min="5634" max="5634" width="125.42578125" style="277" customWidth="1"/>
    <col min="5635" max="5635" width="99.140625" style="277" customWidth="1"/>
    <col min="5636" max="5636" width="34.85546875" style="277" customWidth="1"/>
    <col min="5637" max="5637" width="36.7109375" style="277" customWidth="1"/>
    <col min="5638" max="5638" width="69.5703125" style="277" customWidth="1"/>
    <col min="5639" max="5639" width="61.85546875" style="277" customWidth="1"/>
    <col min="5640" max="5640" width="69.7109375" style="277" customWidth="1"/>
    <col min="5641" max="5641" width="44.7109375" style="277" customWidth="1"/>
    <col min="5642" max="5642" width="65.7109375" style="277" customWidth="1"/>
    <col min="5643" max="5732" width="0" style="277" hidden="1" customWidth="1"/>
    <col min="5733" max="5740" width="30.7109375" style="277" customWidth="1"/>
    <col min="5741" max="5741" width="48.5703125" style="277" customWidth="1"/>
    <col min="5742" max="5750" width="0" style="277" hidden="1" customWidth="1"/>
    <col min="5751" max="5751" width="55.7109375" style="277" customWidth="1"/>
    <col min="5752" max="5752" width="163.28515625" style="277" customWidth="1"/>
    <col min="5753" max="5888" width="10.85546875" style="277"/>
    <col min="5889" max="5889" width="6.5703125" style="277" customWidth="1"/>
    <col min="5890" max="5890" width="125.42578125" style="277" customWidth="1"/>
    <col min="5891" max="5891" width="99.140625" style="277" customWidth="1"/>
    <col min="5892" max="5892" width="34.85546875" style="277" customWidth="1"/>
    <col min="5893" max="5893" width="36.7109375" style="277" customWidth="1"/>
    <col min="5894" max="5894" width="69.5703125" style="277" customWidth="1"/>
    <col min="5895" max="5895" width="61.85546875" style="277" customWidth="1"/>
    <col min="5896" max="5896" width="69.7109375" style="277" customWidth="1"/>
    <col min="5897" max="5897" width="44.7109375" style="277" customWidth="1"/>
    <col min="5898" max="5898" width="65.7109375" style="277" customWidth="1"/>
    <col min="5899" max="5988" width="0" style="277" hidden="1" customWidth="1"/>
    <col min="5989" max="5996" width="30.7109375" style="277" customWidth="1"/>
    <col min="5997" max="5997" width="48.5703125" style="277" customWidth="1"/>
    <col min="5998" max="6006" width="0" style="277" hidden="1" customWidth="1"/>
    <col min="6007" max="6007" width="55.7109375" style="277" customWidth="1"/>
    <col min="6008" max="6008" width="163.28515625" style="277" customWidth="1"/>
    <col min="6009" max="6144" width="10.85546875" style="277"/>
    <col min="6145" max="6145" width="6.5703125" style="277" customWidth="1"/>
    <col min="6146" max="6146" width="125.42578125" style="277" customWidth="1"/>
    <col min="6147" max="6147" width="99.140625" style="277" customWidth="1"/>
    <col min="6148" max="6148" width="34.85546875" style="277" customWidth="1"/>
    <col min="6149" max="6149" width="36.7109375" style="277" customWidth="1"/>
    <col min="6150" max="6150" width="69.5703125" style="277" customWidth="1"/>
    <col min="6151" max="6151" width="61.85546875" style="277" customWidth="1"/>
    <col min="6152" max="6152" width="69.7109375" style="277" customWidth="1"/>
    <col min="6153" max="6153" width="44.7109375" style="277" customWidth="1"/>
    <col min="6154" max="6154" width="65.7109375" style="277" customWidth="1"/>
    <col min="6155" max="6244" width="0" style="277" hidden="1" customWidth="1"/>
    <col min="6245" max="6252" width="30.7109375" style="277" customWidth="1"/>
    <col min="6253" max="6253" width="48.5703125" style="277" customWidth="1"/>
    <col min="6254" max="6262" width="0" style="277" hidden="1" customWidth="1"/>
    <col min="6263" max="6263" width="55.7109375" style="277" customWidth="1"/>
    <col min="6264" max="6264" width="163.28515625" style="277" customWidth="1"/>
    <col min="6265" max="6400" width="10.85546875" style="277"/>
    <col min="6401" max="6401" width="6.5703125" style="277" customWidth="1"/>
    <col min="6402" max="6402" width="125.42578125" style="277" customWidth="1"/>
    <col min="6403" max="6403" width="99.140625" style="277" customWidth="1"/>
    <col min="6404" max="6404" width="34.85546875" style="277" customWidth="1"/>
    <col min="6405" max="6405" width="36.7109375" style="277" customWidth="1"/>
    <col min="6406" max="6406" width="69.5703125" style="277" customWidth="1"/>
    <col min="6407" max="6407" width="61.85546875" style="277" customWidth="1"/>
    <col min="6408" max="6408" width="69.7109375" style="277" customWidth="1"/>
    <col min="6409" max="6409" width="44.7109375" style="277" customWidth="1"/>
    <col min="6410" max="6410" width="65.7109375" style="277" customWidth="1"/>
    <col min="6411" max="6500" width="0" style="277" hidden="1" customWidth="1"/>
    <col min="6501" max="6508" width="30.7109375" style="277" customWidth="1"/>
    <col min="6509" max="6509" width="48.5703125" style="277" customWidth="1"/>
    <col min="6510" max="6518" width="0" style="277" hidden="1" customWidth="1"/>
    <col min="6519" max="6519" width="55.7109375" style="277" customWidth="1"/>
    <col min="6520" max="6520" width="163.28515625" style="277" customWidth="1"/>
    <col min="6521" max="6656" width="10.85546875" style="277"/>
    <col min="6657" max="6657" width="6.5703125" style="277" customWidth="1"/>
    <col min="6658" max="6658" width="125.42578125" style="277" customWidth="1"/>
    <col min="6659" max="6659" width="99.140625" style="277" customWidth="1"/>
    <col min="6660" max="6660" width="34.85546875" style="277" customWidth="1"/>
    <col min="6661" max="6661" width="36.7109375" style="277" customWidth="1"/>
    <col min="6662" max="6662" width="69.5703125" style="277" customWidth="1"/>
    <col min="6663" max="6663" width="61.85546875" style="277" customWidth="1"/>
    <col min="6664" max="6664" width="69.7109375" style="277" customWidth="1"/>
    <col min="6665" max="6665" width="44.7109375" style="277" customWidth="1"/>
    <col min="6666" max="6666" width="65.7109375" style="277" customWidth="1"/>
    <col min="6667" max="6756" width="0" style="277" hidden="1" customWidth="1"/>
    <col min="6757" max="6764" width="30.7109375" style="277" customWidth="1"/>
    <col min="6765" max="6765" width="48.5703125" style="277" customWidth="1"/>
    <col min="6766" max="6774" width="0" style="277" hidden="1" customWidth="1"/>
    <col min="6775" max="6775" width="55.7109375" style="277" customWidth="1"/>
    <col min="6776" max="6776" width="163.28515625" style="277" customWidth="1"/>
    <col min="6777" max="6912" width="10.85546875" style="277"/>
    <col min="6913" max="6913" width="6.5703125" style="277" customWidth="1"/>
    <col min="6914" max="6914" width="125.42578125" style="277" customWidth="1"/>
    <col min="6915" max="6915" width="99.140625" style="277" customWidth="1"/>
    <col min="6916" max="6916" width="34.85546875" style="277" customWidth="1"/>
    <col min="6917" max="6917" width="36.7109375" style="277" customWidth="1"/>
    <col min="6918" max="6918" width="69.5703125" style="277" customWidth="1"/>
    <col min="6919" max="6919" width="61.85546875" style="277" customWidth="1"/>
    <col min="6920" max="6920" width="69.7109375" style="277" customWidth="1"/>
    <col min="6921" max="6921" width="44.7109375" style="277" customWidth="1"/>
    <col min="6922" max="6922" width="65.7109375" style="277" customWidth="1"/>
    <col min="6923" max="7012" width="0" style="277" hidden="1" customWidth="1"/>
    <col min="7013" max="7020" width="30.7109375" style="277" customWidth="1"/>
    <col min="7021" max="7021" width="48.5703125" style="277" customWidth="1"/>
    <col min="7022" max="7030" width="0" style="277" hidden="1" customWidth="1"/>
    <col min="7031" max="7031" width="55.7109375" style="277" customWidth="1"/>
    <col min="7032" max="7032" width="163.28515625" style="277" customWidth="1"/>
    <col min="7033" max="7168" width="10.85546875" style="277"/>
    <col min="7169" max="7169" width="6.5703125" style="277" customWidth="1"/>
    <col min="7170" max="7170" width="125.42578125" style="277" customWidth="1"/>
    <col min="7171" max="7171" width="99.140625" style="277" customWidth="1"/>
    <col min="7172" max="7172" width="34.85546875" style="277" customWidth="1"/>
    <col min="7173" max="7173" width="36.7109375" style="277" customWidth="1"/>
    <col min="7174" max="7174" width="69.5703125" style="277" customWidth="1"/>
    <col min="7175" max="7175" width="61.85546875" style="277" customWidth="1"/>
    <col min="7176" max="7176" width="69.7109375" style="277" customWidth="1"/>
    <col min="7177" max="7177" width="44.7109375" style="277" customWidth="1"/>
    <col min="7178" max="7178" width="65.7109375" style="277" customWidth="1"/>
    <col min="7179" max="7268" width="0" style="277" hidden="1" customWidth="1"/>
    <col min="7269" max="7276" width="30.7109375" style="277" customWidth="1"/>
    <col min="7277" max="7277" width="48.5703125" style="277" customWidth="1"/>
    <col min="7278" max="7286" width="0" style="277" hidden="1" customWidth="1"/>
    <col min="7287" max="7287" width="55.7109375" style="277" customWidth="1"/>
    <col min="7288" max="7288" width="163.28515625" style="277" customWidth="1"/>
    <col min="7289" max="7424" width="10.85546875" style="277"/>
    <col min="7425" max="7425" width="6.5703125" style="277" customWidth="1"/>
    <col min="7426" max="7426" width="125.42578125" style="277" customWidth="1"/>
    <col min="7427" max="7427" width="99.140625" style="277" customWidth="1"/>
    <col min="7428" max="7428" width="34.85546875" style="277" customWidth="1"/>
    <col min="7429" max="7429" width="36.7109375" style="277" customWidth="1"/>
    <col min="7430" max="7430" width="69.5703125" style="277" customWidth="1"/>
    <col min="7431" max="7431" width="61.85546875" style="277" customWidth="1"/>
    <col min="7432" max="7432" width="69.7109375" style="277" customWidth="1"/>
    <col min="7433" max="7433" width="44.7109375" style="277" customWidth="1"/>
    <col min="7434" max="7434" width="65.7109375" style="277" customWidth="1"/>
    <col min="7435" max="7524" width="0" style="277" hidden="1" customWidth="1"/>
    <col min="7525" max="7532" width="30.7109375" style="277" customWidth="1"/>
    <col min="7533" max="7533" width="48.5703125" style="277" customWidth="1"/>
    <col min="7534" max="7542" width="0" style="277" hidden="1" customWidth="1"/>
    <col min="7543" max="7543" width="55.7109375" style="277" customWidth="1"/>
    <col min="7544" max="7544" width="163.28515625" style="277" customWidth="1"/>
    <col min="7545" max="7680" width="10.85546875" style="277"/>
    <col min="7681" max="7681" width="6.5703125" style="277" customWidth="1"/>
    <col min="7682" max="7682" width="125.42578125" style="277" customWidth="1"/>
    <col min="7683" max="7683" width="99.140625" style="277" customWidth="1"/>
    <col min="7684" max="7684" width="34.85546875" style="277" customWidth="1"/>
    <col min="7685" max="7685" width="36.7109375" style="277" customWidth="1"/>
    <col min="7686" max="7686" width="69.5703125" style="277" customWidth="1"/>
    <col min="7687" max="7687" width="61.85546875" style="277" customWidth="1"/>
    <col min="7688" max="7688" width="69.7109375" style="277" customWidth="1"/>
    <col min="7689" max="7689" width="44.7109375" style="277" customWidth="1"/>
    <col min="7690" max="7690" width="65.7109375" style="277" customWidth="1"/>
    <col min="7691" max="7780" width="0" style="277" hidden="1" customWidth="1"/>
    <col min="7781" max="7788" width="30.7109375" style="277" customWidth="1"/>
    <col min="7789" max="7789" width="48.5703125" style="277" customWidth="1"/>
    <col min="7790" max="7798" width="0" style="277" hidden="1" customWidth="1"/>
    <col min="7799" max="7799" width="55.7109375" style="277" customWidth="1"/>
    <col min="7800" max="7800" width="163.28515625" style="277" customWidth="1"/>
    <col min="7801" max="7936" width="10.85546875" style="277"/>
    <col min="7937" max="7937" width="6.5703125" style="277" customWidth="1"/>
    <col min="7938" max="7938" width="125.42578125" style="277" customWidth="1"/>
    <col min="7939" max="7939" width="99.140625" style="277" customWidth="1"/>
    <col min="7940" max="7940" width="34.85546875" style="277" customWidth="1"/>
    <col min="7941" max="7941" width="36.7109375" style="277" customWidth="1"/>
    <col min="7942" max="7942" width="69.5703125" style="277" customWidth="1"/>
    <col min="7943" max="7943" width="61.85546875" style="277" customWidth="1"/>
    <col min="7944" max="7944" width="69.7109375" style="277" customWidth="1"/>
    <col min="7945" max="7945" width="44.7109375" style="277" customWidth="1"/>
    <col min="7946" max="7946" width="65.7109375" style="277" customWidth="1"/>
    <col min="7947" max="8036" width="0" style="277" hidden="1" customWidth="1"/>
    <col min="8037" max="8044" width="30.7109375" style="277" customWidth="1"/>
    <col min="8045" max="8045" width="48.5703125" style="277" customWidth="1"/>
    <col min="8046" max="8054" width="0" style="277" hidden="1" customWidth="1"/>
    <col min="8055" max="8055" width="55.7109375" style="277" customWidth="1"/>
    <col min="8056" max="8056" width="163.28515625" style="277" customWidth="1"/>
    <col min="8057" max="8192" width="10.85546875" style="277"/>
    <col min="8193" max="8193" width="6.5703125" style="277" customWidth="1"/>
    <col min="8194" max="8194" width="125.42578125" style="277" customWidth="1"/>
    <col min="8195" max="8195" width="99.140625" style="277" customWidth="1"/>
    <col min="8196" max="8196" width="34.85546875" style="277" customWidth="1"/>
    <col min="8197" max="8197" width="36.7109375" style="277" customWidth="1"/>
    <col min="8198" max="8198" width="69.5703125" style="277" customWidth="1"/>
    <col min="8199" max="8199" width="61.85546875" style="277" customWidth="1"/>
    <col min="8200" max="8200" width="69.7109375" style="277" customWidth="1"/>
    <col min="8201" max="8201" width="44.7109375" style="277" customWidth="1"/>
    <col min="8202" max="8202" width="65.7109375" style="277" customWidth="1"/>
    <col min="8203" max="8292" width="0" style="277" hidden="1" customWidth="1"/>
    <col min="8293" max="8300" width="30.7109375" style="277" customWidth="1"/>
    <col min="8301" max="8301" width="48.5703125" style="277" customWidth="1"/>
    <col min="8302" max="8310" width="0" style="277" hidden="1" customWidth="1"/>
    <col min="8311" max="8311" width="55.7109375" style="277" customWidth="1"/>
    <col min="8312" max="8312" width="163.28515625" style="277" customWidth="1"/>
    <col min="8313" max="8448" width="10.85546875" style="277"/>
    <col min="8449" max="8449" width="6.5703125" style="277" customWidth="1"/>
    <col min="8450" max="8450" width="125.42578125" style="277" customWidth="1"/>
    <col min="8451" max="8451" width="99.140625" style="277" customWidth="1"/>
    <col min="8452" max="8452" width="34.85546875" style="277" customWidth="1"/>
    <col min="8453" max="8453" width="36.7109375" style="277" customWidth="1"/>
    <col min="8454" max="8454" width="69.5703125" style="277" customWidth="1"/>
    <col min="8455" max="8455" width="61.85546875" style="277" customWidth="1"/>
    <col min="8456" max="8456" width="69.7109375" style="277" customWidth="1"/>
    <col min="8457" max="8457" width="44.7109375" style="277" customWidth="1"/>
    <col min="8458" max="8458" width="65.7109375" style="277" customWidth="1"/>
    <col min="8459" max="8548" width="0" style="277" hidden="1" customWidth="1"/>
    <col min="8549" max="8556" width="30.7109375" style="277" customWidth="1"/>
    <col min="8557" max="8557" width="48.5703125" style="277" customWidth="1"/>
    <col min="8558" max="8566" width="0" style="277" hidden="1" customWidth="1"/>
    <col min="8567" max="8567" width="55.7109375" style="277" customWidth="1"/>
    <col min="8568" max="8568" width="163.28515625" style="277" customWidth="1"/>
    <col min="8569" max="8704" width="10.85546875" style="277"/>
    <col min="8705" max="8705" width="6.5703125" style="277" customWidth="1"/>
    <col min="8706" max="8706" width="125.42578125" style="277" customWidth="1"/>
    <col min="8707" max="8707" width="99.140625" style="277" customWidth="1"/>
    <col min="8708" max="8708" width="34.85546875" style="277" customWidth="1"/>
    <col min="8709" max="8709" width="36.7109375" style="277" customWidth="1"/>
    <col min="8710" max="8710" width="69.5703125" style="277" customWidth="1"/>
    <col min="8711" max="8711" width="61.85546875" style="277" customWidth="1"/>
    <col min="8712" max="8712" width="69.7109375" style="277" customWidth="1"/>
    <col min="8713" max="8713" width="44.7109375" style="277" customWidth="1"/>
    <col min="8714" max="8714" width="65.7109375" style="277" customWidth="1"/>
    <col min="8715" max="8804" width="0" style="277" hidden="1" customWidth="1"/>
    <col min="8805" max="8812" width="30.7109375" style="277" customWidth="1"/>
    <col min="8813" max="8813" width="48.5703125" style="277" customWidth="1"/>
    <col min="8814" max="8822" width="0" style="277" hidden="1" customWidth="1"/>
    <col min="8823" max="8823" width="55.7109375" style="277" customWidth="1"/>
    <col min="8824" max="8824" width="163.28515625" style="277" customWidth="1"/>
    <col min="8825" max="8960" width="10.85546875" style="277"/>
    <col min="8961" max="8961" width="6.5703125" style="277" customWidth="1"/>
    <col min="8962" max="8962" width="125.42578125" style="277" customWidth="1"/>
    <col min="8963" max="8963" width="99.140625" style="277" customWidth="1"/>
    <col min="8964" max="8964" width="34.85546875" style="277" customWidth="1"/>
    <col min="8965" max="8965" width="36.7109375" style="277" customWidth="1"/>
    <col min="8966" max="8966" width="69.5703125" style="277" customWidth="1"/>
    <col min="8967" max="8967" width="61.85546875" style="277" customWidth="1"/>
    <col min="8968" max="8968" width="69.7109375" style="277" customWidth="1"/>
    <col min="8969" max="8969" width="44.7109375" style="277" customWidth="1"/>
    <col min="8970" max="8970" width="65.7109375" style="277" customWidth="1"/>
    <col min="8971" max="9060" width="0" style="277" hidden="1" customWidth="1"/>
    <col min="9061" max="9068" width="30.7109375" style="277" customWidth="1"/>
    <col min="9069" max="9069" width="48.5703125" style="277" customWidth="1"/>
    <col min="9070" max="9078" width="0" style="277" hidden="1" customWidth="1"/>
    <col min="9079" max="9079" width="55.7109375" style="277" customWidth="1"/>
    <col min="9080" max="9080" width="163.28515625" style="277" customWidth="1"/>
    <col min="9081" max="9216" width="10.85546875" style="277"/>
    <col min="9217" max="9217" width="6.5703125" style="277" customWidth="1"/>
    <col min="9218" max="9218" width="125.42578125" style="277" customWidth="1"/>
    <col min="9219" max="9219" width="99.140625" style="277" customWidth="1"/>
    <col min="9220" max="9220" width="34.85546875" style="277" customWidth="1"/>
    <col min="9221" max="9221" width="36.7109375" style="277" customWidth="1"/>
    <col min="9222" max="9222" width="69.5703125" style="277" customWidth="1"/>
    <col min="9223" max="9223" width="61.85546875" style="277" customWidth="1"/>
    <col min="9224" max="9224" width="69.7109375" style="277" customWidth="1"/>
    <col min="9225" max="9225" width="44.7109375" style="277" customWidth="1"/>
    <col min="9226" max="9226" width="65.7109375" style="277" customWidth="1"/>
    <col min="9227" max="9316" width="0" style="277" hidden="1" customWidth="1"/>
    <col min="9317" max="9324" width="30.7109375" style="277" customWidth="1"/>
    <col min="9325" max="9325" width="48.5703125" style="277" customWidth="1"/>
    <col min="9326" max="9334" width="0" style="277" hidden="1" customWidth="1"/>
    <col min="9335" max="9335" width="55.7109375" style="277" customWidth="1"/>
    <col min="9336" max="9336" width="163.28515625" style="277" customWidth="1"/>
    <col min="9337" max="9472" width="10.85546875" style="277"/>
    <col min="9473" max="9473" width="6.5703125" style="277" customWidth="1"/>
    <col min="9474" max="9474" width="125.42578125" style="277" customWidth="1"/>
    <col min="9475" max="9475" width="99.140625" style="277" customWidth="1"/>
    <col min="9476" max="9476" width="34.85546875" style="277" customWidth="1"/>
    <col min="9477" max="9477" width="36.7109375" style="277" customWidth="1"/>
    <col min="9478" max="9478" width="69.5703125" style="277" customWidth="1"/>
    <col min="9479" max="9479" width="61.85546875" style="277" customWidth="1"/>
    <col min="9480" max="9480" width="69.7109375" style="277" customWidth="1"/>
    <col min="9481" max="9481" width="44.7109375" style="277" customWidth="1"/>
    <col min="9482" max="9482" width="65.7109375" style="277" customWidth="1"/>
    <col min="9483" max="9572" width="0" style="277" hidden="1" customWidth="1"/>
    <col min="9573" max="9580" width="30.7109375" style="277" customWidth="1"/>
    <col min="9581" max="9581" width="48.5703125" style="277" customWidth="1"/>
    <col min="9582" max="9590" width="0" style="277" hidden="1" customWidth="1"/>
    <col min="9591" max="9591" width="55.7109375" style="277" customWidth="1"/>
    <col min="9592" max="9592" width="163.28515625" style="277" customWidth="1"/>
    <col min="9593" max="9728" width="10.85546875" style="277"/>
    <col min="9729" max="9729" width="6.5703125" style="277" customWidth="1"/>
    <col min="9730" max="9730" width="125.42578125" style="277" customWidth="1"/>
    <col min="9731" max="9731" width="99.140625" style="277" customWidth="1"/>
    <col min="9732" max="9732" width="34.85546875" style="277" customWidth="1"/>
    <col min="9733" max="9733" width="36.7109375" style="277" customWidth="1"/>
    <col min="9734" max="9734" width="69.5703125" style="277" customWidth="1"/>
    <col min="9735" max="9735" width="61.85546875" style="277" customWidth="1"/>
    <col min="9736" max="9736" width="69.7109375" style="277" customWidth="1"/>
    <col min="9737" max="9737" width="44.7109375" style="277" customWidth="1"/>
    <col min="9738" max="9738" width="65.7109375" style="277" customWidth="1"/>
    <col min="9739" max="9828" width="0" style="277" hidden="1" customWidth="1"/>
    <col min="9829" max="9836" width="30.7109375" style="277" customWidth="1"/>
    <col min="9837" max="9837" width="48.5703125" style="277" customWidth="1"/>
    <col min="9838" max="9846" width="0" style="277" hidden="1" customWidth="1"/>
    <col min="9847" max="9847" width="55.7109375" style="277" customWidth="1"/>
    <col min="9848" max="9848" width="163.28515625" style="277" customWidth="1"/>
    <col min="9849" max="9984" width="10.85546875" style="277"/>
    <col min="9985" max="9985" width="6.5703125" style="277" customWidth="1"/>
    <col min="9986" max="9986" width="125.42578125" style="277" customWidth="1"/>
    <col min="9987" max="9987" width="99.140625" style="277" customWidth="1"/>
    <col min="9988" max="9988" width="34.85546875" style="277" customWidth="1"/>
    <col min="9989" max="9989" width="36.7109375" style="277" customWidth="1"/>
    <col min="9990" max="9990" width="69.5703125" style="277" customWidth="1"/>
    <col min="9991" max="9991" width="61.85546875" style="277" customWidth="1"/>
    <col min="9992" max="9992" width="69.7109375" style="277" customWidth="1"/>
    <col min="9993" max="9993" width="44.7109375" style="277" customWidth="1"/>
    <col min="9994" max="9994" width="65.7109375" style="277" customWidth="1"/>
    <col min="9995" max="10084" width="0" style="277" hidden="1" customWidth="1"/>
    <col min="10085" max="10092" width="30.7109375" style="277" customWidth="1"/>
    <col min="10093" max="10093" width="48.5703125" style="277" customWidth="1"/>
    <col min="10094" max="10102" width="0" style="277" hidden="1" customWidth="1"/>
    <col min="10103" max="10103" width="55.7109375" style="277" customWidth="1"/>
    <col min="10104" max="10104" width="163.28515625" style="277" customWidth="1"/>
    <col min="10105" max="10240" width="10.85546875" style="277"/>
    <col min="10241" max="10241" width="6.5703125" style="277" customWidth="1"/>
    <col min="10242" max="10242" width="125.42578125" style="277" customWidth="1"/>
    <col min="10243" max="10243" width="99.140625" style="277" customWidth="1"/>
    <col min="10244" max="10244" width="34.85546875" style="277" customWidth="1"/>
    <col min="10245" max="10245" width="36.7109375" style="277" customWidth="1"/>
    <col min="10246" max="10246" width="69.5703125" style="277" customWidth="1"/>
    <col min="10247" max="10247" width="61.85546875" style="277" customWidth="1"/>
    <col min="10248" max="10248" width="69.7109375" style="277" customWidth="1"/>
    <col min="10249" max="10249" width="44.7109375" style="277" customWidth="1"/>
    <col min="10250" max="10250" width="65.7109375" style="277" customWidth="1"/>
    <col min="10251" max="10340" width="0" style="277" hidden="1" customWidth="1"/>
    <col min="10341" max="10348" width="30.7109375" style="277" customWidth="1"/>
    <col min="10349" max="10349" width="48.5703125" style="277" customWidth="1"/>
    <col min="10350" max="10358" width="0" style="277" hidden="1" customWidth="1"/>
    <col min="10359" max="10359" width="55.7109375" style="277" customWidth="1"/>
    <col min="10360" max="10360" width="163.28515625" style="277" customWidth="1"/>
    <col min="10361" max="10496" width="10.85546875" style="277"/>
    <col min="10497" max="10497" width="6.5703125" style="277" customWidth="1"/>
    <col min="10498" max="10498" width="125.42578125" style="277" customWidth="1"/>
    <col min="10499" max="10499" width="99.140625" style="277" customWidth="1"/>
    <col min="10500" max="10500" width="34.85546875" style="277" customWidth="1"/>
    <col min="10501" max="10501" width="36.7109375" style="277" customWidth="1"/>
    <col min="10502" max="10502" width="69.5703125" style="277" customWidth="1"/>
    <col min="10503" max="10503" width="61.85546875" style="277" customWidth="1"/>
    <col min="10504" max="10504" width="69.7109375" style="277" customWidth="1"/>
    <col min="10505" max="10505" width="44.7109375" style="277" customWidth="1"/>
    <col min="10506" max="10506" width="65.7109375" style="277" customWidth="1"/>
    <col min="10507" max="10596" width="0" style="277" hidden="1" customWidth="1"/>
    <col min="10597" max="10604" width="30.7109375" style="277" customWidth="1"/>
    <col min="10605" max="10605" width="48.5703125" style="277" customWidth="1"/>
    <col min="10606" max="10614" width="0" style="277" hidden="1" customWidth="1"/>
    <col min="10615" max="10615" width="55.7109375" style="277" customWidth="1"/>
    <col min="10616" max="10616" width="163.28515625" style="277" customWidth="1"/>
    <col min="10617" max="10752" width="10.85546875" style="277"/>
    <col min="10753" max="10753" width="6.5703125" style="277" customWidth="1"/>
    <col min="10754" max="10754" width="125.42578125" style="277" customWidth="1"/>
    <col min="10755" max="10755" width="99.140625" style="277" customWidth="1"/>
    <col min="10756" max="10756" width="34.85546875" style="277" customWidth="1"/>
    <col min="10757" max="10757" width="36.7109375" style="277" customWidth="1"/>
    <col min="10758" max="10758" width="69.5703125" style="277" customWidth="1"/>
    <col min="10759" max="10759" width="61.85546875" style="277" customWidth="1"/>
    <col min="10760" max="10760" width="69.7109375" style="277" customWidth="1"/>
    <col min="10761" max="10761" width="44.7109375" style="277" customWidth="1"/>
    <col min="10762" max="10762" width="65.7109375" style="277" customWidth="1"/>
    <col min="10763" max="10852" width="0" style="277" hidden="1" customWidth="1"/>
    <col min="10853" max="10860" width="30.7109375" style="277" customWidth="1"/>
    <col min="10861" max="10861" width="48.5703125" style="277" customWidth="1"/>
    <col min="10862" max="10870" width="0" style="277" hidden="1" customWidth="1"/>
    <col min="10871" max="10871" width="55.7109375" style="277" customWidth="1"/>
    <col min="10872" max="10872" width="163.28515625" style="277" customWidth="1"/>
    <col min="10873" max="11008" width="10.85546875" style="277"/>
    <col min="11009" max="11009" width="6.5703125" style="277" customWidth="1"/>
    <col min="11010" max="11010" width="125.42578125" style="277" customWidth="1"/>
    <col min="11011" max="11011" width="99.140625" style="277" customWidth="1"/>
    <col min="11012" max="11012" width="34.85546875" style="277" customWidth="1"/>
    <col min="11013" max="11013" width="36.7109375" style="277" customWidth="1"/>
    <col min="11014" max="11014" width="69.5703125" style="277" customWidth="1"/>
    <col min="11015" max="11015" width="61.85546875" style="277" customWidth="1"/>
    <col min="11016" max="11016" width="69.7109375" style="277" customWidth="1"/>
    <col min="11017" max="11017" width="44.7109375" style="277" customWidth="1"/>
    <col min="11018" max="11018" width="65.7109375" style="277" customWidth="1"/>
    <col min="11019" max="11108" width="0" style="277" hidden="1" customWidth="1"/>
    <col min="11109" max="11116" width="30.7109375" style="277" customWidth="1"/>
    <col min="11117" max="11117" width="48.5703125" style="277" customWidth="1"/>
    <col min="11118" max="11126" width="0" style="277" hidden="1" customWidth="1"/>
    <col min="11127" max="11127" width="55.7109375" style="277" customWidth="1"/>
    <col min="11128" max="11128" width="163.28515625" style="277" customWidth="1"/>
    <col min="11129" max="11264" width="10.85546875" style="277"/>
    <col min="11265" max="11265" width="6.5703125" style="277" customWidth="1"/>
    <col min="11266" max="11266" width="125.42578125" style="277" customWidth="1"/>
    <col min="11267" max="11267" width="99.140625" style="277" customWidth="1"/>
    <col min="11268" max="11268" width="34.85546875" style="277" customWidth="1"/>
    <col min="11269" max="11269" width="36.7109375" style="277" customWidth="1"/>
    <col min="11270" max="11270" width="69.5703125" style="277" customWidth="1"/>
    <col min="11271" max="11271" width="61.85546875" style="277" customWidth="1"/>
    <col min="11272" max="11272" width="69.7109375" style="277" customWidth="1"/>
    <col min="11273" max="11273" width="44.7109375" style="277" customWidth="1"/>
    <col min="11274" max="11274" width="65.7109375" style="277" customWidth="1"/>
    <col min="11275" max="11364" width="0" style="277" hidden="1" customWidth="1"/>
    <col min="11365" max="11372" width="30.7109375" style="277" customWidth="1"/>
    <col min="11373" max="11373" width="48.5703125" style="277" customWidth="1"/>
    <col min="11374" max="11382" width="0" style="277" hidden="1" customWidth="1"/>
    <col min="11383" max="11383" width="55.7109375" style="277" customWidth="1"/>
    <col min="11384" max="11384" width="163.28515625" style="277" customWidth="1"/>
    <col min="11385" max="11520" width="10.85546875" style="277"/>
    <col min="11521" max="11521" width="6.5703125" style="277" customWidth="1"/>
    <col min="11522" max="11522" width="125.42578125" style="277" customWidth="1"/>
    <col min="11523" max="11523" width="99.140625" style="277" customWidth="1"/>
    <col min="11524" max="11524" width="34.85546875" style="277" customWidth="1"/>
    <col min="11525" max="11525" width="36.7109375" style="277" customWidth="1"/>
    <col min="11526" max="11526" width="69.5703125" style="277" customWidth="1"/>
    <col min="11527" max="11527" width="61.85546875" style="277" customWidth="1"/>
    <col min="11528" max="11528" width="69.7109375" style="277" customWidth="1"/>
    <col min="11529" max="11529" width="44.7109375" style="277" customWidth="1"/>
    <col min="11530" max="11530" width="65.7109375" style="277" customWidth="1"/>
    <col min="11531" max="11620" width="0" style="277" hidden="1" customWidth="1"/>
    <col min="11621" max="11628" width="30.7109375" style="277" customWidth="1"/>
    <col min="11629" max="11629" width="48.5703125" style="277" customWidth="1"/>
    <col min="11630" max="11638" width="0" style="277" hidden="1" customWidth="1"/>
    <col min="11639" max="11639" width="55.7109375" style="277" customWidth="1"/>
    <col min="11640" max="11640" width="163.28515625" style="277" customWidth="1"/>
    <col min="11641" max="11776" width="10.85546875" style="277"/>
    <col min="11777" max="11777" width="6.5703125" style="277" customWidth="1"/>
    <col min="11778" max="11778" width="125.42578125" style="277" customWidth="1"/>
    <col min="11779" max="11779" width="99.140625" style="277" customWidth="1"/>
    <col min="11780" max="11780" width="34.85546875" style="277" customWidth="1"/>
    <col min="11781" max="11781" width="36.7109375" style="277" customWidth="1"/>
    <col min="11782" max="11782" width="69.5703125" style="277" customWidth="1"/>
    <col min="11783" max="11783" width="61.85546875" style="277" customWidth="1"/>
    <col min="11784" max="11784" width="69.7109375" style="277" customWidth="1"/>
    <col min="11785" max="11785" width="44.7109375" style="277" customWidth="1"/>
    <col min="11786" max="11786" width="65.7109375" style="277" customWidth="1"/>
    <col min="11787" max="11876" width="0" style="277" hidden="1" customWidth="1"/>
    <col min="11877" max="11884" width="30.7109375" style="277" customWidth="1"/>
    <col min="11885" max="11885" width="48.5703125" style="277" customWidth="1"/>
    <col min="11886" max="11894" width="0" style="277" hidden="1" customWidth="1"/>
    <col min="11895" max="11895" width="55.7109375" style="277" customWidth="1"/>
    <col min="11896" max="11896" width="163.28515625" style="277" customWidth="1"/>
    <col min="11897" max="12032" width="10.85546875" style="277"/>
    <col min="12033" max="12033" width="6.5703125" style="277" customWidth="1"/>
    <col min="12034" max="12034" width="125.42578125" style="277" customWidth="1"/>
    <col min="12035" max="12035" width="99.140625" style="277" customWidth="1"/>
    <col min="12036" max="12036" width="34.85546875" style="277" customWidth="1"/>
    <col min="12037" max="12037" width="36.7109375" style="277" customWidth="1"/>
    <col min="12038" max="12038" width="69.5703125" style="277" customWidth="1"/>
    <col min="12039" max="12039" width="61.85546875" style="277" customWidth="1"/>
    <col min="12040" max="12040" width="69.7109375" style="277" customWidth="1"/>
    <col min="12041" max="12041" width="44.7109375" style="277" customWidth="1"/>
    <col min="12042" max="12042" width="65.7109375" style="277" customWidth="1"/>
    <col min="12043" max="12132" width="0" style="277" hidden="1" customWidth="1"/>
    <col min="12133" max="12140" width="30.7109375" style="277" customWidth="1"/>
    <col min="12141" max="12141" width="48.5703125" style="277" customWidth="1"/>
    <col min="12142" max="12150" width="0" style="277" hidden="1" customWidth="1"/>
    <col min="12151" max="12151" width="55.7109375" style="277" customWidth="1"/>
    <col min="12152" max="12152" width="163.28515625" style="277" customWidth="1"/>
    <col min="12153" max="12288" width="10.85546875" style="277"/>
    <col min="12289" max="12289" width="6.5703125" style="277" customWidth="1"/>
    <col min="12290" max="12290" width="125.42578125" style="277" customWidth="1"/>
    <col min="12291" max="12291" width="99.140625" style="277" customWidth="1"/>
    <col min="12292" max="12292" width="34.85546875" style="277" customWidth="1"/>
    <col min="12293" max="12293" width="36.7109375" style="277" customWidth="1"/>
    <col min="12294" max="12294" width="69.5703125" style="277" customWidth="1"/>
    <col min="12295" max="12295" width="61.85546875" style="277" customWidth="1"/>
    <col min="12296" max="12296" width="69.7109375" style="277" customWidth="1"/>
    <col min="12297" max="12297" width="44.7109375" style="277" customWidth="1"/>
    <col min="12298" max="12298" width="65.7109375" style="277" customWidth="1"/>
    <col min="12299" max="12388" width="0" style="277" hidden="1" customWidth="1"/>
    <col min="12389" max="12396" width="30.7109375" style="277" customWidth="1"/>
    <col min="12397" max="12397" width="48.5703125" style="277" customWidth="1"/>
    <col min="12398" max="12406" width="0" style="277" hidden="1" customWidth="1"/>
    <col min="12407" max="12407" width="55.7109375" style="277" customWidth="1"/>
    <col min="12408" max="12408" width="163.28515625" style="277" customWidth="1"/>
    <col min="12409" max="12544" width="10.85546875" style="277"/>
    <col min="12545" max="12545" width="6.5703125" style="277" customWidth="1"/>
    <col min="12546" max="12546" width="125.42578125" style="277" customWidth="1"/>
    <col min="12547" max="12547" width="99.140625" style="277" customWidth="1"/>
    <col min="12548" max="12548" width="34.85546875" style="277" customWidth="1"/>
    <col min="12549" max="12549" width="36.7109375" style="277" customWidth="1"/>
    <col min="12550" max="12550" width="69.5703125" style="277" customWidth="1"/>
    <col min="12551" max="12551" width="61.85546875" style="277" customWidth="1"/>
    <col min="12552" max="12552" width="69.7109375" style="277" customWidth="1"/>
    <col min="12553" max="12553" width="44.7109375" style="277" customWidth="1"/>
    <col min="12554" max="12554" width="65.7109375" style="277" customWidth="1"/>
    <col min="12555" max="12644" width="0" style="277" hidden="1" customWidth="1"/>
    <col min="12645" max="12652" width="30.7109375" style="277" customWidth="1"/>
    <col min="12653" max="12653" width="48.5703125" style="277" customWidth="1"/>
    <col min="12654" max="12662" width="0" style="277" hidden="1" customWidth="1"/>
    <col min="12663" max="12663" width="55.7109375" style="277" customWidth="1"/>
    <col min="12664" max="12664" width="163.28515625" style="277" customWidth="1"/>
    <col min="12665" max="12800" width="10.85546875" style="277"/>
    <col min="12801" max="12801" width="6.5703125" style="277" customWidth="1"/>
    <col min="12802" max="12802" width="125.42578125" style="277" customWidth="1"/>
    <col min="12803" max="12803" width="99.140625" style="277" customWidth="1"/>
    <col min="12804" max="12804" width="34.85546875" style="277" customWidth="1"/>
    <col min="12805" max="12805" width="36.7109375" style="277" customWidth="1"/>
    <col min="12806" max="12806" width="69.5703125" style="277" customWidth="1"/>
    <col min="12807" max="12807" width="61.85546875" style="277" customWidth="1"/>
    <col min="12808" max="12808" width="69.7109375" style="277" customWidth="1"/>
    <col min="12809" max="12809" width="44.7109375" style="277" customWidth="1"/>
    <col min="12810" max="12810" width="65.7109375" style="277" customWidth="1"/>
    <col min="12811" max="12900" width="0" style="277" hidden="1" customWidth="1"/>
    <col min="12901" max="12908" width="30.7109375" style="277" customWidth="1"/>
    <col min="12909" max="12909" width="48.5703125" style="277" customWidth="1"/>
    <col min="12910" max="12918" width="0" style="277" hidden="1" customWidth="1"/>
    <col min="12919" max="12919" width="55.7109375" style="277" customWidth="1"/>
    <col min="12920" max="12920" width="163.28515625" style="277" customWidth="1"/>
    <col min="12921" max="13056" width="10.85546875" style="277"/>
    <col min="13057" max="13057" width="6.5703125" style="277" customWidth="1"/>
    <col min="13058" max="13058" width="125.42578125" style="277" customWidth="1"/>
    <col min="13059" max="13059" width="99.140625" style="277" customWidth="1"/>
    <col min="13060" max="13060" width="34.85546875" style="277" customWidth="1"/>
    <col min="13061" max="13061" width="36.7109375" style="277" customWidth="1"/>
    <col min="13062" max="13062" width="69.5703125" style="277" customWidth="1"/>
    <col min="13063" max="13063" width="61.85546875" style="277" customWidth="1"/>
    <col min="13064" max="13064" width="69.7109375" style="277" customWidth="1"/>
    <col min="13065" max="13065" width="44.7109375" style="277" customWidth="1"/>
    <col min="13066" max="13066" width="65.7109375" style="277" customWidth="1"/>
    <col min="13067" max="13156" width="0" style="277" hidden="1" customWidth="1"/>
    <col min="13157" max="13164" width="30.7109375" style="277" customWidth="1"/>
    <col min="13165" max="13165" width="48.5703125" style="277" customWidth="1"/>
    <col min="13166" max="13174" width="0" style="277" hidden="1" customWidth="1"/>
    <col min="13175" max="13175" width="55.7109375" style="277" customWidth="1"/>
    <col min="13176" max="13176" width="163.28515625" style="277" customWidth="1"/>
    <col min="13177" max="13312" width="10.85546875" style="277"/>
    <col min="13313" max="13313" width="6.5703125" style="277" customWidth="1"/>
    <col min="13314" max="13314" width="125.42578125" style="277" customWidth="1"/>
    <col min="13315" max="13315" width="99.140625" style="277" customWidth="1"/>
    <col min="13316" max="13316" width="34.85546875" style="277" customWidth="1"/>
    <col min="13317" max="13317" width="36.7109375" style="277" customWidth="1"/>
    <col min="13318" max="13318" width="69.5703125" style="277" customWidth="1"/>
    <col min="13319" max="13319" width="61.85546875" style="277" customWidth="1"/>
    <col min="13320" max="13320" width="69.7109375" style="277" customWidth="1"/>
    <col min="13321" max="13321" width="44.7109375" style="277" customWidth="1"/>
    <col min="13322" max="13322" width="65.7109375" style="277" customWidth="1"/>
    <col min="13323" max="13412" width="0" style="277" hidden="1" customWidth="1"/>
    <col min="13413" max="13420" width="30.7109375" style="277" customWidth="1"/>
    <col min="13421" max="13421" width="48.5703125" style="277" customWidth="1"/>
    <col min="13422" max="13430" width="0" style="277" hidden="1" customWidth="1"/>
    <col min="13431" max="13431" width="55.7109375" style="277" customWidth="1"/>
    <col min="13432" max="13432" width="163.28515625" style="277" customWidth="1"/>
    <col min="13433" max="13568" width="10.85546875" style="277"/>
    <col min="13569" max="13569" width="6.5703125" style="277" customWidth="1"/>
    <col min="13570" max="13570" width="125.42578125" style="277" customWidth="1"/>
    <col min="13571" max="13571" width="99.140625" style="277" customWidth="1"/>
    <col min="13572" max="13572" width="34.85546875" style="277" customWidth="1"/>
    <col min="13573" max="13573" width="36.7109375" style="277" customWidth="1"/>
    <col min="13574" max="13574" width="69.5703125" style="277" customWidth="1"/>
    <col min="13575" max="13575" width="61.85546875" style="277" customWidth="1"/>
    <col min="13576" max="13576" width="69.7109375" style="277" customWidth="1"/>
    <col min="13577" max="13577" width="44.7109375" style="277" customWidth="1"/>
    <col min="13578" max="13578" width="65.7109375" style="277" customWidth="1"/>
    <col min="13579" max="13668" width="0" style="277" hidden="1" customWidth="1"/>
    <col min="13669" max="13676" width="30.7109375" style="277" customWidth="1"/>
    <col min="13677" max="13677" width="48.5703125" style="277" customWidth="1"/>
    <col min="13678" max="13686" width="0" style="277" hidden="1" customWidth="1"/>
    <col min="13687" max="13687" width="55.7109375" style="277" customWidth="1"/>
    <col min="13688" max="13688" width="163.28515625" style="277" customWidth="1"/>
    <col min="13689" max="13824" width="10.85546875" style="277"/>
    <col min="13825" max="13825" width="6.5703125" style="277" customWidth="1"/>
    <col min="13826" max="13826" width="125.42578125" style="277" customWidth="1"/>
    <col min="13827" max="13827" width="99.140625" style="277" customWidth="1"/>
    <col min="13828" max="13828" width="34.85546875" style="277" customWidth="1"/>
    <col min="13829" max="13829" width="36.7109375" style="277" customWidth="1"/>
    <col min="13830" max="13830" width="69.5703125" style="277" customWidth="1"/>
    <col min="13831" max="13831" width="61.85546875" style="277" customWidth="1"/>
    <col min="13832" max="13832" width="69.7109375" style="277" customWidth="1"/>
    <col min="13833" max="13833" width="44.7109375" style="277" customWidth="1"/>
    <col min="13834" max="13834" width="65.7109375" style="277" customWidth="1"/>
    <col min="13835" max="13924" width="0" style="277" hidden="1" customWidth="1"/>
    <col min="13925" max="13932" width="30.7109375" style="277" customWidth="1"/>
    <col min="13933" max="13933" width="48.5703125" style="277" customWidth="1"/>
    <col min="13934" max="13942" width="0" style="277" hidden="1" customWidth="1"/>
    <col min="13943" max="13943" width="55.7109375" style="277" customWidth="1"/>
    <col min="13944" max="13944" width="163.28515625" style="277" customWidth="1"/>
    <col min="13945" max="14080" width="10.85546875" style="277"/>
    <col min="14081" max="14081" width="6.5703125" style="277" customWidth="1"/>
    <col min="14082" max="14082" width="125.42578125" style="277" customWidth="1"/>
    <col min="14083" max="14083" width="99.140625" style="277" customWidth="1"/>
    <col min="14084" max="14084" width="34.85546875" style="277" customWidth="1"/>
    <col min="14085" max="14085" width="36.7109375" style="277" customWidth="1"/>
    <col min="14086" max="14086" width="69.5703125" style="277" customWidth="1"/>
    <col min="14087" max="14087" width="61.85546875" style="277" customWidth="1"/>
    <col min="14088" max="14088" width="69.7109375" style="277" customWidth="1"/>
    <col min="14089" max="14089" width="44.7109375" style="277" customWidth="1"/>
    <col min="14090" max="14090" width="65.7109375" style="277" customWidth="1"/>
    <col min="14091" max="14180" width="0" style="277" hidden="1" customWidth="1"/>
    <col min="14181" max="14188" width="30.7109375" style="277" customWidth="1"/>
    <col min="14189" max="14189" width="48.5703125" style="277" customWidth="1"/>
    <col min="14190" max="14198" width="0" style="277" hidden="1" customWidth="1"/>
    <col min="14199" max="14199" width="55.7109375" style="277" customWidth="1"/>
    <col min="14200" max="14200" width="163.28515625" style="277" customWidth="1"/>
    <col min="14201" max="14336" width="10.85546875" style="277"/>
    <col min="14337" max="14337" width="6.5703125" style="277" customWidth="1"/>
    <col min="14338" max="14338" width="125.42578125" style="277" customWidth="1"/>
    <col min="14339" max="14339" width="99.140625" style="277" customWidth="1"/>
    <col min="14340" max="14340" width="34.85546875" style="277" customWidth="1"/>
    <col min="14341" max="14341" width="36.7109375" style="277" customWidth="1"/>
    <col min="14342" max="14342" width="69.5703125" style="277" customWidth="1"/>
    <col min="14343" max="14343" width="61.85546875" style="277" customWidth="1"/>
    <col min="14344" max="14344" width="69.7109375" style="277" customWidth="1"/>
    <col min="14345" max="14345" width="44.7109375" style="277" customWidth="1"/>
    <col min="14346" max="14346" width="65.7109375" style="277" customWidth="1"/>
    <col min="14347" max="14436" width="0" style="277" hidden="1" customWidth="1"/>
    <col min="14437" max="14444" width="30.7109375" style="277" customWidth="1"/>
    <col min="14445" max="14445" width="48.5703125" style="277" customWidth="1"/>
    <col min="14446" max="14454" width="0" style="277" hidden="1" customWidth="1"/>
    <col min="14455" max="14455" width="55.7109375" style="277" customWidth="1"/>
    <col min="14456" max="14456" width="163.28515625" style="277" customWidth="1"/>
    <col min="14457" max="14592" width="10.85546875" style="277"/>
    <col min="14593" max="14593" width="6.5703125" style="277" customWidth="1"/>
    <col min="14594" max="14594" width="125.42578125" style="277" customWidth="1"/>
    <col min="14595" max="14595" width="99.140625" style="277" customWidth="1"/>
    <col min="14596" max="14596" width="34.85546875" style="277" customWidth="1"/>
    <col min="14597" max="14597" width="36.7109375" style="277" customWidth="1"/>
    <col min="14598" max="14598" width="69.5703125" style="277" customWidth="1"/>
    <col min="14599" max="14599" width="61.85546875" style="277" customWidth="1"/>
    <col min="14600" max="14600" width="69.7109375" style="277" customWidth="1"/>
    <col min="14601" max="14601" width="44.7109375" style="277" customWidth="1"/>
    <col min="14602" max="14602" width="65.7109375" style="277" customWidth="1"/>
    <col min="14603" max="14692" width="0" style="277" hidden="1" customWidth="1"/>
    <col min="14693" max="14700" width="30.7109375" style="277" customWidth="1"/>
    <col min="14701" max="14701" width="48.5703125" style="277" customWidth="1"/>
    <col min="14702" max="14710" width="0" style="277" hidden="1" customWidth="1"/>
    <col min="14711" max="14711" width="55.7109375" style="277" customWidth="1"/>
    <col min="14712" max="14712" width="163.28515625" style="277" customWidth="1"/>
    <col min="14713" max="14848" width="10.85546875" style="277"/>
    <col min="14849" max="14849" width="6.5703125" style="277" customWidth="1"/>
    <col min="14850" max="14850" width="125.42578125" style="277" customWidth="1"/>
    <col min="14851" max="14851" width="99.140625" style="277" customWidth="1"/>
    <col min="14852" max="14852" width="34.85546875" style="277" customWidth="1"/>
    <col min="14853" max="14853" width="36.7109375" style="277" customWidth="1"/>
    <col min="14854" max="14854" width="69.5703125" style="277" customWidth="1"/>
    <col min="14855" max="14855" width="61.85546875" style="277" customWidth="1"/>
    <col min="14856" max="14856" width="69.7109375" style="277" customWidth="1"/>
    <col min="14857" max="14857" width="44.7109375" style="277" customWidth="1"/>
    <col min="14858" max="14858" width="65.7109375" style="277" customWidth="1"/>
    <col min="14859" max="14948" width="0" style="277" hidden="1" customWidth="1"/>
    <col min="14949" max="14956" width="30.7109375" style="277" customWidth="1"/>
    <col min="14957" max="14957" width="48.5703125" style="277" customWidth="1"/>
    <col min="14958" max="14966" width="0" style="277" hidden="1" customWidth="1"/>
    <col min="14967" max="14967" width="55.7109375" style="277" customWidth="1"/>
    <col min="14968" max="14968" width="163.28515625" style="277" customWidth="1"/>
    <col min="14969" max="15104" width="10.85546875" style="277"/>
    <col min="15105" max="15105" width="6.5703125" style="277" customWidth="1"/>
    <col min="15106" max="15106" width="125.42578125" style="277" customWidth="1"/>
    <col min="15107" max="15107" width="99.140625" style="277" customWidth="1"/>
    <col min="15108" max="15108" width="34.85546875" style="277" customWidth="1"/>
    <col min="15109" max="15109" width="36.7109375" style="277" customWidth="1"/>
    <col min="15110" max="15110" width="69.5703125" style="277" customWidth="1"/>
    <col min="15111" max="15111" width="61.85546875" style="277" customWidth="1"/>
    <col min="15112" max="15112" width="69.7109375" style="277" customWidth="1"/>
    <col min="15113" max="15113" width="44.7109375" style="277" customWidth="1"/>
    <col min="15114" max="15114" width="65.7109375" style="277" customWidth="1"/>
    <col min="15115" max="15204" width="0" style="277" hidden="1" customWidth="1"/>
    <col min="15205" max="15212" width="30.7109375" style="277" customWidth="1"/>
    <col min="15213" max="15213" width="48.5703125" style="277" customWidth="1"/>
    <col min="15214" max="15222" width="0" style="277" hidden="1" customWidth="1"/>
    <col min="15223" max="15223" width="55.7109375" style="277" customWidth="1"/>
    <col min="15224" max="15224" width="163.28515625" style="277" customWidth="1"/>
    <col min="15225" max="15360" width="10.85546875" style="277"/>
    <col min="15361" max="15361" width="6.5703125" style="277" customWidth="1"/>
    <col min="15362" max="15362" width="125.42578125" style="277" customWidth="1"/>
    <col min="15363" max="15363" width="99.140625" style="277" customWidth="1"/>
    <col min="15364" max="15364" width="34.85546875" style="277" customWidth="1"/>
    <col min="15365" max="15365" width="36.7109375" style="277" customWidth="1"/>
    <col min="15366" max="15366" width="69.5703125" style="277" customWidth="1"/>
    <col min="15367" max="15367" width="61.85546875" style="277" customWidth="1"/>
    <col min="15368" max="15368" width="69.7109375" style="277" customWidth="1"/>
    <col min="15369" max="15369" width="44.7109375" style="277" customWidth="1"/>
    <col min="15370" max="15370" width="65.7109375" style="277" customWidth="1"/>
    <col min="15371" max="15460" width="0" style="277" hidden="1" customWidth="1"/>
    <col min="15461" max="15468" width="30.7109375" style="277" customWidth="1"/>
    <col min="15469" max="15469" width="48.5703125" style="277" customWidth="1"/>
    <col min="15470" max="15478" width="0" style="277" hidden="1" customWidth="1"/>
    <col min="15479" max="15479" width="55.7109375" style="277" customWidth="1"/>
    <col min="15480" max="15480" width="163.28515625" style="277" customWidth="1"/>
    <col min="15481" max="15616" width="10.85546875" style="277"/>
    <col min="15617" max="15617" width="6.5703125" style="277" customWidth="1"/>
    <col min="15618" max="15618" width="125.42578125" style="277" customWidth="1"/>
    <col min="15619" max="15619" width="99.140625" style="277" customWidth="1"/>
    <col min="15620" max="15620" width="34.85546875" style="277" customWidth="1"/>
    <col min="15621" max="15621" width="36.7109375" style="277" customWidth="1"/>
    <col min="15622" max="15622" width="69.5703125" style="277" customWidth="1"/>
    <col min="15623" max="15623" width="61.85546875" style="277" customWidth="1"/>
    <col min="15624" max="15624" width="69.7109375" style="277" customWidth="1"/>
    <col min="15625" max="15625" width="44.7109375" style="277" customWidth="1"/>
    <col min="15626" max="15626" width="65.7109375" style="277" customWidth="1"/>
    <col min="15627" max="15716" width="0" style="277" hidden="1" customWidth="1"/>
    <col min="15717" max="15724" width="30.7109375" style="277" customWidth="1"/>
    <col min="15725" max="15725" width="48.5703125" style="277" customWidth="1"/>
    <col min="15726" max="15734" width="0" style="277" hidden="1" customWidth="1"/>
    <col min="15735" max="15735" width="55.7109375" style="277" customWidth="1"/>
    <col min="15736" max="15736" width="163.28515625" style="277" customWidth="1"/>
    <col min="15737" max="15872" width="10.85546875" style="277"/>
    <col min="15873" max="15873" width="6.5703125" style="277" customWidth="1"/>
    <col min="15874" max="15874" width="125.42578125" style="277" customWidth="1"/>
    <col min="15875" max="15875" width="99.140625" style="277" customWidth="1"/>
    <col min="15876" max="15876" width="34.85546875" style="277" customWidth="1"/>
    <col min="15877" max="15877" width="36.7109375" style="277" customWidth="1"/>
    <col min="15878" max="15878" width="69.5703125" style="277" customWidth="1"/>
    <col min="15879" max="15879" width="61.85546875" style="277" customWidth="1"/>
    <col min="15880" max="15880" width="69.7109375" style="277" customWidth="1"/>
    <col min="15881" max="15881" width="44.7109375" style="277" customWidth="1"/>
    <col min="15882" max="15882" width="65.7109375" style="277" customWidth="1"/>
    <col min="15883" max="15972" width="0" style="277" hidden="1" customWidth="1"/>
    <col min="15973" max="15980" width="30.7109375" style="277" customWidth="1"/>
    <col min="15981" max="15981" width="48.5703125" style="277" customWidth="1"/>
    <col min="15982" max="15990" width="0" style="277" hidden="1" customWidth="1"/>
    <col min="15991" max="15991" width="55.7109375" style="277" customWidth="1"/>
    <col min="15992" max="15992" width="163.28515625" style="277" customWidth="1"/>
    <col min="15993" max="16128" width="10.85546875" style="277"/>
    <col min="16129" max="16129" width="6.5703125" style="277" customWidth="1"/>
    <col min="16130" max="16130" width="125.42578125" style="277" customWidth="1"/>
    <col min="16131" max="16131" width="99.140625" style="277" customWidth="1"/>
    <col min="16132" max="16132" width="34.85546875" style="277" customWidth="1"/>
    <col min="16133" max="16133" width="36.7109375" style="277" customWidth="1"/>
    <col min="16134" max="16134" width="69.5703125" style="277" customWidth="1"/>
    <col min="16135" max="16135" width="61.85546875" style="277" customWidth="1"/>
    <col min="16136" max="16136" width="69.7109375" style="277" customWidth="1"/>
    <col min="16137" max="16137" width="44.7109375" style="277" customWidth="1"/>
    <col min="16138" max="16138" width="65.7109375" style="277" customWidth="1"/>
    <col min="16139" max="16228" width="0" style="277" hidden="1" customWidth="1"/>
    <col min="16229" max="16236" width="30.7109375" style="277" customWidth="1"/>
    <col min="16237" max="16237" width="48.5703125" style="277" customWidth="1"/>
    <col min="16238" max="16246" width="0" style="277" hidden="1" customWidth="1"/>
    <col min="16247" max="16247" width="55.7109375" style="277" customWidth="1"/>
    <col min="16248" max="16248" width="163.28515625" style="277" customWidth="1"/>
    <col min="16249" max="16384" width="10.85546875" style="277"/>
  </cols>
  <sheetData>
    <row r="2" spans="2:120">
      <c r="B2" s="683" t="s">
        <v>26</v>
      </c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  <c r="T2" s="683"/>
      <c r="U2" s="683"/>
      <c r="V2" s="683"/>
      <c r="W2" s="683"/>
      <c r="X2" s="683"/>
      <c r="Y2" s="683"/>
      <c r="Z2" s="683"/>
      <c r="AA2" s="683"/>
      <c r="AB2" s="683"/>
      <c r="AC2" s="683"/>
      <c r="AD2" s="683"/>
      <c r="AE2" s="683"/>
      <c r="AF2" s="683"/>
      <c r="AG2" s="683"/>
      <c r="AH2" s="683"/>
      <c r="AI2" s="683"/>
      <c r="AJ2" s="683"/>
      <c r="AK2" s="683"/>
      <c r="AL2" s="683"/>
      <c r="AM2" s="683"/>
      <c r="AN2" s="683"/>
      <c r="AO2" s="683"/>
      <c r="AP2" s="683"/>
      <c r="AQ2" s="683"/>
      <c r="AR2" s="683"/>
      <c r="AS2" s="683"/>
      <c r="AT2" s="683"/>
      <c r="AU2" s="683"/>
      <c r="AV2" s="683"/>
      <c r="AW2" s="683"/>
      <c r="AX2" s="683"/>
      <c r="AY2" s="683"/>
      <c r="AZ2" s="683"/>
      <c r="BA2" s="683"/>
      <c r="BB2" s="683"/>
      <c r="BC2" s="683"/>
      <c r="BD2" s="683"/>
      <c r="BE2" s="683"/>
      <c r="BF2" s="683"/>
      <c r="BG2" s="683"/>
      <c r="BH2" s="683"/>
      <c r="BI2" s="683"/>
      <c r="BJ2" s="683"/>
      <c r="BK2" s="683"/>
      <c r="BL2" s="683"/>
      <c r="BM2" s="683"/>
      <c r="BN2" s="683"/>
      <c r="BO2" s="683"/>
      <c r="BP2" s="683"/>
      <c r="BQ2" s="683"/>
      <c r="BR2" s="683"/>
      <c r="BS2" s="683"/>
      <c r="BT2" s="683"/>
      <c r="BU2" s="683"/>
      <c r="BV2" s="683"/>
      <c r="BW2" s="683"/>
      <c r="BX2" s="683"/>
      <c r="BY2" s="683"/>
      <c r="BZ2" s="683"/>
      <c r="CA2" s="683"/>
      <c r="CB2" s="683"/>
      <c r="CC2" s="683"/>
      <c r="CD2" s="683"/>
      <c r="CE2" s="683"/>
      <c r="CF2" s="683"/>
      <c r="CG2" s="683"/>
      <c r="CH2" s="683"/>
      <c r="CI2" s="683"/>
      <c r="CJ2" s="683"/>
      <c r="CK2" s="683"/>
      <c r="CL2" s="683"/>
      <c r="CM2" s="683"/>
      <c r="CN2" s="683"/>
      <c r="CO2" s="683"/>
      <c r="CP2" s="683"/>
      <c r="CQ2" s="683"/>
      <c r="CR2" s="683"/>
      <c r="CS2" s="683"/>
      <c r="CT2" s="683"/>
      <c r="CU2" s="683"/>
      <c r="CV2" s="683"/>
      <c r="CW2" s="683"/>
      <c r="CX2" s="683"/>
      <c r="CY2" s="683"/>
      <c r="CZ2" s="683"/>
      <c r="DA2" s="683"/>
      <c r="DB2" s="683"/>
      <c r="DC2" s="683"/>
      <c r="DD2" s="683"/>
      <c r="DE2" s="683"/>
      <c r="DF2" s="683"/>
      <c r="DG2" s="683"/>
      <c r="DH2" s="683"/>
      <c r="DI2" s="683"/>
      <c r="DJ2" s="683"/>
      <c r="DK2" s="683"/>
      <c r="DL2" s="683"/>
      <c r="DM2" s="683"/>
      <c r="DN2" s="683"/>
      <c r="DO2" s="683"/>
      <c r="DP2" s="683"/>
    </row>
    <row r="3" spans="2:120" ht="115.5" customHeight="1">
      <c r="B3" s="683"/>
      <c r="C3" s="683"/>
      <c r="D3" s="683"/>
      <c r="E3" s="683"/>
      <c r="F3" s="683"/>
      <c r="G3" s="683"/>
      <c r="H3" s="683"/>
      <c r="I3" s="683"/>
      <c r="J3" s="683"/>
      <c r="K3" s="683"/>
      <c r="L3" s="683"/>
      <c r="M3" s="683"/>
      <c r="N3" s="683"/>
      <c r="O3" s="683"/>
      <c r="P3" s="683"/>
      <c r="Q3" s="683"/>
      <c r="R3" s="683"/>
      <c r="S3" s="683"/>
      <c r="T3" s="683"/>
      <c r="U3" s="683"/>
      <c r="V3" s="683"/>
      <c r="W3" s="683"/>
      <c r="X3" s="683"/>
      <c r="Y3" s="683"/>
      <c r="Z3" s="683"/>
      <c r="AA3" s="683"/>
      <c r="AB3" s="683"/>
      <c r="AC3" s="683"/>
      <c r="AD3" s="683"/>
      <c r="AE3" s="683"/>
      <c r="AF3" s="683"/>
      <c r="AG3" s="683"/>
      <c r="AH3" s="683"/>
      <c r="AI3" s="683"/>
      <c r="AJ3" s="683"/>
      <c r="AK3" s="683"/>
      <c r="AL3" s="683"/>
      <c r="AM3" s="683"/>
      <c r="AN3" s="683"/>
      <c r="AO3" s="683"/>
      <c r="AP3" s="683"/>
      <c r="AQ3" s="683"/>
      <c r="AR3" s="683"/>
      <c r="AS3" s="683"/>
      <c r="AT3" s="683"/>
      <c r="AU3" s="683"/>
      <c r="AV3" s="683"/>
      <c r="AW3" s="683"/>
      <c r="AX3" s="683"/>
      <c r="AY3" s="683"/>
      <c r="AZ3" s="683"/>
      <c r="BA3" s="683"/>
      <c r="BB3" s="683"/>
      <c r="BC3" s="683"/>
      <c r="BD3" s="683"/>
      <c r="BE3" s="683"/>
      <c r="BF3" s="683"/>
      <c r="BG3" s="683"/>
      <c r="BH3" s="683"/>
      <c r="BI3" s="683"/>
      <c r="BJ3" s="683"/>
      <c r="BK3" s="683"/>
      <c r="BL3" s="683"/>
      <c r="BM3" s="683"/>
      <c r="BN3" s="683"/>
      <c r="BO3" s="683"/>
      <c r="BP3" s="683"/>
      <c r="BQ3" s="683"/>
      <c r="BR3" s="683"/>
      <c r="BS3" s="683"/>
      <c r="BT3" s="683"/>
      <c r="BU3" s="683"/>
      <c r="BV3" s="683"/>
      <c r="BW3" s="683"/>
      <c r="BX3" s="683"/>
      <c r="BY3" s="683"/>
      <c r="BZ3" s="683"/>
      <c r="CA3" s="683"/>
      <c r="CB3" s="683"/>
      <c r="CC3" s="683"/>
      <c r="CD3" s="683"/>
      <c r="CE3" s="683"/>
      <c r="CF3" s="683"/>
      <c r="CG3" s="683"/>
      <c r="CH3" s="683"/>
      <c r="CI3" s="683"/>
      <c r="CJ3" s="683"/>
      <c r="CK3" s="683"/>
      <c r="CL3" s="683"/>
      <c r="CM3" s="683"/>
      <c r="CN3" s="683"/>
      <c r="CO3" s="683"/>
      <c r="CP3" s="683"/>
      <c r="CQ3" s="683"/>
      <c r="CR3" s="683"/>
      <c r="CS3" s="683"/>
      <c r="CT3" s="683"/>
      <c r="CU3" s="683"/>
      <c r="CV3" s="683"/>
      <c r="CW3" s="683"/>
      <c r="CX3" s="683"/>
      <c r="CY3" s="683"/>
      <c r="CZ3" s="683"/>
      <c r="DA3" s="683"/>
      <c r="DB3" s="683"/>
      <c r="DC3" s="683"/>
      <c r="DD3" s="683"/>
      <c r="DE3" s="683"/>
      <c r="DF3" s="683"/>
      <c r="DG3" s="683"/>
      <c r="DH3" s="683"/>
      <c r="DI3" s="683"/>
      <c r="DJ3" s="683"/>
      <c r="DK3" s="683"/>
      <c r="DL3" s="683"/>
      <c r="DM3" s="683"/>
      <c r="DN3" s="683"/>
      <c r="DO3" s="683"/>
      <c r="DP3" s="683"/>
    </row>
    <row r="4" spans="2:120" ht="127.5" customHeight="1">
      <c r="B4" s="684" t="s">
        <v>205</v>
      </c>
      <c r="C4" s="684"/>
      <c r="D4" s="684"/>
      <c r="E4" s="684"/>
      <c r="F4" s="1"/>
    </row>
    <row r="5" spans="2:120" ht="69.95" customHeight="1">
      <c r="B5" s="341" t="s">
        <v>27</v>
      </c>
      <c r="C5" s="341"/>
      <c r="D5" s="341"/>
      <c r="E5" s="341"/>
      <c r="F5" s="2"/>
      <c r="J5" s="281"/>
      <c r="K5" s="282"/>
      <c r="L5" s="282"/>
      <c r="P5" s="283"/>
      <c r="Q5" s="283"/>
      <c r="R5" s="283"/>
      <c r="S5" s="283"/>
      <c r="T5" s="284"/>
      <c r="U5" s="284"/>
    </row>
    <row r="6" spans="2:120" ht="157.5" customHeight="1">
      <c r="B6" s="684" t="s">
        <v>25</v>
      </c>
      <c r="C6" s="684"/>
      <c r="D6" s="684"/>
      <c r="E6" s="684"/>
      <c r="F6" s="1"/>
      <c r="J6" s="285"/>
      <c r="K6" s="286"/>
      <c r="L6" s="286"/>
      <c r="P6" s="283"/>
      <c r="Q6" s="283"/>
      <c r="R6" s="283"/>
      <c r="S6" s="283"/>
      <c r="T6" s="287"/>
      <c r="U6" s="287"/>
    </row>
    <row r="7" spans="2:120" ht="77.25" customHeight="1">
      <c r="B7" s="410" t="s">
        <v>28</v>
      </c>
      <c r="C7" s="410"/>
      <c r="D7" s="410"/>
      <c r="E7" s="410"/>
      <c r="F7" s="2"/>
      <c r="P7" s="283"/>
      <c r="Q7" s="283"/>
      <c r="R7" s="283"/>
      <c r="S7" s="283"/>
      <c r="T7" s="284"/>
      <c r="U7" s="284"/>
    </row>
    <row r="8" spans="2:120" ht="77.45" customHeight="1">
      <c r="B8" s="684" t="s">
        <v>29</v>
      </c>
      <c r="C8" s="684"/>
      <c r="D8" s="684"/>
      <c r="E8" s="684"/>
      <c r="F8" s="1"/>
      <c r="P8" s="283"/>
      <c r="Q8" s="283"/>
      <c r="R8" s="283"/>
      <c r="S8" s="283"/>
      <c r="T8" s="284"/>
      <c r="U8" s="284"/>
    </row>
    <row r="9" spans="2:120" ht="103.5" customHeight="1">
      <c r="B9" s="410" t="s">
        <v>30</v>
      </c>
      <c r="C9" s="410"/>
      <c r="D9" s="410"/>
      <c r="E9" s="410"/>
      <c r="F9" s="2"/>
      <c r="K9" s="685" t="s">
        <v>72</v>
      </c>
      <c r="L9" s="685"/>
      <c r="M9" s="685"/>
      <c r="N9" s="685"/>
      <c r="O9" s="685"/>
      <c r="P9" s="685"/>
      <c r="Q9" s="685"/>
      <c r="R9" s="685"/>
      <c r="S9" s="685"/>
      <c r="T9" s="685"/>
      <c r="U9" s="685"/>
      <c r="V9" s="685"/>
      <c r="W9" s="685"/>
      <c r="X9" s="685"/>
      <c r="Y9" s="685"/>
      <c r="Z9" s="685"/>
      <c r="AA9" s="685"/>
      <c r="AB9" s="685"/>
      <c r="AC9" s="685"/>
      <c r="AD9" s="685"/>
      <c r="AE9" s="685"/>
      <c r="AF9" s="685"/>
      <c r="AG9" s="685"/>
      <c r="AH9" s="685"/>
      <c r="AI9" s="685"/>
      <c r="AJ9" s="685"/>
      <c r="AK9" s="685"/>
      <c r="AL9" s="685"/>
      <c r="AM9" s="685"/>
      <c r="AN9" s="685"/>
      <c r="AO9" s="685"/>
      <c r="AP9" s="685"/>
      <c r="AQ9" s="685"/>
      <c r="AR9" s="685"/>
      <c r="AS9" s="685"/>
      <c r="AT9" s="685"/>
      <c r="AU9" s="685"/>
      <c r="AV9" s="685"/>
      <c r="AW9" s="685"/>
      <c r="AX9" s="685"/>
      <c r="AY9" s="685"/>
      <c r="AZ9" s="685"/>
      <c r="BA9" s="685"/>
      <c r="BB9" s="685"/>
      <c r="BC9" s="685"/>
      <c r="BD9" s="685"/>
      <c r="BE9" s="685"/>
      <c r="BF9" s="685"/>
      <c r="BG9" s="685"/>
      <c r="BH9" s="685"/>
      <c r="BI9" s="685"/>
      <c r="BJ9" s="685"/>
      <c r="BK9" s="685"/>
      <c r="BL9" s="685"/>
      <c r="BM9" s="685"/>
      <c r="BN9" s="685"/>
      <c r="BO9" s="685"/>
      <c r="BP9" s="685"/>
      <c r="BQ9" s="685"/>
      <c r="BR9" s="685"/>
      <c r="BS9" s="685"/>
      <c r="BT9" s="685"/>
      <c r="BU9" s="685"/>
      <c r="BV9" s="685"/>
      <c r="BW9" s="685"/>
      <c r="BX9" s="685"/>
      <c r="BY9" s="685"/>
      <c r="BZ9" s="685"/>
      <c r="CA9" s="685"/>
      <c r="CB9" s="685"/>
      <c r="CC9" s="685"/>
      <c r="CD9" s="685"/>
      <c r="CE9" s="685"/>
      <c r="CF9" s="685"/>
      <c r="CG9" s="685"/>
      <c r="CH9" s="685"/>
      <c r="CI9" s="685"/>
      <c r="CJ9" s="685"/>
      <c r="CK9" s="685"/>
      <c r="CL9" s="685"/>
      <c r="CM9" s="685"/>
      <c r="CN9" s="685"/>
      <c r="CO9" s="685"/>
      <c r="CP9" s="685"/>
      <c r="CQ9" s="685"/>
      <c r="CR9" s="685"/>
      <c r="CS9" s="685"/>
      <c r="CT9" s="685"/>
      <c r="CU9" s="685"/>
      <c r="CV9" s="685"/>
      <c r="CW9" s="685"/>
      <c r="CX9" s="685"/>
      <c r="CY9" s="685"/>
      <c r="CZ9" s="685"/>
      <c r="DA9" s="685"/>
      <c r="DB9" s="685"/>
      <c r="DC9" s="685"/>
      <c r="DD9" s="685"/>
      <c r="DE9" s="685"/>
      <c r="DF9" s="685"/>
      <c r="DG9" s="685"/>
      <c r="DH9" s="685"/>
      <c r="DI9" s="685"/>
      <c r="DJ9" s="685"/>
      <c r="DK9" s="685"/>
      <c r="DL9" s="685"/>
      <c r="DM9" s="685"/>
      <c r="DN9" s="685"/>
      <c r="DO9" s="685"/>
      <c r="DP9" s="685"/>
    </row>
    <row r="10" spans="2:120" ht="90" customHeight="1">
      <c r="B10" s="687" t="s">
        <v>32</v>
      </c>
      <c r="C10" s="687" t="s">
        <v>33</v>
      </c>
      <c r="D10" s="687" t="s">
        <v>34</v>
      </c>
      <c r="E10" s="687"/>
      <c r="F10" s="682" t="s">
        <v>35</v>
      </c>
      <c r="G10" s="682" t="s">
        <v>36</v>
      </c>
      <c r="H10" s="688" t="s">
        <v>37</v>
      </c>
      <c r="I10" s="688"/>
      <c r="J10" s="689" t="s">
        <v>55</v>
      </c>
      <c r="K10" s="686"/>
      <c r="L10" s="686"/>
      <c r="M10" s="686"/>
      <c r="N10" s="686"/>
      <c r="O10" s="686"/>
      <c r="P10" s="686"/>
      <c r="Q10" s="686"/>
      <c r="R10" s="686"/>
      <c r="S10" s="686"/>
      <c r="T10" s="686"/>
      <c r="U10" s="686"/>
      <c r="V10" s="686"/>
      <c r="W10" s="686"/>
      <c r="X10" s="686"/>
      <c r="Y10" s="686"/>
      <c r="Z10" s="686"/>
      <c r="AA10" s="686"/>
      <c r="AB10" s="686"/>
      <c r="AC10" s="686"/>
      <c r="AD10" s="686"/>
      <c r="AE10" s="686"/>
      <c r="AF10" s="686"/>
      <c r="AG10" s="686"/>
      <c r="AH10" s="686"/>
      <c r="AI10" s="686"/>
      <c r="AJ10" s="686"/>
      <c r="AK10" s="686"/>
      <c r="AL10" s="686"/>
      <c r="AM10" s="686"/>
      <c r="AN10" s="686"/>
      <c r="AO10" s="686"/>
      <c r="AP10" s="686"/>
      <c r="AQ10" s="686"/>
      <c r="AR10" s="686"/>
      <c r="AS10" s="686"/>
      <c r="AT10" s="686"/>
      <c r="AU10" s="686"/>
      <c r="AV10" s="686"/>
      <c r="AW10" s="686"/>
      <c r="AX10" s="686"/>
      <c r="AY10" s="686"/>
      <c r="AZ10" s="686"/>
      <c r="BA10" s="686"/>
      <c r="BB10" s="686"/>
      <c r="BC10" s="686"/>
      <c r="BD10" s="686"/>
      <c r="BE10" s="686"/>
      <c r="BF10" s="686"/>
      <c r="BG10" s="686"/>
      <c r="BH10" s="686"/>
      <c r="BI10" s="686"/>
      <c r="BJ10" s="686"/>
      <c r="BK10" s="686"/>
      <c r="BL10" s="686"/>
      <c r="BM10" s="686"/>
      <c r="BN10" s="686"/>
      <c r="BO10" s="686"/>
      <c r="BP10" s="686"/>
      <c r="BQ10" s="686"/>
      <c r="BR10" s="686"/>
      <c r="BS10" s="686"/>
      <c r="BT10" s="686"/>
      <c r="BU10" s="686"/>
      <c r="BV10" s="686"/>
      <c r="BW10" s="686"/>
      <c r="BX10" s="686"/>
      <c r="BY10" s="686"/>
      <c r="BZ10" s="686"/>
      <c r="CA10" s="686"/>
      <c r="CB10" s="686"/>
      <c r="CC10" s="686"/>
      <c r="CD10" s="686"/>
      <c r="CE10" s="686"/>
      <c r="CF10" s="686"/>
      <c r="CG10" s="686"/>
      <c r="CH10" s="686"/>
      <c r="CI10" s="686"/>
      <c r="CJ10" s="686"/>
      <c r="CK10" s="686"/>
      <c r="CL10" s="686"/>
      <c r="CM10" s="686"/>
      <c r="CN10" s="686"/>
      <c r="CO10" s="686"/>
      <c r="CP10" s="686"/>
      <c r="CQ10" s="686"/>
      <c r="CR10" s="686"/>
      <c r="CS10" s="686"/>
      <c r="CT10" s="686"/>
      <c r="CU10" s="686"/>
      <c r="CV10" s="686"/>
      <c r="CW10" s="686"/>
      <c r="CX10" s="686"/>
      <c r="CY10" s="686"/>
      <c r="CZ10" s="686"/>
      <c r="DA10" s="686"/>
      <c r="DB10" s="686"/>
      <c r="DC10" s="686"/>
      <c r="DD10" s="686"/>
      <c r="DE10" s="686"/>
      <c r="DF10" s="686"/>
      <c r="DG10" s="686"/>
      <c r="DH10" s="686"/>
      <c r="DI10" s="686"/>
      <c r="DJ10" s="686"/>
      <c r="DK10" s="686"/>
      <c r="DL10" s="686"/>
      <c r="DM10" s="686"/>
      <c r="DN10" s="686"/>
      <c r="DO10" s="686"/>
      <c r="DP10" s="686"/>
    </row>
    <row r="11" spans="2:120" ht="24.95" customHeight="1">
      <c r="B11" s="687"/>
      <c r="C11" s="687"/>
      <c r="D11" s="687"/>
      <c r="E11" s="687"/>
      <c r="F11" s="682"/>
      <c r="G11" s="682"/>
      <c r="H11" s="682" t="s">
        <v>206</v>
      </c>
      <c r="I11" s="682" t="s">
        <v>207</v>
      </c>
      <c r="J11" s="689"/>
      <c r="K11" s="673" t="s">
        <v>41</v>
      </c>
      <c r="L11" s="674"/>
      <c r="M11" s="674"/>
      <c r="N11" s="674"/>
      <c r="O11" s="674"/>
      <c r="P11" s="674"/>
      <c r="Q11" s="674"/>
      <c r="R11" s="674"/>
      <c r="S11" s="675"/>
      <c r="T11" s="673" t="s">
        <v>42</v>
      </c>
      <c r="U11" s="674"/>
      <c r="V11" s="674"/>
      <c r="W11" s="674"/>
      <c r="X11" s="674"/>
      <c r="Y11" s="674"/>
      <c r="Z11" s="674"/>
      <c r="AA11" s="674"/>
      <c r="AB11" s="675"/>
      <c r="AC11" s="673" t="s">
        <v>43</v>
      </c>
      <c r="AD11" s="674"/>
      <c r="AE11" s="674"/>
      <c r="AF11" s="674"/>
      <c r="AG11" s="674"/>
      <c r="AH11" s="674"/>
      <c r="AI11" s="674"/>
      <c r="AJ11" s="674"/>
      <c r="AK11" s="675"/>
      <c r="AL11" s="673" t="s">
        <v>44</v>
      </c>
      <c r="AM11" s="674"/>
      <c r="AN11" s="674"/>
      <c r="AO11" s="674"/>
      <c r="AP11" s="674"/>
      <c r="AQ11" s="674"/>
      <c r="AR11" s="674"/>
      <c r="AS11" s="674"/>
      <c r="AT11" s="675"/>
      <c r="AU11" s="673" t="s">
        <v>45</v>
      </c>
      <c r="AV11" s="674"/>
      <c r="AW11" s="674"/>
      <c r="AX11" s="674"/>
      <c r="AY11" s="674"/>
      <c r="AZ11" s="674"/>
      <c r="BA11" s="674"/>
      <c r="BB11" s="674"/>
      <c r="BC11" s="675"/>
      <c r="BD11" s="673" t="s">
        <v>46</v>
      </c>
      <c r="BE11" s="674"/>
      <c r="BF11" s="674"/>
      <c r="BG11" s="674"/>
      <c r="BH11" s="674"/>
      <c r="BI11" s="674"/>
      <c r="BJ11" s="674"/>
      <c r="BK11" s="674"/>
      <c r="BL11" s="675"/>
      <c r="BM11" s="673" t="s">
        <v>47</v>
      </c>
      <c r="BN11" s="674"/>
      <c r="BO11" s="674"/>
      <c r="BP11" s="674"/>
      <c r="BQ11" s="674"/>
      <c r="BR11" s="674"/>
      <c r="BS11" s="674"/>
      <c r="BT11" s="674"/>
      <c r="BU11" s="675"/>
      <c r="BV11" s="673" t="s">
        <v>48</v>
      </c>
      <c r="BW11" s="674"/>
      <c r="BX11" s="674"/>
      <c r="BY11" s="674"/>
      <c r="BZ11" s="674"/>
      <c r="CA11" s="674"/>
      <c r="CB11" s="674"/>
      <c r="CC11" s="674"/>
      <c r="CD11" s="675"/>
      <c r="CE11" s="673" t="s">
        <v>49</v>
      </c>
      <c r="CF11" s="674"/>
      <c r="CG11" s="674"/>
      <c r="CH11" s="674"/>
      <c r="CI11" s="674"/>
      <c r="CJ11" s="674"/>
      <c r="CK11" s="674"/>
      <c r="CL11" s="674"/>
      <c r="CM11" s="675"/>
      <c r="CN11" s="673" t="s">
        <v>50</v>
      </c>
      <c r="CO11" s="674"/>
      <c r="CP11" s="674"/>
      <c r="CQ11" s="674"/>
      <c r="CR11" s="674"/>
      <c r="CS11" s="674"/>
      <c r="CT11" s="674"/>
      <c r="CU11" s="674"/>
      <c r="CV11" s="675"/>
      <c r="CW11" s="698" t="s">
        <v>51</v>
      </c>
      <c r="CX11" s="699"/>
      <c r="CY11" s="699"/>
      <c r="CZ11" s="699"/>
      <c r="DA11" s="699"/>
      <c r="DB11" s="699"/>
      <c r="DC11" s="699"/>
      <c r="DD11" s="699"/>
      <c r="DE11" s="700"/>
      <c r="DF11" s="673" t="s">
        <v>52</v>
      </c>
      <c r="DG11" s="674"/>
      <c r="DH11" s="674"/>
      <c r="DI11" s="674"/>
      <c r="DJ11" s="674"/>
      <c r="DK11" s="674"/>
      <c r="DL11" s="674"/>
      <c r="DM11" s="674"/>
      <c r="DN11" s="675"/>
      <c r="DO11" s="690" t="s">
        <v>53</v>
      </c>
      <c r="DP11" s="693" t="s">
        <v>2</v>
      </c>
    </row>
    <row r="12" spans="2:120" ht="48" customHeight="1">
      <c r="B12" s="687"/>
      <c r="C12" s="687"/>
      <c r="D12" s="687"/>
      <c r="E12" s="687"/>
      <c r="F12" s="682"/>
      <c r="G12" s="682"/>
      <c r="H12" s="682"/>
      <c r="I12" s="682"/>
      <c r="J12" s="689"/>
      <c r="K12" s="676"/>
      <c r="L12" s="677"/>
      <c r="M12" s="677"/>
      <c r="N12" s="677"/>
      <c r="O12" s="677"/>
      <c r="P12" s="677"/>
      <c r="Q12" s="677"/>
      <c r="R12" s="677"/>
      <c r="S12" s="678"/>
      <c r="T12" s="676"/>
      <c r="U12" s="677"/>
      <c r="V12" s="677"/>
      <c r="W12" s="677"/>
      <c r="X12" s="677"/>
      <c r="Y12" s="677"/>
      <c r="Z12" s="677"/>
      <c r="AA12" s="677"/>
      <c r="AB12" s="678"/>
      <c r="AC12" s="676"/>
      <c r="AD12" s="677"/>
      <c r="AE12" s="677"/>
      <c r="AF12" s="677"/>
      <c r="AG12" s="677"/>
      <c r="AH12" s="677"/>
      <c r="AI12" s="677"/>
      <c r="AJ12" s="677"/>
      <c r="AK12" s="678"/>
      <c r="AL12" s="676"/>
      <c r="AM12" s="677"/>
      <c r="AN12" s="677"/>
      <c r="AO12" s="677"/>
      <c r="AP12" s="677"/>
      <c r="AQ12" s="677"/>
      <c r="AR12" s="677"/>
      <c r="AS12" s="677"/>
      <c r="AT12" s="678"/>
      <c r="AU12" s="676"/>
      <c r="AV12" s="677"/>
      <c r="AW12" s="677"/>
      <c r="AX12" s="677"/>
      <c r="AY12" s="677"/>
      <c r="AZ12" s="677"/>
      <c r="BA12" s="677"/>
      <c r="BB12" s="677"/>
      <c r="BC12" s="678"/>
      <c r="BD12" s="676"/>
      <c r="BE12" s="677"/>
      <c r="BF12" s="677"/>
      <c r="BG12" s="677"/>
      <c r="BH12" s="677"/>
      <c r="BI12" s="677"/>
      <c r="BJ12" s="677"/>
      <c r="BK12" s="677"/>
      <c r="BL12" s="678"/>
      <c r="BM12" s="676"/>
      <c r="BN12" s="677"/>
      <c r="BO12" s="677"/>
      <c r="BP12" s="677"/>
      <c r="BQ12" s="677"/>
      <c r="BR12" s="677"/>
      <c r="BS12" s="677"/>
      <c r="BT12" s="677"/>
      <c r="BU12" s="678"/>
      <c r="BV12" s="676"/>
      <c r="BW12" s="677"/>
      <c r="BX12" s="677"/>
      <c r="BY12" s="677"/>
      <c r="BZ12" s="677"/>
      <c r="CA12" s="677"/>
      <c r="CB12" s="677"/>
      <c r="CC12" s="677"/>
      <c r="CD12" s="678"/>
      <c r="CE12" s="676"/>
      <c r="CF12" s="677"/>
      <c r="CG12" s="677"/>
      <c r="CH12" s="677"/>
      <c r="CI12" s="677"/>
      <c r="CJ12" s="677"/>
      <c r="CK12" s="677"/>
      <c r="CL12" s="677"/>
      <c r="CM12" s="678"/>
      <c r="CN12" s="676"/>
      <c r="CO12" s="677"/>
      <c r="CP12" s="677"/>
      <c r="CQ12" s="677"/>
      <c r="CR12" s="677"/>
      <c r="CS12" s="677"/>
      <c r="CT12" s="677"/>
      <c r="CU12" s="677"/>
      <c r="CV12" s="678"/>
      <c r="CW12" s="701"/>
      <c r="CX12" s="702"/>
      <c r="CY12" s="702"/>
      <c r="CZ12" s="702"/>
      <c r="DA12" s="702"/>
      <c r="DB12" s="702"/>
      <c r="DC12" s="702"/>
      <c r="DD12" s="702"/>
      <c r="DE12" s="703"/>
      <c r="DF12" s="676"/>
      <c r="DG12" s="677"/>
      <c r="DH12" s="677"/>
      <c r="DI12" s="677"/>
      <c r="DJ12" s="677"/>
      <c r="DK12" s="677"/>
      <c r="DL12" s="677"/>
      <c r="DM12" s="677"/>
      <c r="DN12" s="678"/>
      <c r="DO12" s="691"/>
      <c r="DP12" s="694"/>
    </row>
    <row r="13" spans="2:120" ht="78" customHeight="1">
      <c r="B13" s="687"/>
      <c r="C13" s="687"/>
      <c r="D13" s="687"/>
      <c r="E13" s="687"/>
      <c r="F13" s="682"/>
      <c r="G13" s="682"/>
      <c r="H13" s="682"/>
      <c r="I13" s="682"/>
      <c r="J13" s="696" t="s">
        <v>38</v>
      </c>
      <c r="K13" s="679"/>
      <c r="L13" s="680"/>
      <c r="M13" s="680"/>
      <c r="N13" s="680"/>
      <c r="O13" s="680"/>
      <c r="P13" s="680"/>
      <c r="Q13" s="680"/>
      <c r="R13" s="680"/>
      <c r="S13" s="681"/>
      <c r="T13" s="679"/>
      <c r="U13" s="680"/>
      <c r="V13" s="680"/>
      <c r="W13" s="680"/>
      <c r="X13" s="680"/>
      <c r="Y13" s="680"/>
      <c r="Z13" s="680"/>
      <c r="AA13" s="680"/>
      <c r="AB13" s="681"/>
      <c r="AC13" s="679"/>
      <c r="AD13" s="680"/>
      <c r="AE13" s="680"/>
      <c r="AF13" s="680"/>
      <c r="AG13" s="680"/>
      <c r="AH13" s="680"/>
      <c r="AI13" s="680"/>
      <c r="AJ13" s="680"/>
      <c r="AK13" s="681"/>
      <c r="AL13" s="679"/>
      <c r="AM13" s="680"/>
      <c r="AN13" s="680"/>
      <c r="AO13" s="680"/>
      <c r="AP13" s="680"/>
      <c r="AQ13" s="680"/>
      <c r="AR13" s="680"/>
      <c r="AS13" s="680"/>
      <c r="AT13" s="681"/>
      <c r="AU13" s="679"/>
      <c r="AV13" s="680"/>
      <c r="AW13" s="680"/>
      <c r="AX13" s="680"/>
      <c r="AY13" s="680"/>
      <c r="AZ13" s="680"/>
      <c r="BA13" s="680"/>
      <c r="BB13" s="680"/>
      <c r="BC13" s="681"/>
      <c r="BD13" s="679"/>
      <c r="BE13" s="680"/>
      <c r="BF13" s="680"/>
      <c r="BG13" s="680"/>
      <c r="BH13" s="680"/>
      <c r="BI13" s="680"/>
      <c r="BJ13" s="680"/>
      <c r="BK13" s="680"/>
      <c r="BL13" s="681"/>
      <c r="BM13" s="679"/>
      <c r="BN13" s="680"/>
      <c r="BO13" s="680"/>
      <c r="BP13" s="680"/>
      <c r="BQ13" s="680"/>
      <c r="BR13" s="680"/>
      <c r="BS13" s="680"/>
      <c r="BT13" s="680"/>
      <c r="BU13" s="681"/>
      <c r="BV13" s="679"/>
      <c r="BW13" s="680"/>
      <c r="BX13" s="680"/>
      <c r="BY13" s="680"/>
      <c r="BZ13" s="680"/>
      <c r="CA13" s="680"/>
      <c r="CB13" s="680"/>
      <c r="CC13" s="680"/>
      <c r="CD13" s="681"/>
      <c r="CE13" s="679"/>
      <c r="CF13" s="680"/>
      <c r="CG13" s="680"/>
      <c r="CH13" s="680"/>
      <c r="CI13" s="680"/>
      <c r="CJ13" s="680"/>
      <c r="CK13" s="680"/>
      <c r="CL13" s="680"/>
      <c r="CM13" s="681"/>
      <c r="CN13" s="679"/>
      <c r="CO13" s="680"/>
      <c r="CP13" s="680"/>
      <c r="CQ13" s="680"/>
      <c r="CR13" s="680"/>
      <c r="CS13" s="680"/>
      <c r="CT13" s="680"/>
      <c r="CU13" s="680"/>
      <c r="CV13" s="681"/>
      <c r="CW13" s="704"/>
      <c r="CX13" s="705"/>
      <c r="CY13" s="705"/>
      <c r="CZ13" s="705"/>
      <c r="DA13" s="705"/>
      <c r="DB13" s="705"/>
      <c r="DC13" s="705"/>
      <c r="DD13" s="705"/>
      <c r="DE13" s="706"/>
      <c r="DF13" s="679"/>
      <c r="DG13" s="680"/>
      <c r="DH13" s="680"/>
      <c r="DI13" s="680"/>
      <c r="DJ13" s="680"/>
      <c r="DK13" s="680"/>
      <c r="DL13" s="680"/>
      <c r="DM13" s="680"/>
      <c r="DN13" s="681"/>
      <c r="DO13" s="691"/>
      <c r="DP13" s="694"/>
    </row>
    <row r="14" spans="2:120" ht="99.95" customHeight="1">
      <c r="B14" s="687"/>
      <c r="C14" s="687"/>
      <c r="D14" s="687"/>
      <c r="E14" s="687"/>
      <c r="F14" s="682"/>
      <c r="G14" s="682"/>
      <c r="H14" s="682"/>
      <c r="I14" s="682"/>
      <c r="J14" s="697"/>
      <c r="K14" s="288" t="s">
        <v>56</v>
      </c>
      <c r="L14" s="288" t="s">
        <v>57</v>
      </c>
      <c r="M14" s="288" t="s">
        <v>58</v>
      </c>
      <c r="N14" s="288" t="s">
        <v>59</v>
      </c>
      <c r="O14" s="288" t="s">
        <v>60</v>
      </c>
      <c r="P14" s="288" t="s">
        <v>61</v>
      </c>
      <c r="Q14" s="288" t="s">
        <v>62</v>
      </c>
      <c r="R14" s="288" t="s">
        <v>63</v>
      </c>
      <c r="S14" s="288" t="s">
        <v>64</v>
      </c>
      <c r="T14" s="288" t="s">
        <v>56</v>
      </c>
      <c r="U14" s="288" t="s">
        <v>57</v>
      </c>
      <c r="V14" s="288" t="s">
        <v>58</v>
      </c>
      <c r="W14" s="288" t="s">
        <v>59</v>
      </c>
      <c r="X14" s="288" t="s">
        <v>60</v>
      </c>
      <c r="Y14" s="288" t="s">
        <v>61</v>
      </c>
      <c r="Z14" s="288" t="s">
        <v>62</v>
      </c>
      <c r="AA14" s="288" t="s">
        <v>63</v>
      </c>
      <c r="AB14" s="288" t="s">
        <v>64</v>
      </c>
      <c r="AC14" s="288" t="s">
        <v>56</v>
      </c>
      <c r="AD14" s="288" t="s">
        <v>57</v>
      </c>
      <c r="AE14" s="288" t="s">
        <v>58</v>
      </c>
      <c r="AF14" s="288" t="s">
        <v>59</v>
      </c>
      <c r="AG14" s="288" t="s">
        <v>60</v>
      </c>
      <c r="AH14" s="288" t="s">
        <v>61</v>
      </c>
      <c r="AI14" s="288" t="s">
        <v>62</v>
      </c>
      <c r="AJ14" s="288" t="s">
        <v>63</v>
      </c>
      <c r="AK14" s="288" t="s">
        <v>64</v>
      </c>
      <c r="AL14" s="288" t="s">
        <v>56</v>
      </c>
      <c r="AM14" s="288" t="s">
        <v>57</v>
      </c>
      <c r="AN14" s="288" t="s">
        <v>58</v>
      </c>
      <c r="AO14" s="288" t="s">
        <v>59</v>
      </c>
      <c r="AP14" s="288" t="s">
        <v>60</v>
      </c>
      <c r="AQ14" s="288" t="s">
        <v>61</v>
      </c>
      <c r="AR14" s="288" t="s">
        <v>62</v>
      </c>
      <c r="AS14" s="288" t="s">
        <v>63</v>
      </c>
      <c r="AT14" s="288" t="s">
        <v>64</v>
      </c>
      <c r="AU14" s="288" t="s">
        <v>56</v>
      </c>
      <c r="AV14" s="288" t="s">
        <v>57</v>
      </c>
      <c r="AW14" s="288" t="s">
        <v>58</v>
      </c>
      <c r="AX14" s="288" t="s">
        <v>59</v>
      </c>
      <c r="AY14" s="288" t="s">
        <v>60</v>
      </c>
      <c r="AZ14" s="288" t="s">
        <v>61</v>
      </c>
      <c r="BA14" s="288" t="s">
        <v>62</v>
      </c>
      <c r="BB14" s="288" t="s">
        <v>63</v>
      </c>
      <c r="BC14" s="288" t="s">
        <v>64</v>
      </c>
      <c r="BD14" s="288" t="s">
        <v>56</v>
      </c>
      <c r="BE14" s="288" t="s">
        <v>57</v>
      </c>
      <c r="BF14" s="288" t="s">
        <v>58</v>
      </c>
      <c r="BG14" s="288" t="s">
        <v>59</v>
      </c>
      <c r="BH14" s="288" t="s">
        <v>60</v>
      </c>
      <c r="BI14" s="288" t="s">
        <v>61</v>
      </c>
      <c r="BJ14" s="288" t="s">
        <v>62</v>
      </c>
      <c r="BK14" s="288" t="s">
        <v>63</v>
      </c>
      <c r="BL14" s="288" t="s">
        <v>64</v>
      </c>
      <c r="BM14" s="288" t="s">
        <v>56</v>
      </c>
      <c r="BN14" s="288" t="s">
        <v>57</v>
      </c>
      <c r="BO14" s="288" t="s">
        <v>58</v>
      </c>
      <c r="BP14" s="288" t="s">
        <v>59</v>
      </c>
      <c r="BQ14" s="288" t="s">
        <v>60</v>
      </c>
      <c r="BR14" s="288" t="s">
        <v>61</v>
      </c>
      <c r="BS14" s="288" t="s">
        <v>62</v>
      </c>
      <c r="BT14" s="288" t="s">
        <v>63</v>
      </c>
      <c r="BU14" s="288" t="s">
        <v>64</v>
      </c>
      <c r="BV14" s="288" t="s">
        <v>56</v>
      </c>
      <c r="BW14" s="288" t="s">
        <v>57</v>
      </c>
      <c r="BX14" s="288" t="s">
        <v>58</v>
      </c>
      <c r="BY14" s="288" t="s">
        <v>59</v>
      </c>
      <c r="BZ14" s="288" t="s">
        <v>60</v>
      </c>
      <c r="CA14" s="288" t="s">
        <v>61</v>
      </c>
      <c r="CB14" s="288" t="s">
        <v>62</v>
      </c>
      <c r="CC14" s="288" t="s">
        <v>63</v>
      </c>
      <c r="CD14" s="288" t="s">
        <v>64</v>
      </c>
      <c r="CE14" s="288" t="s">
        <v>56</v>
      </c>
      <c r="CF14" s="288" t="s">
        <v>57</v>
      </c>
      <c r="CG14" s="288" t="s">
        <v>58</v>
      </c>
      <c r="CH14" s="288" t="s">
        <v>59</v>
      </c>
      <c r="CI14" s="288" t="s">
        <v>60</v>
      </c>
      <c r="CJ14" s="288" t="s">
        <v>61</v>
      </c>
      <c r="CK14" s="288" t="s">
        <v>62</v>
      </c>
      <c r="CL14" s="288" t="s">
        <v>63</v>
      </c>
      <c r="CM14" s="288" t="s">
        <v>64</v>
      </c>
      <c r="CN14" s="288" t="s">
        <v>56</v>
      </c>
      <c r="CO14" s="288" t="s">
        <v>57</v>
      </c>
      <c r="CP14" s="288" t="s">
        <v>58</v>
      </c>
      <c r="CQ14" s="288" t="s">
        <v>59</v>
      </c>
      <c r="CR14" s="288" t="s">
        <v>60</v>
      </c>
      <c r="CS14" s="288" t="s">
        <v>61</v>
      </c>
      <c r="CT14" s="288" t="s">
        <v>62</v>
      </c>
      <c r="CU14" s="288" t="s">
        <v>63</v>
      </c>
      <c r="CV14" s="288" t="s">
        <v>64</v>
      </c>
      <c r="CW14" s="288" t="s">
        <v>56</v>
      </c>
      <c r="CX14" s="288" t="s">
        <v>57</v>
      </c>
      <c r="CY14" s="288" t="s">
        <v>58</v>
      </c>
      <c r="CZ14" s="288" t="s">
        <v>59</v>
      </c>
      <c r="DA14" s="288" t="s">
        <v>60</v>
      </c>
      <c r="DB14" s="288" t="s">
        <v>61</v>
      </c>
      <c r="DC14" s="288" t="s">
        <v>62</v>
      </c>
      <c r="DD14" s="288" t="s">
        <v>63</v>
      </c>
      <c r="DE14" s="288" t="s">
        <v>64</v>
      </c>
      <c r="DF14" s="288" t="s">
        <v>56</v>
      </c>
      <c r="DG14" s="288" t="s">
        <v>57</v>
      </c>
      <c r="DH14" s="288" t="s">
        <v>58</v>
      </c>
      <c r="DI14" s="288" t="s">
        <v>59</v>
      </c>
      <c r="DJ14" s="288" t="s">
        <v>60</v>
      </c>
      <c r="DK14" s="288" t="s">
        <v>61</v>
      </c>
      <c r="DL14" s="288" t="s">
        <v>62</v>
      </c>
      <c r="DM14" s="288" t="s">
        <v>63</v>
      </c>
      <c r="DN14" s="288" t="s">
        <v>64</v>
      </c>
      <c r="DO14" s="692"/>
      <c r="DP14" s="695"/>
    </row>
    <row r="15" spans="2:120" ht="227.25" hidden="1" customHeight="1">
      <c r="B15" s="602" t="s">
        <v>121</v>
      </c>
      <c r="C15" s="598" t="s">
        <v>122</v>
      </c>
      <c r="D15" s="598" t="s">
        <v>4</v>
      </c>
      <c r="E15" s="598"/>
      <c r="F15" s="598" t="s">
        <v>208</v>
      </c>
      <c r="G15" s="672">
        <v>660</v>
      </c>
      <c r="H15" s="598" t="s">
        <v>209</v>
      </c>
      <c r="I15" s="617">
        <v>660</v>
      </c>
      <c r="J15" s="289" t="s">
        <v>65</v>
      </c>
      <c r="K15" s="640">
        <v>0</v>
      </c>
      <c r="L15" s="641"/>
      <c r="M15" s="641"/>
      <c r="N15" s="641"/>
      <c r="O15" s="641"/>
      <c r="P15" s="641"/>
      <c r="Q15" s="641"/>
      <c r="R15" s="642"/>
      <c r="S15" s="290">
        <f>SUM(K15)</f>
        <v>0</v>
      </c>
      <c r="T15" s="640">
        <v>0</v>
      </c>
      <c r="U15" s="641"/>
      <c r="V15" s="641"/>
      <c r="W15" s="641"/>
      <c r="X15" s="641"/>
      <c r="Y15" s="641"/>
      <c r="Z15" s="641"/>
      <c r="AA15" s="642"/>
      <c r="AB15" s="290">
        <f>SUM(T15)</f>
        <v>0</v>
      </c>
      <c r="AC15" s="640">
        <v>0</v>
      </c>
      <c r="AD15" s="641"/>
      <c r="AE15" s="641"/>
      <c r="AF15" s="641"/>
      <c r="AG15" s="641"/>
      <c r="AH15" s="641"/>
      <c r="AI15" s="641"/>
      <c r="AJ15" s="642"/>
      <c r="AK15" s="290">
        <f>SUM(AC15)</f>
        <v>0</v>
      </c>
      <c r="AL15" s="643">
        <v>0</v>
      </c>
      <c r="AM15" s="644"/>
      <c r="AN15" s="644"/>
      <c r="AO15" s="644"/>
      <c r="AP15" s="644"/>
      <c r="AQ15" s="644"/>
      <c r="AR15" s="644"/>
      <c r="AS15" s="645"/>
      <c r="AT15" s="291">
        <f>SUM(AL15)</f>
        <v>0</v>
      </c>
      <c r="AU15" s="640">
        <v>0</v>
      </c>
      <c r="AV15" s="641"/>
      <c r="AW15" s="641"/>
      <c r="AX15" s="641"/>
      <c r="AY15" s="641"/>
      <c r="AZ15" s="641"/>
      <c r="BA15" s="641"/>
      <c r="BB15" s="642"/>
      <c r="BC15" s="290">
        <f>SUM(AU15)</f>
        <v>0</v>
      </c>
      <c r="BD15" s="640">
        <v>0</v>
      </c>
      <c r="BE15" s="641"/>
      <c r="BF15" s="641"/>
      <c r="BG15" s="641"/>
      <c r="BH15" s="641"/>
      <c r="BI15" s="641"/>
      <c r="BJ15" s="641"/>
      <c r="BK15" s="642"/>
      <c r="BL15" s="290">
        <f>SUM(BD15)</f>
        <v>0</v>
      </c>
      <c r="BM15" s="640">
        <v>0</v>
      </c>
      <c r="BN15" s="641"/>
      <c r="BO15" s="641"/>
      <c r="BP15" s="641"/>
      <c r="BQ15" s="641"/>
      <c r="BR15" s="641"/>
      <c r="BS15" s="641"/>
      <c r="BT15" s="642"/>
      <c r="BU15" s="290">
        <f>SUM(BM15)</f>
        <v>0</v>
      </c>
      <c r="BV15" s="640">
        <v>660</v>
      </c>
      <c r="BW15" s="641"/>
      <c r="BX15" s="641"/>
      <c r="BY15" s="641"/>
      <c r="BZ15" s="641"/>
      <c r="CA15" s="641"/>
      <c r="CB15" s="641"/>
      <c r="CC15" s="642"/>
      <c r="CD15" s="290">
        <f>SUM(BV15)</f>
        <v>660</v>
      </c>
      <c r="CE15" s="635">
        <v>0</v>
      </c>
      <c r="CF15" s="636"/>
      <c r="CG15" s="636"/>
      <c r="CH15" s="636"/>
      <c r="CI15" s="636"/>
      <c r="CJ15" s="636"/>
      <c r="CK15" s="636"/>
      <c r="CL15" s="637"/>
      <c r="CM15" s="292">
        <f>SUM(CE15)</f>
        <v>0</v>
      </c>
      <c r="CN15" s="635">
        <v>0</v>
      </c>
      <c r="CO15" s="636"/>
      <c r="CP15" s="636"/>
      <c r="CQ15" s="636"/>
      <c r="CR15" s="636"/>
      <c r="CS15" s="636"/>
      <c r="CT15" s="636"/>
      <c r="CU15" s="637"/>
      <c r="CV15" s="292">
        <f>SUM(CN15)</f>
        <v>0</v>
      </c>
      <c r="CW15" s="635">
        <v>0</v>
      </c>
      <c r="CX15" s="636"/>
      <c r="CY15" s="636"/>
      <c r="CZ15" s="636"/>
      <c r="DA15" s="636"/>
      <c r="DB15" s="636"/>
      <c r="DC15" s="636"/>
      <c r="DD15" s="637"/>
      <c r="DE15" s="292">
        <f>SUM(CW15)</f>
        <v>0</v>
      </c>
      <c r="DF15" s="635">
        <v>0</v>
      </c>
      <c r="DG15" s="636"/>
      <c r="DH15" s="636"/>
      <c r="DI15" s="636"/>
      <c r="DJ15" s="636"/>
      <c r="DK15" s="636"/>
      <c r="DL15" s="636"/>
      <c r="DM15" s="637"/>
      <c r="DN15" s="292">
        <f>SUM(DF15)</f>
        <v>0</v>
      </c>
      <c r="DO15" s="293">
        <f>S15+AB15+AK15+AT15+BC15+BL15+BU15+CD15+CM15+CV15+DE15+DN15</f>
        <v>660</v>
      </c>
      <c r="DP15" s="294"/>
    </row>
    <row r="16" spans="2:120" ht="326.10000000000002" customHeight="1">
      <c r="B16" s="602"/>
      <c r="C16" s="598"/>
      <c r="D16" s="598"/>
      <c r="E16" s="598"/>
      <c r="F16" s="598"/>
      <c r="G16" s="598"/>
      <c r="H16" s="598"/>
      <c r="I16" s="671"/>
      <c r="J16" s="295" t="s">
        <v>66</v>
      </c>
      <c r="K16" s="296">
        <v>0</v>
      </c>
      <c r="L16" s="290">
        <v>0</v>
      </c>
      <c r="M16" s="290">
        <v>0</v>
      </c>
      <c r="N16" s="290">
        <v>0</v>
      </c>
      <c r="O16" s="290">
        <v>0</v>
      </c>
      <c r="P16" s="290">
        <v>0</v>
      </c>
      <c r="Q16" s="290">
        <v>0</v>
      </c>
      <c r="R16" s="290">
        <v>0</v>
      </c>
      <c r="S16" s="290">
        <f>SUM(K16:R16)</f>
        <v>0</v>
      </c>
      <c r="T16" s="296">
        <v>0</v>
      </c>
      <c r="U16" s="290">
        <v>0</v>
      </c>
      <c r="V16" s="290">
        <v>0</v>
      </c>
      <c r="W16" s="290">
        <v>0</v>
      </c>
      <c r="X16" s="290">
        <v>0</v>
      </c>
      <c r="Y16" s="290">
        <v>0</v>
      </c>
      <c r="Z16" s="290">
        <v>0</v>
      </c>
      <c r="AA16" s="290">
        <v>0</v>
      </c>
      <c r="AB16" s="290">
        <f>SUM(T16:AA16)</f>
        <v>0</v>
      </c>
      <c r="AC16" s="296">
        <v>0</v>
      </c>
      <c r="AD16" s="290">
        <v>0</v>
      </c>
      <c r="AE16" s="290">
        <v>0</v>
      </c>
      <c r="AF16" s="290">
        <v>0</v>
      </c>
      <c r="AG16" s="290">
        <v>0</v>
      </c>
      <c r="AH16" s="290">
        <v>0</v>
      </c>
      <c r="AI16" s="290">
        <v>0</v>
      </c>
      <c r="AJ16" s="290">
        <v>0</v>
      </c>
      <c r="AK16" s="290">
        <f>SUM(AC16:AJ16)</f>
        <v>0</v>
      </c>
      <c r="AL16" s="297">
        <v>0</v>
      </c>
      <c r="AM16" s="291">
        <v>0</v>
      </c>
      <c r="AN16" s="291">
        <v>0</v>
      </c>
      <c r="AO16" s="291">
        <v>0</v>
      </c>
      <c r="AP16" s="291">
        <v>0</v>
      </c>
      <c r="AQ16" s="291">
        <v>0</v>
      </c>
      <c r="AR16" s="291">
        <v>0</v>
      </c>
      <c r="AS16" s="291">
        <v>0</v>
      </c>
      <c r="AT16" s="291">
        <f>SUM(AL16:AS16)</f>
        <v>0</v>
      </c>
      <c r="AU16" s="296">
        <v>0</v>
      </c>
      <c r="AV16" s="290">
        <v>0</v>
      </c>
      <c r="AW16" s="290">
        <v>0</v>
      </c>
      <c r="AX16" s="290">
        <v>0</v>
      </c>
      <c r="AY16" s="290">
        <v>0</v>
      </c>
      <c r="AZ16" s="290">
        <v>0</v>
      </c>
      <c r="BA16" s="290">
        <v>0</v>
      </c>
      <c r="BB16" s="290">
        <v>0</v>
      </c>
      <c r="BC16" s="290">
        <f>SUM(AU16:BB16)</f>
        <v>0</v>
      </c>
      <c r="BD16" s="296">
        <v>0</v>
      </c>
      <c r="BE16" s="290">
        <v>0</v>
      </c>
      <c r="BF16" s="290">
        <v>0</v>
      </c>
      <c r="BG16" s="290">
        <v>0</v>
      </c>
      <c r="BH16" s="290">
        <v>24</v>
      </c>
      <c r="BI16" s="290">
        <v>0</v>
      </c>
      <c r="BJ16" s="290">
        <v>0</v>
      </c>
      <c r="BK16" s="290">
        <v>0</v>
      </c>
      <c r="BL16" s="290">
        <f>SUM(BD16:BK16)</f>
        <v>24</v>
      </c>
      <c r="BM16" s="297">
        <v>0</v>
      </c>
      <c r="BN16" s="291">
        <v>0</v>
      </c>
      <c r="BO16" s="291">
        <v>0</v>
      </c>
      <c r="BP16" s="291">
        <v>0</v>
      </c>
      <c r="BQ16" s="291">
        <v>23</v>
      </c>
      <c r="BR16" s="291">
        <v>0</v>
      </c>
      <c r="BS16" s="291">
        <v>0</v>
      </c>
      <c r="BT16" s="291">
        <v>0</v>
      </c>
      <c r="BU16" s="291">
        <f>SUM(BM16:BT16)</f>
        <v>23</v>
      </c>
      <c r="BV16" s="290">
        <v>0</v>
      </c>
      <c r="BW16" s="290">
        <v>0</v>
      </c>
      <c r="BX16" s="290">
        <v>0</v>
      </c>
      <c r="BY16" s="290">
        <v>0</v>
      </c>
      <c r="BZ16" s="290">
        <v>0</v>
      </c>
      <c r="CA16" s="290">
        <v>1</v>
      </c>
      <c r="CB16" s="290">
        <v>0</v>
      </c>
      <c r="CC16" s="290">
        <v>0</v>
      </c>
      <c r="CD16" s="298">
        <f>SUM(BV16:CC16)</f>
        <v>1</v>
      </c>
      <c r="CE16" s="299">
        <v>0</v>
      </c>
      <c r="CF16" s="300">
        <v>2</v>
      </c>
      <c r="CG16" s="300">
        <v>0</v>
      </c>
      <c r="CH16" s="300">
        <v>0</v>
      </c>
      <c r="CI16" s="300">
        <v>1</v>
      </c>
      <c r="CJ16" s="300">
        <v>0</v>
      </c>
      <c r="CK16" s="300">
        <v>0</v>
      </c>
      <c r="CL16" s="300">
        <v>0</v>
      </c>
      <c r="CM16" s="292">
        <f>SUM(CE16:CL16)</f>
        <v>3</v>
      </c>
      <c r="CN16" s="301">
        <v>169</v>
      </c>
      <c r="CO16" s="292">
        <v>183</v>
      </c>
      <c r="CP16" s="292">
        <v>165</v>
      </c>
      <c r="CQ16" s="292">
        <v>143</v>
      </c>
      <c r="CR16" s="292">
        <v>0</v>
      </c>
      <c r="CS16" s="292">
        <v>0</v>
      </c>
      <c r="CT16" s="292">
        <v>0</v>
      </c>
      <c r="CU16" s="292">
        <v>0</v>
      </c>
      <c r="CV16" s="292">
        <f>SUM(CN16:CU16)</f>
        <v>660</v>
      </c>
      <c r="CW16" s="301">
        <v>5</v>
      </c>
      <c r="CX16" s="292">
        <v>5</v>
      </c>
      <c r="CY16" s="292">
        <v>10</v>
      </c>
      <c r="CZ16" s="292">
        <v>2</v>
      </c>
      <c r="DA16" s="292">
        <v>0</v>
      </c>
      <c r="DB16" s="292">
        <v>0</v>
      </c>
      <c r="DC16" s="292">
        <v>0</v>
      </c>
      <c r="DD16" s="292">
        <v>0</v>
      </c>
      <c r="DE16" s="292">
        <f>SUM(CW16:DD16)</f>
        <v>22</v>
      </c>
      <c r="DF16" s="301">
        <v>0</v>
      </c>
      <c r="DG16" s="292">
        <v>0</v>
      </c>
      <c r="DH16" s="292">
        <v>0</v>
      </c>
      <c r="DI16" s="292">
        <v>0</v>
      </c>
      <c r="DJ16" s="292">
        <v>0</v>
      </c>
      <c r="DK16" s="292">
        <v>0</v>
      </c>
      <c r="DL16" s="292">
        <v>0</v>
      </c>
      <c r="DM16" s="292">
        <v>0</v>
      </c>
      <c r="DN16" s="292">
        <f>SUM(DF16:DM16)</f>
        <v>0</v>
      </c>
      <c r="DO16" s="293">
        <f>SUM(S16++AB16+AK16+AT16+BC16+BL16+BU16+CD16+CM16+CV16+DE16+DN16)</f>
        <v>733</v>
      </c>
      <c r="DP16" s="302"/>
    </row>
    <row r="17" spans="1:120" ht="229.5" hidden="1" customHeight="1">
      <c r="B17" s="602" t="s">
        <v>121</v>
      </c>
      <c r="C17" s="598" t="s">
        <v>122</v>
      </c>
      <c r="D17" s="598" t="s">
        <v>4</v>
      </c>
      <c r="E17" s="598"/>
      <c r="F17" s="622" t="s">
        <v>208</v>
      </c>
      <c r="G17" s="590" t="s">
        <v>0</v>
      </c>
      <c r="H17" s="596" t="s">
        <v>210</v>
      </c>
      <c r="I17" s="638">
        <v>500</v>
      </c>
      <c r="J17" s="289" t="s">
        <v>65</v>
      </c>
      <c r="K17" s="640">
        <v>500</v>
      </c>
      <c r="L17" s="641"/>
      <c r="M17" s="641"/>
      <c r="N17" s="641"/>
      <c r="O17" s="641"/>
      <c r="P17" s="641"/>
      <c r="Q17" s="641"/>
      <c r="R17" s="642"/>
      <c r="S17" s="290">
        <f t="shared" ref="S17:S60" si="0">SUM(K17)</f>
        <v>500</v>
      </c>
      <c r="T17" s="640"/>
      <c r="U17" s="641"/>
      <c r="V17" s="641"/>
      <c r="W17" s="641"/>
      <c r="X17" s="641"/>
      <c r="Y17" s="641"/>
      <c r="Z17" s="641"/>
      <c r="AA17" s="642"/>
      <c r="AB17" s="290">
        <f t="shared" ref="AB17:AB60" si="1">SUM(T17)</f>
        <v>0</v>
      </c>
      <c r="AC17" s="640">
        <v>0</v>
      </c>
      <c r="AD17" s="641"/>
      <c r="AE17" s="641"/>
      <c r="AF17" s="641"/>
      <c r="AG17" s="641"/>
      <c r="AH17" s="641"/>
      <c r="AI17" s="641"/>
      <c r="AJ17" s="642"/>
      <c r="AK17" s="290">
        <v>0</v>
      </c>
      <c r="AL17" s="643">
        <v>0</v>
      </c>
      <c r="AM17" s="644"/>
      <c r="AN17" s="644"/>
      <c r="AO17" s="644"/>
      <c r="AP17" s="644"/>
      <c r="AQ17" s="644"/>
      <c r="AR17" s="644"/>
      <c r="AS17" s="645"/>
      <c r="AT17" s="291">
        <v>0</v>
      </c>
      <c r="AU17" s="640">
        <v>0</v>
      </c>
      <c r="AV17" s="641"/>
      <c r="AW17" s="641"/>
      <c r="AX17" s="641"/>
      <c r="AY17" s="641"/>
      <c r="AZ17" s="641"/>
      <c r="BA17" s="641"/>
      <c r="BB17" s="642"/>
      <c r="BC17" s="290">
        <v>0</v>
      </c>
      <c r="BD17" s="640">
        <v>0</v>
      </c>
      <c r="BE17" s="641"/>
      <c r="BF17" s="641"/>
      <c r="BG17" s="641"/>
      <c r="BH17" s="641"/>
      <c r="BI17" s="641"/>
      <c r="BJ17" s="641"/>
      <c r="BK17" s="642"/>
      <c r="BL17" s="290">
        <v>0</v>
      </c>
      <c r="BM17" s="643">
        <v>0</v>
      </c>
      <c r="BN17" s="644"/>
      <c r="BO17" s="644"/>
      <c r="BP17" s="644"/>
      <c r="BQ17" s="644"/>
      <c r="BR17" s="644"/>
      <c r="BS17" s="644"/>
      <c r="BT17" s="645"/>
      <c r="BU17" s="291">
        <v>0</v>
      </c>
      <c r="BV17" s="640">
        <v>0</v>
      </c>
      <c r="BW17" s="641"/>
      <c r="BX17" s="641"/>
      <c r="BY17" s="641"/>
      <c r="BZ17" s="641"/>
      <c r="CA17" s="641"/>
      <c r="CB17" s="641"/>
      <c r="CC17" s="642"/>
      <c r="CD17" s="298">
        <f t="shared" ref="CD17:CD60" si="2">SUM(BV17:CC17)</f>
        <v>0</v>
      </c>
      <c r="CE17" s="612">
        <v>0</v>
      </c>
      <c r="CF17" s="613"/>
      <c r="CG17" s="613"/>
      <c r="CH17" s="613"/>
      <c r="CI17" s="613"/>
      <c r="CJ17" s="613"/>
      <c r="CK17" s="613"/>
      <c r="CL17" s="614"/>
      <c r="CM17" s="292">
        <f t="shared" ref="CM17:CM60" si="3">SUM(CE17:CL17)</f>
        <v>0</v>
      </c>
      <c r="CN17" s="635">
        <v>0</v>
      </c>
      <c r="CO17" s="636"/>
      <c r="CP17" s="636"/>
      <c r="CQ17" s="636"/>
      <c r="CR17" s="636"/>
      <c r="CS17" s="636"/>
      <c r="CT17" s="636"/>
      <c r="CU17" s="637"/>
      <c r="CV17" s="292">
        <f t="shared" ref="CV17:CV60" si="4">SUM(CN17:CU17)</f>
        <v>0</v>
      </c>
      <c r="CW17" s="635">
        <v>0</v>
      </c>
      <c r="CX17" s="636"/>
      <c r="CY17" s="636"/>
      <c r="CZ17" s="636"/>
      <c r="DA17" s="636"/>
      <c r="DB17" s="636"/>
      <c r="DC17" s="636"/>
      <c r="DD17" s="637"/>
      <c r="DE17" s="292">
        <f t="shared" ref="DE17:DE60" si="5">SUM(CW17:DD17)</f>
        <v>0</v>
      </c>
      <c r="DF17" s="635">
        <v>0</v>
      </c>
      <c r="DG17" s="636"/>
      <c r="DH17" s="636"/>
      <c r="DI17" s="636"/>
      <c r="DJ17" s="636"/>
      <c r="DK17" s="636"/>
      <c r="DL17" s="636"/>
      <c r="DM17" s="637"/>
      <c r="DN17" s="292">
        <f t="shared" ref="DN17:DN60" si="6">SUM(DF17)</f>
        <v>0</v>
      </c>
      <c r="DO17" s="293">
        <f t="shared" ref="DO17:DO60" si="7">SUM(S17++AB17+AK17+AT17+BC17+BL17+BU17+CD17+CM17+CV17+DE17+DN17)</f>
        <v>500</v>
      </c>
      <c r="DP17" s="303"/>
    </row>
    <row r="18" spans="1:120" ht="282.60000000000002" customHeight="1">
      <c r="B18" s="602"/>
      <c r="C18" s="598"/>
      <c r="D18" s="598"/>
      <c r="E18" s="598"/>
      <c r="F18" s="622"/>
      <c r="G18" s="591"/>
      <c r="H18" s="597"/>
      <c r="I18" s="639"/>
      <c r="J18" s="295" t="s">
        <v>66</v>
      </c>
      <c r="K18" s="296">
        <v>19</v>
      </c>
      <c r="L18" s="290">
        <v>21</v>
      </c>
      <c r="M18" s="290">
        <v>4</v>
      </c>
      <c r="N18" s="290">
        <v>1</v>
      </c>
      <c r="O18" s="290">
        <v>12</v>
      </c>
      <c r="P18" s="290">
        <v>2</v>
      </c>
      <c r="Q18" s="290">
        <v>0</v>
      </c>
      <c r="R18" s="290">
        <v>0</v>
      </c>
      <c r="S18" s="290">
        <f>SUM(K18:R18)</f>
        <v>59</v>
      </c>
      <c r="T18" s="290">
        <v>126</v>
      </c>
      <c r="U18" s="290">
        <v>98</v>
      </c>
      <c r="V18" s="290">
        <v>23</v>
      </c>
      <c r="W18" s="290">
        <v>22</v>
      </c>
      <c r="X18" s="290">
        <v>8</v>
      </c>
      <c r="Y18" s="290">
        <v>3</v>
      </c>
      <c r="Z18" s="290"/>
      <c r="AA18" s="290"/>
      <c r="AB18" s="290">
        <f>SUM(T18:AA18)</f>
        <v>280</v>
      </c>
      <c r="AC18" s="290">
        <v>0</v>
      </c>
      <c r="AD18" s="290">
        <v>0</v>
      </c>
      <c r="AE18" s="290">
        <v>0</v>
      </c>
      <c r="AF18" s="290">
        <v>0</v>
      </c>
      <c r="AG18" s="290">
        <v>0</v>
      </c>
      <c r="AH18" s="290">
        <v>0</v>
      </c>
      <c r="AI18" s="290">
        <v>0</v>
      </c>
      <c r="AJ18" s="290">
        <v>0</v>
      </c>
      <c r="AK18" s="290">
        <f>SUM(AC18:AJ18)</f>
        <v>0</v>
      </c>
      <c r="AL18" s="297">
        <v>0</v>
      </c>
      <c r="AM18" s="297">
        <v>0</v>
      </c>
      <c r="AN18" s="297">
        <v>0</v>
      </c>
      <c r="AO18" s="297">
        <v>0</v>
      </c>
      <c r="AP18" s="297">
        <v>0</v>
      </c>
      <c r="AQ18" s="297">
        <v>0</v>
      </c>
      <c r="AR18" s="297">
        <v>0</v>
      </c>
      <c r="AS18" s="297">
        <v>0</v>
      </c>
      <c r="AT18" s="291">
        <f>SUM(AL18:AS18)</f>
        <v>0</v>
      </c>
      <c r="AU18" s="290">
        <v>0</v>
      </c>
      <c r="AV18" s="290">
        <v>0</v>
      </c>
      <c r="AW18" s="290">
        <v>0</v>
      </c>
      <c r="AX18" s="290">
        <v>0</v>
      </c>
      <c r="AY18" s="290">
        <v>0</v>
      </c>
      <c r="AZ18" s="290">
        <v>0</v>
      </c>
      <c r="BA18" s="290">
        <v>0</v>
      </c>
      <c r="BB18" s="290">
        <v>0</v>
      </c>
      <c r="BC18" s="290">
        <f>SUM(AU18:BB18)</f>
        <v>0</v>
      </c>
      <c r="BD18" s="296">
        <v>0</v>
      </c>
      <c r="BE18" s="296">
        <v>0</v>
      </c>
      <c r="BF18" s="296">
        <v>0</v>
      </c>
      <c r="BG18" s="296">
        <v>0</v>
      </c>
      <c r="BH18" s="296">
        <v>0</v>
      </c>
      <c r="BI18" s="296">
        <v>0</v>
      </c>
      <c r="BJ18" s="296">
        <v>0</v>
      </c>
      <c r="BK18" s="296">
        <v>0</v>
      </c>
      <c r="BL18" s="290">
        <f>SUM(BD18:BK18)</f>
        <v>0</v>
      </c>
      <c r="BM18" s="291">
        <v>0</v>
      </c>
      <c r="BN18" s="291">
        <v>0</v>
      </c>
      <c r="BO18" s="291">
        <v>0</v>
      </c>
      <c r="BP18" s="291">
        <v>0</v>
      </c>
      <c r="BQ18" s="291">
        <v>0</v>
      </c>
      <c r="BR18" s="291">
        <v>0</v>
      </c>
      <c r="BS18" s="291">
        <v>0</v>
      </c>
      <c r="BT18" s="291">
        <v>0</v>
      </c>
      <c r="BU18" s="291">
        <f>SUM(BM18:BT18)</f>
        <v>0</v>
      </c>
      <c r="BV18" s="290">
        <v>0</v>
      </c>
      <c r="BW18" s="290">
        <v>0</v>
      </c>
      <c r="BX18" s="290">
        <v>0</v>
      </c>
      <c r="BY18" s="290">
        <v>0</v>
      </c>
      <c r="BZ18" s="290">
        <v>0</v>
      </c>
      <c r="CA18" s="290">
        <v>0</v>
      </c>
      <c r="CB18" s="290">
        <v>0</v>
      </c>
      <c r="CC18" s="290">
        <v>0</v>
      </c>
      <c r="CD18" s="298">
        <f t="shared" si="2"/>
        <v>0</v>
      </c>
      <c r="CE18" s="300">
        <v>0</v>
      </c>
      <c r="CF18" s="300">
        <v>0</v>
      </c>
      <c r="CG18" s="300">
        <v>0</v>
      </c>
      <c r="CH18" s="300">
        <v>0</v>
      </c>
      <c r="CI18" s="300">
        <v>0</v>
      </c>
      <c r="CJ18" s="300">
        <v>0</v>
      </c>
      <c r="CK18" s="300">
        <v>0</v>
      </c>
      <c r="CL18" s="300">
        <v>0</v>
      </c>
      <c r="CM18" s="292">
        <f t="shared" si="3"/>
        <v>0</v>
      </c>
      <c r="CN18" s="304">
        <v>169</v>
      </c>
      <c r="CO18" s="304">
        <v>183</v>
      </c>
      <c r="CP18" s="304">
        <v>165</v>
      </c>
      <c r="CQ18" s="304">
        <v>143</v>
      </c>
      <c r="CR18" s="304">
        <v>130</v>
      </c>
      <c r="CS18" s="292">
        <v>0</v>
      </c>
      <c r="CT18" s="292">
        <v>0</v>
      </c>
      <c r="CU18" s="292">
        <v>0</v>
      </c>
      <c r="CV18" s="292">
        <f t="shared" si="4"/>
        <v>790</v>
      </c>
      <c r="CW18" s="292">
        <v>0</v>
      </c>
      <c r="CX18" s="292">
        <v>0</v>
      </c>
      <c r="CY18" s="292">
        <v>0</v>
      </c>
      <c r="CZ18" s="292">
        <v>0</v>
      </c>
      <c r="DA18" s="292">
        <v>0</v>
      </c>
      <c r="DB18" s="292">
        <v>0</v>
      </c>
      <c r="DC18" s="292">
        <v>0</v>
      </c>
      <c r="DD18" s="292">
        <v>0</v>
      </c>
      <c r="DE18" s="292">
        <f t="shared" si="5"/>
        <v>0</v>
      </c>
      <c r="DF18" s="304">
        <v>3</v>
      </c>
      <c r="DG18" s="304">
        <v>4</v>
      </c>
      <c r="DH18" s="304">
        <v>25</v>
      </c>
      <c r="DI18" s="304">
        <v>18</v>
      </c>
      <c r="DJ18" s="292">
        <v>0</v>
      </c>
      <c r="DK18" s="292">
        <v>0</v>
      </c>
      <c r="DL18" s="292">
        <v>0</v>
      </c>
      <c r="DM18" s="292">
        <v>0</v>
      </c>
      <c r="DN18" s="292">
        <f>SUM(DF18:DM18)</f>
        <v>50</v>
      </c>
      <c r="DO18" s="293">
        <f t="shared" si="7"/>
        <v>1179</v>
      </c>
      <c r="DP18" s="302"/>
    </row>
    <row r="19" spans="1:120" ht="253.5" hidden="1" customHeight="1">
      <c r="A19" s="305"/>
      <c r="B19" s="653" t="s">
        <v>78</v>
      </c>
      <c r="C19" s="655" t="s">
        <v>195</v>
      </c>
      <c r="D19" s="657" t="s">
        <v>4</v>
      </c>
      <c r="E19" s="658"/>
      <c r="F19" s="648" t="s">
        <v>211</v>
      </c>
      <c r="G19" s="649">
        <v>946</v>
      </c>
      <c r="H19" s="647" t="s">
        <v>196</v>
      </c>
      <c r="I19" s="615">
        <v>946</v>
      </c>
      <c r="J19" s="306" t="s">
        <v>65</v>
      </c>
      <c r="K19" s="661">
        <v>946</v>
      </c>
      <c r="L19" s="662"/>
      <c r="M19" s="662"/>
      <c r="N19" s="662"/>
      <c r="O19" s="662"/>
      <c r="P19" s="662"/>
      <c r="Q19" s="662"/>
      <c r="R19" s="663"/>
      <c r="S19" s="307">
        <f t="shared" si="0"/>
        <v>946</v>
      </c>
      <c r="T19" s="661">
        <v>0</v>
      </c>
      <c r="U19" s="662"/>
      <c r="V19" s="662"/>
      <c r="W19" s="662"/>
      <c r="X19" s="662"/>
      <c r="Y19" s="662"/>
      <c r="Z19" s="662"/>
      <c r="AA19" s="663"/>
      <c r="AB19" s="307">
        <f t="shared" si="1"/>
        <v>0</v>
      </c>
      <c r="AC19" s="661">
        <v>0</v>
      </c>
      <c r="AD19" s="662"/>
      <c r="AE19" s="662"/>
      <c r="AF19" s="662"/>
      <c r="AG19" s="662"/>
      <c r="AH19" s="662"/>
      <c r="AI19" s="662"/>
      <c r="AJ19" s="663"/>
      <c r="AK19" s="307">
        <f>SUM(AC19)</f>
        <v>0</v>
      </c>
      <c r="AL19" s="664">
        <v>0</v>
      </c>
      <c r="AM19" s="665"/>
      <c r="AN19" s="665"/>
      <c r="AO19" s="665"/>
      <c r="AP19" s="665"/>
      <c r="AQ19" s="665"/>
      <c r="AR19" s="665"/>
      <c r="AS19" s="666"/>
      <c r="AT19" s="308">
        <f t="shared" ref="AT19:AT60" si="8">SUM(AL19)</f>
        <v>0</v>
      </c>
      <c r="AU19" s="661">
        <v>0</v>
      </c>
      <c r="AV19" s="662"/>
      <c r="AW19" s="662"/>
      <c r="AX19" s="662"/>
      <c r="AY19" s="662"/>
      <c r="AZ19" s="662"/>
      <c r="BA19" s="662"/>
      <c r="BB19" s="663"/>
      <c r="BC19" s="307">
        <f t="shared" ref="BC19:BC60" si="9">SUM(AU19)</f>
        <v>0</v>
      </c>
      <c r="BD19" s="661">
        <v>0</v>
      </c>
      <c r="BE19" s="662"/>
      <c r="BF19" s="662"/>
      <c r="BG19" s="662"/>
      <c r="BH19" s="662"/>
      <c r="BI19" s="662"/>
      <c r="BJ19" s="662"/>
      <c r="BK19" s="663"/>
      <c r="BL19" s="307">
        <f t="shared" ref="BL19:BL60" si="10">SUM(BD19)</f>
        <v>0</v>
      </c>
      <c r="BM19" s="664">
        <v>0</v>
      </c>
      <c r="BN19" s="665"/>
      <c r="BO19" s="665"/>
      <c r="BP19" s="665"/>
      <c r="BQ19" s="665"/>
      <c r="BR19" s="665"/>
      <c r="BS19" s="665"/>
      <c r="BT19" s="666"/>
      <c r="BU19" s="308">
        <f t="shared" ref="BU19:BU60" si="11">SUM(BM19)</f>
        <v>0</v>
      </c>
      <c r="BV19" s="661">
        <v>0</v>
      </c>
      <c r="BW19" s="662"/>
      <c r="BX19" s="662"/>
      <c r="BY19" s="662"/>
      <c r="BZ19" s="662"/>
      <c r="CA19" s="662"/>
      <c r="CB19" s="662"/>
      <c r="CC19" s="663"/>
      <c r="CD19" s="309">
        <f t="shared" si="2"/>
        <v>0</v>
      </c>
      <c r="CE19" s="632">
        <v>0</v>
      </c>
      <c r="CF19" s="633"/>
      <c r="CG19" s="633"/>
      <c r="CH19" s="633"/>
      <c r="CI19" s="633"/>
      <c r="CJ19" s="633"/>
      <c r="CK19" s="633"/>
      <c r="CL19" s="634"/>
      <c r="CM19" s="310">
        <f t="shared" si="3"/>
        <v>0</v>
      </c>
      <c r="CN19" s="668">
        <v>0</v>
      </c>
      <c r="CO19" s="669"/>
      <c r="CP19" s="669"/>
      <c r="CQ19" s="669"/>
      <c r="CR19" s="669"/>
      <c r="CS19" s="669"/>
      <c r="CT19" s="669"/>
      <c r="CU19" s="670"/>
      <c r="CV19" s="310">
        <f t="shared" si="4"/>
        <v>0</v>
      </c>
      <c r="CW19" s="635"/>
      <c r="CX19" s="636"/>
      <c r="CY19" s="636"/>
      <c r="CZ19" s="636"/>
      <c r="DA19" s="636"/>
      <c r="DB19" s="636"/>
      <c r="DC19" s="636"/>
      <c r="DD19" s="637"/>
      <c r="DE19" s="292">
        <f t="shared" si="5"/>
        <v>0</v>
      </c>
      <c r="DF19" s="635">
        <v>0</v>
      </c>
      <c r="DG19" s="636"/>
      <c r="DH19" s="636"/>
      <c r="DI19" s="636"/>
      <c r="DJ19" s="636"/>
      <c r="DK19" s="636"/>
      <c r="DL19" s="636"/>
      <c r="DM19" s="637"/>
      <c r="DN19" s="292">
        <f t="shared" si="6"/>
        <v>0</v>
      </c>
      <c r="DO19" s="293">
        <f>SUM(S19++AB19+AK19+AT19+BC19+BL19+BU19+CD19+CM19+CV19+DE19+DN19)</f>
        <v>946</v>
      </c>
      <c r="DP19" s="303"/>
    </row>
    <row r="20" spans="1:120" ht="238.5" customHeight="1">
      <c r="A20" s="305"/>
      <c r="B20" s="654"/>
      <c r="C20" s="656"/>
      <c r="D20" s="659"/>
      <c r="E20" s="660"/>
      <c r="F20" s="648"/>
      <c r="G20" s="647"/>
      <c r="H20" s="647"/>
      <c r="I20" s="616"/>
      <c r="J20" s="295" t="s">
        <v>66</v>
      </c>
      <c r="K20" s="311">
        <v>0</v>
      </c>
      <c r="L20" s="307">
        <v>0</v>
      </c>
      <c r="M20" s="307">
        <v>0</v>
      </c>
      <c r="N20" s="307">
        <v>0</v>
      </c>
      <c r="O20" s="307">
        <v>0</v>
      </c>
      <c r="P20" s="307">
        <v>0</v>
      </c>
      <c r="Q20" s="307">
        <v>0</v>
      </c>
      <c r="R20" s="307">
        <v>0</v>
      </c>
      <c r="S20" s="307">
        <f>SUM(K20:R20)</f>
        <v>0</v>
      </c>
      <c r="T20" s="307">
        <v>0</v>
      </c>
      <c r="U20" s="307">
        <v>0</v>
      </c>
      <c r="V20" s="307">
        <v>65</v>
      </c>
      <c r="W20" s="307">
        <v>32</v>
      </c>
      <c r="X20" s="307">
        <v>0</v>
      </c>
      <c r="Y20" s="307">
        <v>8</v>
      </c>
      <c r="Z20" s="307">
        <v>0</v>
      </c>
      <c r="AA20" s="307">
        <v>0</v>
      </c>
      <c r="AB20" s="307">
        <f>SUM(T20:AA20)</f>
        <v>105</v>
      </c>
      <c r="AC20" s="307">
        <v>0</v>
      </c>
      <c r="AD20" s="307">
        <v>0</v>
      </c>
      <c r="AE20" s="307">
        <v>25</v>
      </c>
      <c r="AF20" s="307">
        <v>16</v>
      </c>
      <c r="AG20" s="307">
        <v>0</v>
      </c>
      <c r="AH20" s="307">
        <v>0</v>
      </c>
      <c r="AI20" s="307">
        <v>0</v>
      </c>
      <c r="AJ20" s="307">
        <v>0</v>
      </c>
      <c r="AK20" s="307">
        <f>SUM(AC20:AJ20)</f>
        <v>41</v>
      </c>
      <c r="AL20" s="312">
        <v>0</v>
      </c>
      <c r="AM20" s="312">
        <v>0</v>
      </c>
      <c r="AN20" s="312">
        <v>0</v>
      </c>
      <c r="AO20" s="312">
        <v>0</v>
      </c>
      <c r="AP20" s="312">
        <v>0</v>
      </c>
      <c r="AQ20" s="312">
        <v>0</v>
      </c>
      <c r="AR20" s="312">
        <v>0</v>
      </c>
      <c r="AS20" s="312">
        <v>0</v>
      </c>
      <c r="AT20" s="308">
        <f>SUM(AL20:AS20)</f>
        <v>0</v>
      </c>
      <c r="AU20" s="307">
        <v>0</v>
      </c>
      <c r="AV20" s="307">
        <v>0</v>
      </c>
      <c r="AW20" s="307">
        <v>0</v>
      </c>
      <c r="AX20" s="307">
        <v>0</v>
      </c>
      <c r="AY20" s="307">
        <v>0</v>
      </c>
      <c r="AZ20" s="307">
        <v>0</v>
      </c>
      <c r="BA20" s="307">
        <v>0</v>
      </c>
      <c r="BB20" s="307">
        <v>0</v>
      </c>
      <c r="BC20" s="307">
        <f>SUM(AU20:BB20)</f>
        <v>0</v>
      </c>
      <c r="BD20" s="311">
        <v>0</v>
      </c>
      <c r="BE20" s="311">
        <v>2</v>
      </c>
      <c r="BF20" s="311">
        <v>0</v>
      </c>
      <c r="BG20" s="311">
        <v>0</v>
      </c>
      <c r="BH20" s="311">
        <v>1</v>
      </c>
      <c r="BI20" s="311">
        <v>1</v>
      </c>
      <c r="BJ20" s="311">
        <v>0</v>
      </c>
      <c r="BK20" s="311">
        <v>0</v>
      </c>
      <c r="BL20" s="307">
        <f>SUM(BD20:BK20)</f>
        <v>4</v>
      </c>
      <c r="BM20" s="308">
        <v>2</v>
      </c>
      <c r="BN20" s="308">
        <v>9</v>
      </c>
      <c r="BO20" s="308">
        <v>0</v>
      </c>
      <c r="BP20" s="308">
        <v>1</v>
      </c>
      <c r="BQ20" s="308">
        <v>28</v>
      </c>
      <c r="BR20" s="308">
        <v>1</v>
      </c>
      <c r="BS20" s="308">
        <v>0</v>
      </c>
      <c r="BT20" s="308">
        <v>1</v>
      </c>
      <c r="BU20" s="308">
        <f>SUM(BM20:BT20)</f>
        <v>42</v>
      </c>
      <c r="BV20" s="313">
        <v>0</v>
      </c>
      <c r="BW20" s="313">
        <v>0</v>
      </c>
      <c r="BX20" s="313">
        <v>0</v>
      </c>
      <c r="BY20" s="313">
        <v>0</v>
      </c>
      <c r="BZ20" s="307">
        <v>20</v>
      </c>
      <c r="CA20" s="307">
        <v>0</v>
      </c>
      <c r="CB20" s="307">
        <v>0</v>
      </c>
      <c r="CC20" s="307">
        <v>0</v>
      </c>
      <c r="CD20" s="309">
        <f t="shared" si="2"/>
        <v>20</v>
      </c>
      <c r="CE20" s="314">
        <v>42</v>
      </c>
      <c r="CF20" s="314">
        <v>47</v>
      </c>
      <c r="CG20" s="314">
        <v>51</v>
      </c>
      <c r="CH20" s="314">
        <v>39</v>
      </c>
      <c r="CI20" s="314">
        <v>0</v>
      </c>
      <c r="CJ20" s="314">
        <v>0</v>
      </c>
      <c r="CK20" s="314">
        <v>0</v>
      </c>
      <c r="CL20" s="314">
        <v>0</v>
      </c>
      <c r="CM20" s="310">
        <f t="shared" si="3"/>
        <v>179</v>
      </c>
      <c r="CN20" s="315">
        <v>169</v>
      </c>
      <c r="CO20" s="315">
        <v>183</v>
      </c>
      <c r="CP20" s="315">
        <v>165</v>
      </c>
      <c r="CQ20" s="315">
        <v>143</v>
      </c>
      <c r="CR20" s="315">
        <v>0</v>
      </c>
      <c r="CS20" s="310">
        <v>0</v>
      </c>
      <c r="CT20" s="310">
        <v>0</v>
      </c>
      <c r="CU20" s="310">
        <v>0</v>
      </c>
      <c r="CV20" s="310">
        <f t="shared" si="4"/>
        <v>660</v>
      </c>
      <c r="CW20" s="310">
        <v>0</v>
      </c>
      <c r="CX20" s="310">
        <v>0</v>
      </c>
      <c r="CY20" s="310">
        <v>0</v>
      </c>
      <c r="CZ20" s="310">
        <v>0</v>
      </c>
      <c r="DA20" s="310">
        <v>0</v>
      </c>
      <c r="DB20" s="310">
        <v>0</v>
      </c>
      <c r="DC20" s="310">
        <v>0</v>
      </c>
      <c r="DD20" s="310">
        <v>0</v>
      </c>
      <c r="DE20" s="310">
        <v>0</v>
      </c>
      <c r="DF20" s="316">
        <v>0</v>
      </c>
      <c r="DG20" s="316">
        <v>0</v>
      </c>
      <c r="DH20" s="316">
        <v>0</v>
      </c>
      <c r="DI20" s="316">
        <v>0</v>
      </c>
      <c r="DJ20" s="316">
        <v>0</v>
      </c>
      <c r="DK20" s="316">
        <v>0</v>
      </c>
      <c r="DL20" s="316">
        <v>0</v>
      </c>
      <c r="DM20" s="316">
        <v>0</v>
      </c>
      <c r="DN20" s="310">
        <f t="shared" si="6"/>
        <v>0</v>
      </c>
      <c r="DO20" s="293">
        <f t="shared" si="7"/>
        <v>1051</v>
      </c>
      <c r="DP20" s="303"/>
    </row>
    <row r="21" spans="1:120" ht="234.75" hidden="1" customHeight="1">
      <c r="B21" s="588" t="s">
        <v>67</v>
      </c>
      <c r="C21" s="590" t="s">
        <v>100</v>
      </c>
      <c r="D21" s="592" t="s">
        <v>4</v>
      </c>
      <c r="E21" s="593"/>
      <c r="F21" s="596" t="s">
        <v>211</v>
      </c>
      <c r="G21" s="591">
        <v>660</v>
      </c>
      <c r="H21" s="622" t="s">
        <v>212</v>
      </c>
      <c r="I21" s="667">
        <v>660</v>
      </c>
      <c r="J21" s="306" t="s">
        <v>65</v>
      </c>
      <c r="K21" s="640">
        <v>660</v>
      </c>
      <c r="L21" s="641"/>
      <c r="M21" s="641"/>
      <c r="N21" s="641"/>
      <c r="O21" s="641"/>
      <c r="P21" s="641"/>
      <c r="Q21" s="641"/>
      <c r="R21" s="642"/>
      <c r="S21" s="290">
        <f t="shared" si="0"/>
        <v>660</v>
      </c>
      <c r="T21" s="640">
        <v>0</v>
      </c>
      <c r="U21" s="641"/>
      <c r="V21" s="641"/>
      <c r="W21" s="641"/>
      <c r="X21" s="641"/>
      <c r="Y21" s="641"/>
      <c r="Z21" s="641"/>
      <c r="AA21" s="642"/>
      <c r="AB21" s="290">
        <f t="shared" si="1"/>
        <v>0</v>
      </c>
      <c r="AC21" s="640">
        <v>0</v>
      </c>
      <c r="AD21" s="641"/>
      <c r="AE21" s="641"/>
      <c r="AF21" s="641"/>
      <c r="AG21" s="641"/>
      <c r="AH21" s="641"/>
      <c r="AI21" s="641"/>
      <c r="AJ21" s="642"/>
      <c r="AK21" s="290">
        <f>SUM(AC21)</f>
        <v>0</v>
      </c>
      <c r="AL21" s="643">
        <v>0</v>
      </c>
      <c r="AM21" s="644"/>
      <c r="AN21" s="644"/>
      <c r="AO21" s="644"/>
      <c r="AP21" s="644"/>
      <c r="AQ21" s="644"/>
      <c r="AR21" s="644"/>
      <c r="AS21" s="645"/>
      <c r="AT21" s="291">
        <f t="shared" si="8"/>
        <v>0</v>
      </c>
      <c r="AU21" s="640">
        <v>0</v>
      </c>
      <c r="AV21" s="641"/>
      <c r="AW21" s="641"/>
      <c r="AX21" s="641"/>
      <c r="AY21" s="641"/>
      <c r="AZ21" s="641"/>
      <c r="BA21" s="641"/>
      <c r="BB21" s="642"/>
      <c r="BC21" s="290">
        <f t="shared" si="9"/>
        <v>0</v>
      </c>
      <c r="BD21" s="640">
        <v>0</v>
      </c>
      <c r="BE21" s="641"/>
      <c r="BF21" s="641"/>
      <c r="BG21" s="641"/>
      <c r="BH21" s="641"/>
      <c r="BI21" s="641"/>
      <c r="BJ21" s="641"/>
      <c r="BK21" s="642"/>
      <c r="BL21" s="290">
        <f t="shared" si="10"/>
        <v>0</v>
      </c>
      <c r="BM21" s="643">
        <v>0</v>
      </c>
      <c r="BN21" s="644"/>
      <c r="BO21" s="644"/>
      <c r="BP21" s="644"/>
      <c r="BQ21" s="644"/>
      <c r="BR21" s="644"/>
      <c r="BS21" s="644"/>
      <c r="BT21" s="645"/>
      <c r="BU21" s="291">
        <f t="shared" si="11"/>
        <v>0</v>
      </c>
      <c r="BV21" s="640">
        <v>0</v>
      </c>
      <c r="BW21" s="641"/>
      <c r="BX21" s="641"/>
      <c r="BY21" s="641"/>
      <c r="BZ21" s="641"/>
      <c r="CA21" s="641"/>
      <c r="CB21" s="641"/>
      <c r="CC21" s="642"/>
      <c r="CD21" s="298">
        <f t="shared" si="2"/>
        <v>0</v>
      </c>
      <c r="CE21" s="612">
        <v>0</v>
      </c>
      <c r="CF21" s="613"/>
      <c r="CG21" s="613"/>
      <c r="CH21" s="613"/>
      <c r="CI21" s="613"/>
      <c r="CJ21" s="613"/>
      <c r="CK21" s="613"/>
      <c r="CL21" s="614"/>
      <c r="CM21" s="292">
        <f t="shared" si="3"/>
        <v>0</v>
      </c>
      <c r="CN21" s="635">
        <v>0</v>
      </c>
      <c r="CO21" s="636"/>
      <c r="CP21" s="636"/>
      <c r="CQ21" s="636"/>
      <c r="CR21" s="636"/>
      <c r="CS21" s="636"/>
      <c r="CT21" s="636"/>
      <c r="CU21" s="637"/>
      <c r="CV21" s="292">
        <f t="shared" si="4"/>
        <v>0</v>
      </c>
      <c r="CW21" s="635">
        <v>0</v>
      </c>
      <c r="CX21" s="636"/>
      <c r="CY21" s="636"/>
      <c r="CZ21" s="636"/>
      <c r="DA21" s="636"/>
      <c r="DB21" s="636"/>
      <c r="DC21" s="636"/>
      <c r="DD21" s="637"/>
      <c r="DE21" s="292">
        <f t="shared" si="5"/>
        <v>0</v>
      </c>
      <c r="DF21" s="635">
        <v>0</v>
      </c>
      <c r="DG21" s="636"/>
      <c r="DH21" s="636"/>
      <c r="DI21" s="636"/>
      <c r="DJ21" s="636"/>
      <c r="DK21" s="636"/>
      <c r="DL21" s="636"/>
      <c r="DM21" s="637"/>
      <c r="DN21" s="292">
        <f t="shared" si="6"/>
        <v>0</v>
      </c>
      <c r="DO21" s="293">
        <f t="shared" si="7"/>
        <v>660</v>
      </c>
      <c r="DP21" s="303"/>
    </row>
    <row r="22" spans="1:120" ht="234.75" customHeight="1">
      <c r="B22" s="589"/>
      <c r="C22" s="591"/>
      <c r="D22" s="594"/>
      <c r="E22" s="595"/>
      <c r="F22" s="597"/>
      <c r="G22" s="598"/>
      <c r="H22" s="622"/>
      <c r="I22" s="603"/>
      <c r="J22" s="295" t="s">
        <v>66</v>
      </c>
      <c r="K22" s="296">
        <v>15</v>
      </c>
      <c r="L22" s="290">
        <v>12</v>
      </c>
      <c r="M22" s="290">
        <v>3</v>
      </c>
      <c r="N22" s="290">
        <v>5</v>
      </c>
      <c r="O22" s="290">
        <v>10</v>
      </c>
      <c r="P22" s="290">
        <v>5</v>
      </c>
      <c r="Q22" s="290"/>
      <c r="R22" s="290"/>
      <c r="S22" s="317">
        <f>SUM(K22:R22)</f>
        <v>50</v>
      </c>
      <c r="T22" s="290">
        <v>26</v>
      </c>
      <c r="U22" s="290">
        <v>21</v>
      </c>
      <c r="V22" s="290">
        <v>7</v>
      </c>
      <c r="W22" s="290">
        <v>5</v>
      </c>
      <c r="X22" s="290">
        <v>16</v>
      </c>
      <c r="Y22" s="290">
        <v>0</v>
      </c>
      <c r="Z22" s="290">
        <v>0</v>
      </c>
      <c r="AA22" s="290">
        <v>0</v>
      </c>
      <c r="AB22" s="317">
        <f>SUM(T22:AA22)</f>
        <v>75</v>
      </c>
      <c r="AC22" s="290">
        <v>8</v>
      </c>
      <c r="AD22" s="290">
        <v>12</v>
      </c>
      <c r="AE22" s="290">
        <v>3</v>
      </c>
      <c r="AF22" s="290">
        <v>6</v>
      </c>
      <c r="AG22" s="290">
        <v>6</v>
      </c>
      <c r="AH22" s="290">
        <v>0</v>
      </c>
      <c r="AI22" s="290">
        <v>0</v>
      </c>
      <c r="AJ22" s="290">
        <v>0</v>
      </c>
      <c r="AK22" s="317">
        <f>SUM(AC22:AJ22)</f>
        <v>35</v>
      </c>
      <c r="AL22" s="297">
        <v>0</v>
      </c>
      <c r="AM22" s="297">
        <v>0</v>
      </c>
      <c r="AN22" s="297">
        <v>0</v>
      </c>
      <c r="AO22" s="297">
        <v>0</v>
      </c>
      <c r="AP22" s="297">
        <v>0</v>
      </c>
      <c r="AQ22" s="297">
        <v>0</v>
      </c>
      <c r="AR22" s="297">
        <v>0</v>
      </c>
      <c r="AS22" s="297">
        <v>0</v>
      </c>
      <c r="AT22" s="291">
        <f>SUM(AL22:AS22)</f>
        <v>0</v>
      </c>
      <c r="AU22" s="290">
        <v>0</v>
      </c>
      <c r="AV22" s="290">
        <v>0</v>
      </c>
      <c r="AW22" s="290">
        <v>0</v>
      </c>
      <c r="AX22" s="290">
        <v>0</v>
      </c>
      <c r="AY22" s="290">
        <v>0</v>
      </c>
      <c r="AZ22" s="290">
        <v>0</v>
      </c>
      <c r="BA22" s="290">
        <v>0</v>
      </c>
      <c r="BB22" s="290">
        <v>0</v>
      </c>
      <c r="BC22" s="290">
        <f>SUM(AU22:BB22)</f>
        <v>0</v>
      </c>
      <c r="BD22" s="296">
        <v>0</v>
      </c>
      <c r="BE22" s="296">
        <v>0</v>
      </c>
      <c r="BF22" s="296">
        <v>0</v>
      </c>
      <c r="BG22" s="296">
        <v>0</v>
      </c>
      <c r="BH22" s="296">
        <v>0</v>
      </c>
      <c r="BI22" s="296">
        <v>0</v>
      </c>
      <c r="BJ22" s="296">
        <v>0</v>
      </c>
      <c r="BK22" s="296">
        <v>0</v>
      </c>
      <c r="BL22" s="290">
        <f>SUM(BD22:BK22)</f>
        <v>0</v>
      </c>
      <c r="BM22" s="318">
        <v>163</v>
      </c>
      <c r="BN22" s="319">
        <v>160</v>
      </c>
      <c r="BO22" s="319">
        <v>184</v>
      </c>
      <c r="BP22" s="319">
        <v>153</v>
      </c>
      <c r="BQ22" s="319">
        <v>0</v>
      </c>
      <c r="BR22" s="319">
        <v>0</v>
      </c>
      <c r="BS22" s="319">
        <v>0</v>
      </c>
      <c r="BT22" s="319">
        <v>0</v>
      </c>
      <c r="BU22" s="291">
        <f>SUM(BM22:BT22)</f>
        <v>660</v>
      </c>
      <c r="BV22" s="290">
        <v>33</v>
      </c>
      <c r="BW22" s="290">
        <v>40</v>
      </c>
      <c r="BX22" s="290">
        <v>0</v>
      </c>
      <c r="BY22" s="290">
        <v>0</v>
      </c>
      <c r="BZ22" s="290">
        <v>0</v>
      </c>
      <c r="CA22" s="290">
        <v>0</v>
      </c>
      <c r="CB22" s="290">
        <v>0</v>
      </c>
      <c r="CC22" s="290">
        <v>0</v>
      </c>
      <c r="CD22" s="298">
        <f t="shared" si="2"/>
        <v>73</v>
      </c>
      <c r="CE22" s="304">
        <v>49</v>
      </c>
      <c r="CF22" s="304">
        <v>53</v>
      </c>
      <c r="CG22" s="304">
        <v>61</v>
      </c>
      <c r="CH22" s="304">
        <v>49</v>
      </c>
      <c r="CI22" s="304">
        <v>0</v>
      </c>
      <c r="CJ22" s="304">
        <v>0</v>
      </c>
      <c r="CK22" s="304">
        <v>0</v>
      </c>
      <c r="CL22" s="304">
        <v>0</v>
      </c>
      <c r="CM22" s="292">
        <f t="shared" si="3"/>
        <v>212</v>
      </c>
      <c r="CN22" s="304">
        <v>0</v>
      </c>
      <c r="CO22" s="304">
        <v>0</v>
      </c>
      <c r="CP22" s="304">
        <v>0</v>
      </c>
      <c r="CQ22" s="304">
        <v>0</v>
      </c>
      <c r="CR22" s="292">
        <v>0</v>
      </c>
      <c r="CS22" s="292">
        <v>0</v>
      </c>
      <c r="CT22" s="292">
        <v>0</v>
      </c>
      <c r="CU22" s="292">
        <v>0</v>
      </c>
      <c r="CV22" s="292">
        <f t="shared" si="4"/>
        <v>0</v>
      </c>
      <c r="CW22" s="292">
        <v>46</v>
      </c>
      <c r="CX22" s="292">
        <v>44</v>
      </c>
      <c r="CY22" s="292">
        <v>30</v>
      </c>
      <c r="CZ22" s="292">
        <v>18</v>
      </c>
      <c r="DA22" s="292">
        <v>42</v>
      </c>
      <c r="DB22" s="292">
        <v>2</v>
      </c>
      <c r="DC22" s="292">
        <v>2</v>
      </c>
      <c r="DD22" s="292">
        <v>0</v>
      </c>
      <c r="DE22" s="292">
        <f t="shared" si="5"/>
        <v>184</v>
      </c>
      <c r="DF22" s="292">
        <v>76</v>
      </c>
      <c r="DG22" s="292">
        <v>55</v>
      </c>
      <c r="DH22" s="292">
        <v>33</v>
      </c>
      <c r="DI22" s="292">
        <v>47</v>
      </c>
      <c r="DJ22" s="292">
        <v>72</v>
      </c>
      <c r="DK22" s="292">
        <v>27</v>
      </c>
      <c r="DL22" s="292">
        <v>5</v>
      </c>
      <c r="DM22" s="292">
        <v>2</v>
      </c>
      <c r="DN22" s="292">
        <f>SUM(DF22:DM22)</f>
        <v>317</v>
      </c>
      <c r="DO22" s="293">
        <f t="shared" si="7"/>
        <v>1606</v>
      </c>
      <c r="DP22" s="303"/>
    </row>
    <row r="23" spans="1:120" ht="234.75" hidden="1" customHeight="1">
      <c r="B23" s="588" t="s">
        <v>67</v>
      </c>
      <c r="C23" s="590" t="s">
        <v>100</v>
      </c>
      <c r="D23" s="592" t="s">
        <v>4</v>
      </c>
      <c r="E23" s="593"/>
      <c r="F23" s="596" t="s">
        <v>211</v>
      </c>
      <c r="G23" s="590" t="s">
        <v>0</v>
      </c>
      <c r="H23" s="596" t="s">
        <v>213</v>
      </c>
      <c r="I23" s="620">
        <v>100</v>
      </c>
      <c r="J23" s="306" t="s">
        <v>65</v>
      </c>
      <c r="K23" s="640">
        <v>10</v>
      </c>
      <c r="L23" s="641"/>
      <c r="M23" s="641"/>
      <c r="N23" s="641"/>
      <c r="O23" s="641"/>
      <c r="P23" s="641"/>
      <c r="Q23" s="641"/>
      <c r="R23" s="642"/>
      <c r="S23" s="290">
        <f t="shared" si="0"/>
        <v>10</v>
      </c>
      <c r="T23" s="640">
        <v>3</v>
      </c>
      <c r="U23" s="641"/>
      <c r="V23" s="641"/>
      <c r="W23" s="641"/>
      <c r="X23" s="641"/>
      <c r="Y23" s="641"/>
      <c r="Z23" s="641"/>
      <c r="AA23" s="642"/>
      <c r="AB23" s="290">
        <f t="shared" si="1"/>
        <v>3</v>
      </c>
      <c r="AC23" s="640">
        <v>8</v>
      </c>
      <c r="AD23" s="641"/>
      <c r="AE23" s="641"/>
      <c r="AF23" s="641"/>
      <c r="AG23" s="641"/>
      <c r="AH23" s="641"/>
      <c r="AI23" s="641"/>
      <c r="AJ23" s="642"/>
      <c r="AK23" s="290">
        <f>SUM(AC23)</f>
        <v>8</v>
      </c>
      <c r="AL23" s="643">
        <v>10</v>
      </c>
      <c r="AM23" s="644"/>
      <c r="AN23" s="644"/>
      <c r="AO23" s="644"/>
      <c r="AP23" s="644"/>
      <c r="AQ23" s="644"/>
      <c r="AR23" s="644"/>
      <c r="AS23" s="645"/>
      <c r="AT23" s="291">
        <f t="shared" si="8"/>
        <v>10</v>
      </c>
      <c r="AU23" s="640">
        <v>15</v>
      </c>
      <c r="AV23" s="641"/>
      <c r="AW23" s="641"/>
      <c r="AX23" s="641"/>
      <c r="AY23" s="641"/>
      <c r="AZ23" s="641"/>
      <c r="BA23" s="641"/>
      <c r="BB23" s="642"/>
      <c r="BC23" s="290">
        <f t="shared" si="9"/>
        <v>15</v>
      </c>
      <c r="BD23" s="640">
        <v>19</v>
      </c>
      <c r="BE23" s="641"/>
      <c r="BF23" s="641"/>
      <c r="BG23" s="641"/>
      <c r="BH23" s="641"/>
      <c r="BI23" s="641"/>
      <c r="BJ23" s="641"/>
      <c r="BK23" s="642"/>
      <c r="BL23" s="290">
        <f t="shared" si="10"/>
        <v>19</v>
      </c>
      <c r="BM23" s="643">
        <v>6</v>
      </c>
      <c r="BN23" s="644"/>
      <c r="BO23" s="644"/>
      <c r="BP23" s="644"/>
      <c r="BQ23" s="644"/>
      <c r="BR23" s="644"/>
      <c r="BS23" s="644"/>
      <c r="BT23" s="645"/>
      <c r="BU23" s="291">
        <f t="shared" si="11"/>
        <v>6</v>
      </c>
      <c r="BV23" s="640">
        <v>44</v>
      </c>
      <c r="BW23" s="641"/>
      <c r="BX23" s="641"/>
      <c r="BY23" s="641"/>
      <c r="BZ23" s="641"/>
      <c r="CA23" s="641"/>
      <c r="CB23" s="641"/>
      <c r="CC23" s="642"/>
      <c r="CD23" s="298">
        <f t="shared" si="2"/>
        <v>44</v>
      </c>
      <c r="CE23" s="612">
        <v>4</v>
      </c>
      <c r="CF23" s="613"/>
      <c r="CG23" s="613"/>
      <c r="CH23" s="613"/>
      <c r="CI23" s="613"/>
      <c r="CJ23" s="613"/>
      <c r="CK23" s="613"/>
      <c r="CL23" s="614"/>
      <c r="CM23" s="292">
        <f t="shared" si="3"/>
        <v>4</v>
      </c>
      <c r="CN23" s="635">
        <v>5</v>
      </c>
      <c r="CO23" s="636"/>
      <c r="CP23" s="636"/>
      <c r="CQ23" s="636"/>
      <c r="CR23" s="636"/>
      <c r="CS23" s="636"/>
      <c r="CT23" s="636"/>
      <c r="CU23" s="637"/>
      <c r="CV23" s="292">
        <f t="shared" si="4"/>
        <v>5</v>
      </c>
      <c r="CW23" s="635">
        <v>15</v>
      </c>
      <c r="CX23" s="636"/>
      <c r="CY23" s="636"/>
      <c r="CZ23" s="636"/>
      <c r="DA23" s="636"/>
      <c r="DB23" s="636"/>
      <c r="DC23" s="636"/>
      <c r="DD23" s="637"/>
      <c r="DE23" s="292">
        <f t="shared" si="5"/>
        <v>15</v>
      </c>
      <c r="DF23" s="635">
        <v>3</v>
      </c>
      <c r="DG23" s="636"/>
      <c r="DH23" s="636"/>
      <c r="DI23" s="636"/>
      <c r="DJ23" s="636"/>
      <c r="DK23" s="636"/>
      <c r="DL23" s="636"/>
      <c r="DM23" s="637"/>
      <c r="DN23" s="292">
        <f t="shared" si="6"/>
        <v>3</v>
      </c>
      <c r="DO23" s="293">
        <f t="shared" si="7"/>
        <v>142</v>
      </c>
      <c r="DP23" s="303"/>
    </row>
    <row r="24" spans="1:120" ht="234.75" customHeight="1">
      <c r="B24" s="589"/>
      <c r="C24" s="591"/>
      <c r="D24" s="594"/>
      <c r="E24" s="595"/>
      <c r="F24" s="597"/>
      <c r="G24" s="591"/>
      <c r="H24" s="597"/>
      <c r="I24" s="621"/>
      <c r="J24" s="295" t="s">
        <v>66</v>
      </c>
      <c r="K24" s="296">
        <v>0</v>
      </c>
      <c r="L24" s="290">
        <v>1</v>
      </c>
      <c r="M24" s="290">
        <v>3</v>
      </c>
      <c r="N24" s="290">
        <v>1</v>
      </c>
      <c r="O24" s="290">
        <v>5</v>
      </c>
      <c r="P24" s="290">
        <v>0</v>
      </c>
      <c r="Q24" s="290">
        <v>0</v>
      </c>
      <c r="R24" s="290">
        <v>0</v>
      </c>
      <c r="S24" s="290">
        <f>SUM(K24:R24)</f>
        <v>10</v>
      </c>
      <c r="T24" s="290">
        <v>3</v>
      </c>
      <c r="U24" s="290">
        <v>5</v>
      </c>
      <c r="V24" s="290">
        <v>8</v>
      </c>
      <c r="W24" s="290">
        <v>6</v>
      </c>
      <c r="X24" s="290">
        <v>4</v>
      </c>
      <c r="Y24" s="290">
        <v>8</v>
      </c>
      <c r="Z24" s="290"/>
      <c r="AA24" s="290"/>
      <c r="AB24" s="290">
        <f>SUM(T24:AA24)</f>
        <v>34</v>
      </c>
      <c r="AC24" s="290">
        <v>3</v>
      </c>
      <c r="AD24" s="290">
        <v>1</v>
      </c>
      <c r="AE24" s="290">
        <v>2</v>
      </c>
      <c r="AF24" s="290">
        <v>2</v>
      </c>
      <c r="AG24" s="290">
        <v>0</v>
      </c>
      <c r="AH24" s="290">
        <v>0</v>
      </c>
      <c r="AI24" s="290">
        <v>0</v>
      </c>
      <c r="AJ24" s="290">
        <v>0</v>
      </c>
      <c r="AK24" s="290">
        <f>SUM(AC24:AJ24)</f>
        <v>8</v>
      </c>
      <c r="AL24" s="297">
        <v>0</v>
      </c>
      <c r="AM24" s="297">
        <v>0</v>
      </c>
      <c r="AN24" s="297">
        <v>0</v>
      </c>
      <c r="AO24" s="297">
        <v>0</v>
      </c>
      <c r="AP24" s="297">
        <v>0</v>
      </c>
      <c r="AQ24" s="297">
        <v>0</v>
      </c>
      <c r="AR24" s="297">
        <v>0</v>
      </c>
      <c r="AS24" s="297">
        <v>0</v>
      </c>
      <c r="AT24" s="291">
        <f>SUM(AL24:AS24)</f>
        <v>0</v>
      </c>
      <c r="AU24" s="290">
        <v>0</v>
      </c>
      <c r="AV24" s="290">
        <v>0</v>
      </c>
      <c r="AW24" s="290">
        <v>0</v>
      </c>
      <c r="AX24" s="290">
        <v>0</v>
      </c>
      <c r="AY24" s="290">
        <v>0</v>
      </c>
      <c r="AZ24" s="290">
        <v>0</v>
      </c>
      <c r="BA24" s="290">
        <v>0</v>
      </c>
      <c r="BB24" s="290">
        <v>0</v>
      </c>
      <c r="BC24" s="290">
        <f t="shared" si="9"/>
        <v>0</v>
      </c>
      <c r="BD24" s="296">
        <v>0</v>
      </c>
      <c r="BE24" s="296">
        <v>0</v>
      </c>
      <c r="BF24" s="296">
        <v>0</v>
      </c>
      <c r="BG24" s="296">
        <v>0</v>
      </c>
      <c r="BH24" s="296">
        <v>0</v>
      </c>
      <c r="BI24" s="296">
        <v>0</v>
      </c>
      <c r="BJ24" s="296">
        <v>0</v>
      </c>
      <c r="BK24" s="296">
        <v>0</v>
      </c>
      <c r="BL24" s="290">
        <f t="shared" si="10"/>
        <v>0</v>
      </c>
      <c r="BM24" s="291">
        <v>0</v>
      </c>
      <c r="BN24" s="291">
        <v>0</v>
      </c>
      <c r="BO24" s="291">
        <v>0</v>
      </c>
      <c r="BP24" s="291">
        <v>0</v>
      </c>
      <c r="BQ24" s="291">
        <v>0</v>
      </c>
      <c r="BR24" s="291">
        <v>0</v>
      </c>
      <c r="BS24" s="291">
        <v>0</v>
      </c>
      <c r="BT24" s="291">
        <v>0</v>
      </c>
      <c r="BU24" s="291">
        <f t="shared" si="11"/>
        <v>0</v>
      </c>
      <c r="BV24" s="290">
        <v>0</v>
      </c>
      <c r="BW24" s="290">
        <v>0</v>
      </c>
      <c r="BX24" s="290">
        <v>0</v>
      </c>
      <c r="BY24" s="290">
        <v>2</v>
      </c>
      <c r="BZ24" s="290">
        <v>1</v>
      </c>
      <c r="CA24" s="290">
        <v>0</v>
      </c>
      <c r="CB24" s="290">
        <v>0</v>
      </c>
      <c r="CC24" s="290">
        <v>0</v>
      </c>
      <c r="CD24" s="298">
        <f t="shared" si="2"/>
        <v>3</v>
      </c>
      <c r="CE24" s="300">
        <v>0</v>
      </c>
      <c r="CF24" s="300">
        <v>0</v>
      </c>
      <c r="CG24" s="300">
        <v>0</v>
      </c>
      <c r="CH24" s="300">
        <v>0</v>
      </c>
      <c r="CI24" s="300">
        <v>5</v>
      </c>
      <c r="CJ24" s="300">
        <v>1</v>
      </c>
      <c r="CK24" s="300">
        <v>0</v>
      </c>
      <c r="CL24" s="300">
        <v>0</v>
      </c>
      <c r="CM24" s="292">
        <f t="shared" si="3"/>
        <v>6</v>
      </c>
      <c r="CN24" s="292">
        <v>0</v>
      </c>
      <c r="CO24" s="292">
        <v>0</v>
      </c>
      <c r="CP24" s="292">
        <v>0</v>
      </c>
      <c r="CQ24" s="292">
        <v>0</v>
      </c>
      <c r="CR24" s="292">
        <v>11</v>
      </c>
      <c r="CS24" s="292">
        <v>1</v>
      </c>
      <c r="CT24" s="292">
        <v>0</v>
      </c>
      <c r="CU24" s="292">
        <v>0</v>
      </c>
      <c r="CV24" s="292">
        <f t="shared" si="4"/>
        <v>12</v>
      </c>
      <c r="CW24" s="292">
        <v>0</v>
      </c>
      <c r="CX24" s="292">
        <v>0</v>
      </c>
      <c r="CY24" s="292">
        <v>12</v>
      </c>
      <c r="CZ24" s="292">
        <v>2</v>
      </c>
      <c r="DA24" s="292">
        <v>2</v>
      </c>
      <c r="DB24" s="292">
        <v>2</v>
      </c>
      <c r="DC24" s="292">
        <v>0</v>
      </c>
      <c r="DD24" s="292">
        <v>0</v>
      </c>
      <c r="DE24" s="292">
        <f t="shared" si="5"/>
        <v>18</v>
      </c>
      <c r="DF24" s="320">
        <v>0</v>
      </c>
      <c r="DG24" s="320">
        <v>0</v>
      </c>
      <c r="DH24" s="320">
        <v>0</v>
      </c>
      <c r="DI24" s="320">
        <v>0</v>
      </c>
      <c r="DJ24" s="320">
        <v>10</v>
      </c>
      <c r="DK24" s="320">
        <v>0</v>
      </c>
      <c r="DL24" s="320">
        <v>0</v>
      </c>
      <c r="DM24" s="320">
        <v>0</v>
      </c>
      <c r="DN24" s="292">
        <f t="shared" si="6"/>
        <v>0</v>
      </c>
      <c r="DO24" s="293">
        <f t="shared" si="7"/>
        <v>91</v>
      </c>
      <c r="DP24" s="303"/>
    </row>
    <row r="25" spans="1:120" ht="288.75" hidden="1" customHeight="1">
      <c r="B25" s="653" t="s">
        <v>127</v>
      </c>
      <c r="C25" s="655" t="s">
        <v>214</v>
      </c>
      <c r="D25" s="657" t="s">
        <v>215</v>
      </c>
      <c r="E25" s="658"/>
      <c r="F25" s="650" t="s">
        <v>216</v>
      </c>
      <c r="G25" s="647">
        <v>665</v>
      </c>
      <c r="H25" s="647" t="s">
        <v>217</v>
      </c>
      <c r="I25" s="603">
        <v>665</v>
      </c>
      <c r="J25" s="306" t="s">
        <v>65</v>
      </c>
      <c r="K25" s="626">
        <v>0</v>
      </c>
      <c r="L25" s="627"/>
      <c r="M25" s="627"/>
      <c r="N25" s="627"/>
      <c r="O25" s="627"/>
      <c r="P25" s="627"/>
      <c r="Q25" s="627"/>
      <c r="R25" s="628"/>
      <c r="S25" s="307">
        <f t="shared" si="0"/>
        <v>0</v>
      </c>
      <c r="T25" s="626">
        <v>0</v>
      </c>
      <c r="U25" s="627"/>
      <c r="V25" s="627"/>
      <c r="W25" s="627"/>
      <c r="X25" s="627"/>
      <c r="Y25" s="627"/>
      <c r="Z25" s="627"/>
      <c r="AA25" s="628"/>
      <c r="AB25" s="307">
        <f t="shared" si="1"/>
        <v>0</v>
      </c>
      <c r="AC25" s="626">
        <v>0</v>
      </c>
      <c r="AD25" s="627"/>
      <c r="AE25" s="627"/>
      <c r="AF25" s="627"/>
      <c r="AG25" s="627"/>
      <c r="AH25" s="627"/>
      <c r="AI25" s="627"/>
      <c r="AJ25" s="628"/>
      <c r="AK25" s="307">
        <f>SUM(AC25)</f>
        <v>0</v>
      </c>
      <c r="AL25" s="629">
        <v>0</v>
      </c>
      <c r="AM25" s="630"/>
      <c r="AN25" s="630"/>
      <c r="AO25" s="630"/>
      <c r="AP25" s="630"/>
      <c r="AQ25" s="630"/>
      <c r="AR25" s="630"/>
      <c r="AS25" s="631"/>
      <c r="AT25" s="308">
        <f t="shared" si="8"/>
        <v>0</v>
      </c>
      <c r="AU25" s="626">
        <v>5</v>
      </c>
      <c r="AV25" s="627"/>
      <c r="AW25" s="627"/>
      <c r="AX25" s="627"/>
      <c r="AY25" s="627"/>
      <c r="AZ25" s="627"/>
      <c r="BA25" s="627"/>
      <c r="BB25" s="628"/>
      <c r="BC25" s="307">
        <f t="shared" si="9"/>
        <v>5</v>
      </c>
      <c r="BD25" s="626">
        <v>660</v>
      </c>
      <c r="BE25" s="627"/>
      <c r="BF25" s="627"/>
      <c r="BG25" s="627"/>
      <c r="BH25" s="627"/>
      <c r="BI25" s="627"/>
      <c r="BJ25" s="627"/>
      <c r="BK25" s="628"/>
      <c r="BL25" s="307">
        <f t="shared" si="10"/>
        <v>660</v>
      </c>
      <c r="BM25" s="629">
        <v>0</v>
      </c>
      <c r="BN25" s="630"/>
      <c r="BO25" s="630"/>
      <c r="BP25" s="630"/>
      <c r="BQ25" s="630"/>
      <c r="BR25" s="630"/>
      <c r="BS25" s="630"/>
      <c r="BT25" s="631"/>
      <c r="BU25" s="308">
        <f t="shared" si="11"/>
        <v>0</v>
      </c>
      <c r="BV25" s="626">
        <v>0</v>
      </c>
      <c r="BW25" s="627"/>
      <c r="BX25" s="627"/>
      <c r="BY25" s="627"/>
      <c r="BZ25" s="627"/>
      <c r="CA25" s="627"/>
      <c r="CB25" s="627"/>
      <c r="CC25" s="628"/>
      <c r="CD25" s="309">
        <f t="shared" si="2"/>
        <v>0</v>
      </c>
      <c r="CE25" s="632">
        <v>0</v>
      </c>
      <c r="CF25" s="633"/>
      <c r="CG25" s="633"/>
      <c r="CH25" s="633"/>
      <c r="CI25" s="633"/>
      <c r="CJ25" s="633"/>
      <c r="CK25" s="633"/>
      <c r="CL25" s="634"/>
      <c r="CM25" s="310">
        <f t="shared" si="3"/>
        <v>0</v>
      </c>
      <c r="CN25" s="632">
        <v>0</v>
      </c>
      <c r="CO25" s="633"/>
      <c r="CP25" s="633"/>
      <c r="CQ25" s="633"/>
      <c r="CR25" s="633"/>
      <c r="CS25" s="633"/>
      <c r="CT25" s="633"/>
      <c r="CU25" s="634"/>
      <c r="CV25" s="310">
        <f t="shared" si="4"/>
        <v>0</v>
      </c>
      <c r="CW25" s="632">
        <v>0</v>
      </c>
      <c r="CX25" s="633"/>
      <c r="CY25" s="633"/>
      <c r="CZ25" s="633"/>
      <c r="DA25" s="633"/>
      <c r="DB25" s="633"/>
      <c r="DC25" s="633"/>
      <c r="DD25" s="634"/>
      <c r="DE25" s="310">
        <f t="shared" si="5"/>
        <v>0</v>
      </c>
      <c r="DF25" s="632">
        <v>0</v>
      </c>
      <c r="DG25" s="633"/>
      <c r="DH25" s="633"/>
      <c r="DI25" s="633"/>
      <c r="DJ25" s="633"/>
      <c r="DK25" s="633"/>
      <c r="DL25" s="633"/>
      <c r="DM25" s="634"/>
      <c r="DN25" s="310">
        <f t="shared" si="6"/>
        <v>0</v>
      </c>
      <c r="DO25" s="293">
        <f t="shared" si="7"/>
        <v>665</v>
      </c>
      <c r="DP25" s="303"/>
    </row>
    <row r="26" spans="1:120" ht="221.25" customHeight="1">
      <c r="B26" s="654"/>
      <c r="C26" s="656"/>
      <c r="D26" s="659"/>
      <c r="E26" s="660"/>
      <c r="F26" s="651"/>
      <c r="G26" s="647"/>
      <c r="H26" s="647"/>
      <c r="I26" s="603"/>
      <c r="J26" s="295" t="s">
        <v>66</v>
      </c>
      <c r="K26" s="321">
        <v>0</v>
      </c>
      <c r="L26" s="322">
        <v>0</v>
      </c>
      <c r="M26" s="322">
        <v>0</v>
      </c>
      <c r="N26" s="322">
        <v>0</v>
      </c>
      <c r="O26" s="322">
        <v>0</v>
      </c>
      <c r="P26" s="322">
        <v>0</v>
      </c>
      <c r="Q26" s="322">
        <v>0</v>
      </c>
      <c r="R26" s="322">
        <v>0</v>
      </c>
      <c r="S26" s="307">
        <f>SUM(K26:R26)</f>
        <v>0</v>
      </c>
      <c r="T26" s="322">
        <v>0</v>
      </c>
      <c r="U26" s="322">
        <v>0</v>
      </c>
      <c r="V26" s="322">
        <v>0</v>
      </c>
      <c r="W26" s="322">
        <v>0</v>
      </c>
      <c r="X26" s="322">
        <v>0</v>
      </c>
      <c r="Y26" s="322">
        <v>0</v>
      </c>
      <c r="Z26" s="322">
        <v>0</v>
      </c>
      <c r="AA26" s="322">
        <v>0</v>
      </c>
      <c r="AB26" s="307">
        <f>SUM(T26:AA26)</f>
        <v>0</v>
      </c>
      <c r="AC26" s="322">
        <v>0</v>
      </c>
      <c r="AD26" s="322">
        <v>0</v>
      </c>
      <c r="AE26" s="322">
        <v>0</v>
      </c>
      <c r="AF26" s="322">
        <v>0</v>
      </c>
      <c r="AG26" s="322">
        <v>0</v>
      </c>
      <c r="AH26" s="322">
        <v>0</v>
      </c>
      <c r="AI26" s="322">
        <v>0</v>
      </c>
      <c r="AJ26" s="322">
        <v>0</v>
      </c>
      <c r="AK26" s="307">
        <f>SUM(AC26:AJ26)</f>
        <v>0</v>
      </c>
      <c r="AL26" s="312">
        <v>0</v>
      </c>
      <c r="AM26" s="312">
        <v>0</v>
      </c>
      <c r="AN26" s="312">
        <v>0</v>
      </c>
      <c r="AO26" s="312">
        <v>0</v>
      </c>
      <c r="AP26" s="312">
        <v>0</v>
      </c>
      <c r="AQ26" s="312">
        <v>0</v>
      </c>
      <c r="AR26" s="312">
        <v>0</v>
      </c>
      <c r="AS26" s="312">
        <v>0</v>
      </c>
      <c r="AT26" s="308">
        <f t="shared" si="8"/>
        <v>0</v>
      </c>
      <c r="AU26" s="307">
        <v>0</v>
      </c>
      <c r="AV26" s="307">
        <v>0</v>
      </c>
      <c r="AW26" s="307">
        <v>0</v>
      </c>
      <c r="AX26" s="307">
        <v>0</v>
      </c>
      <c r="AY26" s="307">
        <v>0</v>
      </c>
      <c r="AZ26" s="307">
        <v>0</v>
      </c>
      <c r="BA26" s="307">
        <v>0</v>
      </c>
      <c r="BB26" s="307">
        <v>0</v>
      </c>
      <c r="BC26" s="307">
        <f t="shared" si="9"/>
        <v>0</v>
      </c>
      <c r="BD26" s="311">
        <v>0</v>
      </c>
      <c r="BE26" s="311">
        <v>0</v>
      </c>
      <c r="BF26" s="311">
        <v>0</v>
      </c>
      <c r="BG26" s="311">
        <v>0</v>
      </c>
      <c r="BH26" s="311">
        <v>0</v>
      </c>
      <c r="BI26" s="311">
        <v>0</v>
      </c>
      <c r="BJ26" s="311">
        <v>0</v>
      </c>
      <c r="BK26" s="311">
        <v>0</v>
      </c>
      <c r="BL26" s="307">
        <f t="shared" si="10"/>
        <v>0</v>
      </c>
      <c r="BM26" s="308">
        <v>0</v>
      </c>
      <c r="BN26" s="308">
        <v>0</v>
      </c>
      <c r="BO26" s="308">
        <v>0</v>
      </c>
      <c r="BP26" s="308">
        <v>0</v>
      </c>
      <c r="BQ26" s="308">
        <v>0</v>
      </c>
      <c r="BR26" s="308">
        <v>0</v>
      </c>
      <c r="BS26" s="308">
        <v>0</v>
      </c>
      <c r="BT26" s="308">
        <v>0</v>
      </c>
      <c r="BU26" s="308">
        <f t="shared" si="11"/>
        <v>0</v>
      </c>
      <c r="BV26" s="322">
        <v>115</v>
      </c>
      <c r="BW26" s="322">
        <v>126</v>
      </c>
      <c r="BX26" s="322">
        <v>109</v>
      </c>
      <c r="BY26" s="322">
        <v>98</v>
      </c>
      <c r="BZ26" s="322">
        <v>0</v>
      </c>
      <c r="CA26" s="322">
        <v>0</v>
      </c>
      <c r="CB26" s="322">
        <v>0</v>
      </c>
      <c r="CC26" s="322">
        <v>0</v>
      </c>
      <c r="CD26" s="309">
        <f t="shared" si="2"/>
        <v>448</v>
      </c>
      <c r="CE26" s="315">
        <v>49</v>
      </c>
      <c r="CF26" s="315">
        <v>53</v>
      </c>
      <c r="CG26" s="315">
        <v>61</v>
      </c>
      <c r="CH26" s="315">
        <v>49</v>
      </c>
      <c r="CI26" s="315">
        <v>0</v>
      </c>
      <c r="CJ26" s="315">
        <v>0</v>
      </c>
      <c r="CK26" s="315">
        <v>0</v>
      </c>
      <c r="CL26" s="315">
        <v>0</v>
      </c>
      <c r="CM26" s="310">
        <f t="shared" si="3"/>
        <v>212</v>
      </c>
      <c r="CN26" s="315">
        <v>0</v>
      </c>
      <c r="CO26" s="315">
        <v>0</v>
      </c>
      <c r="CP26" s="315">
        <v>0</v>
      </c>
      <c r="CQ26" s="315">
        <v>0</v>
      </c>
      <c r="CR26" s="315">
        <v>0</v>
      </c>
      <c r="CS26" s="315">
        <v>0</v>
      </c>
      <c r="CT26" s="315">
        <v>0</v>
      </c>
      <c r="CU26" s="315">
        <v>0</v>
      </c>
      <c r="CV26" s="310">
        <f t="shared" si="4"/>
        <v>0</v>
      </c>
      <c r="CW26" s="310">
        <v>0</v>
      </c>
      <c r="CX26" s="310">
        <v>0</v>
      </c>
      <c r="CY26" s="310">
        <v>0</v>
      </c>
      <c r="CZ26" s="310">
        <v>0</v>
      </c>
      <c r="DA26" s="315">
        <v>0</v>
      </c>
      <c r="DB26" s="315">
        <v>0</v>
      </c>
      <c r="DC26" s="315">
        <v>0</v>
      </c>
      <c r="DD26" s="315">
        <v>0</v>
      </c>
      <c r="DE26" s="310">
        <f t="shared" si="5"/>
        <v>0</v>
      </c>
      <c r="DF26" s="315">
        <v>0</v>
      </c>
      <c r="DG26" s="315">
        <v>0</v>
      </c>
      <c r="DH26" s="315">
        <v>0</v>
      </c>
      <c r="DI26" s="315">
        <v>0</v>
      </c>
      <c r="DJ26" s="315">
        <v>0</v>
      </c>
      <c r="DK26" s="315">
        <v>0</v>
      </c>
      <c r="DL26" s="315">
        <v>0</v>
      </c>
      <c r="DM26" s="315">
        <v>0</v>
      </c>
      <c r="DN26" s="310">
        <f t="shared" si="6"/>
        <v>0</v>
      </c>
      <c r="DO26" s="293">
        <f t="shared" si="7"/>
        <v>660</v>
      </c>
      <c r="DP26" s="303"/>
    </row>
    <row r="27" spans="1:120" ht="221.25" hidden="1" customHeight="1">
      <c r="B27" s="588" t="s">
        <v>121</v>
      </c>
      <c r="C27" s="590" t="s">
        <v>168</v>
      </c>
      <c r="D27" s="592" t="s">
        <v>135</v>
      </c>
      <c r="E27" s="593"/>
      <c r="F27" s="596" t="s">
        <v>208</v>
      </c>
      <c r="G27" s="598">
        <v>5</v>
      </c>
      <c r="H27" s="598" t="s">
        <v>218</v>
      </c>
      <c r="I27" s="638">
        <v>5</v>
      </c>
      <c r="J27" s="306" t="s">
        <v>65</v>
      </c>
      <c r="K27" s="609">
        <v>0</v>
      </c>
      <c r="L27" s="610"/>
      <c r="M27" s="610"/>
      <c r="N27" s="610"/>
      <c r="O27" s="610"/>
      <c r="P27" s="610"/>
      <c r="Q27" s="610"/>
      <c r="R27" s="611"/>
      <c r="S27" s="290">
        <f t="shared" si="0"/>
        <v>0</v>
      </c>
      <c r="T27" s="609">
        <v>0</v>
      </c>
      <c r="U27" s="610"/>
      <c r="V27" s="610"/>
      <c r="W27" s="610"/>
      <c r="X27" s="610"/>
      <c r="Y27" s="610"/>
      <c r="Z27" s="610"/>
      <c r="AA27" s="611"/>
      <c r="AB27" s="290">
        <f t="shared" si="1"/>
        <v>0</v>
      </c>
      <c r="AC27" s="609">
        <v>0</v>
      </c>
      <c r="AD27" s="610"/>
      <c r="AE27" s="610"/>
      <c r="AF27" s="610"/>
      <c r="AG27" s="610"/>
      <c r="AH27" s="610"/>
      <c r="AI27" s="610"/>
      <c r="AJ27" s="611"/>
      <c r="AK27" s="290">
        <f>SUM(AC27)</f>
        <v>0</v>
      </c>
      <c r="AL27" s="606">
        <v>2</v>
      </c>
      <c r="AM27" s="607"/>
      <c r="AN27" s="607"/>
      <c r="AO27" s="607"/>
      <c r="AP27" s="607"/>
      <c r="AQ27" s="607"/>
      <c r="AR27" s="607"/>
      <c r="AS27" s="608"/>
      <c r="AT27" s="291">
        <f t="shared" si="8"/>
        <v>2</v>
      </c>
      <c r="AU27" s="609">
        <v>2</v>
      </c>
      <c r="AV27" s="610"/>
      <c r="AW27" s="610"/>
      <c r="AX27" s="610"/>
      <c r="AY27" s="610"/>
      <c r="AZ27" s="610"/>
      <c r="BA27" s="610"/>
      <c r="BB27" s="611"/>
      <c r="BC27" s="290">
        <f t="shared" si="9"/>
        <v>2</v>
      </c>
      <c r="BD27" s="609">
        <v>0</v>
      </c>
      <c r="BE27" s="610"/>
      <c r="BF27" s="610"/>
      <c r="BG27" s="610"/>
      <c r="BH27" s="610"/>
      <c r="BI27" s="610"/>
      <c r="BJ27" s="610"/>
      <c r="BK27" s="611"/>
      <c r="BL27" s="290">
        <f t="shared" si="10"/>
        <v>0</v>
      </c>
      <c r="BM27" s="606"/>
      <c r="BN27" s="607"/>
      <c r="BO27" s="607"/>
      <c r="BP27" s="607"/>
      <c r="BQ27" s="607"/>
      <c r="BR27" s="607"/>
      <c r="BS27" s="607"/>
      <c r="BT27" s="608"/>
      <c r="BU27" s="291">
        <f t="shared" si="11"/>
        <v>0</v>
      </c>
      <c r="BV27" s="609"/>
      <c r="BW27" s="610"/>
      <c r="BX27" s="610"/>
      <c r="BY27" s="610"/>
      <c r="BZ27" s="610"/>
      <c r="CA27" s="610"/>
      <c r="CB27" s="610"/>
      <c r="CC27" s="611"/>
      <c r="CD27" s="298">
        <f t="shared" si="2"/>
        <v>0</v>
      </c>
      <c r="CE27" s="612"/>
      <c r="CF27" s="613"/>
      <c r="CG27" s="613"/>
      <c r="CH27" s="613"/>
      <c r="CI27" s="613"/>
      <c r="CJ27" s="613"/>
      <c r="CK27" s="613"/>
      <c r="CL27" s="614"/>
      <c r="CM27" s="292">
        <f t="shared" si="3"/>
        <v>0</v>
      </c>
      <c r="CN27" s="612">
        <v>21</v>
      </c>
      <c r="CO27" s="613"/>
      <c r="CP27" s="613"/>
      <c r="CQ27" s="613"/>
      <c r="CR27" s="613"/>
      <c r="CS27" s="613"/>
      <c r="CT27" s="613"/>
      <c r="CU27" s="614"/>
      <c r="CV27" s="292">
        <f t="shared" si="4"/>
        <v>21</v>
      </c>
      <c r="CW27" s="612"/>
      <c r="CX27" s="613"/>
      <c r="CY27" s="613"/>
      <c r="CZ27" s="613"/>
      <c r="DA27" s="613"/>
      <c r="DB27" s="613"/>
      <c r="DC27" s="613"/>
      <c r="DD27" s="614"/>
      <c r="DE27" s="292">
        <f t="shared" si="5"/>
        <v>0</v>
      </c>
      <c r="DF27" s="612"/>
      <c r="DG27" s="613"/>
      <c r="DH27" s="613"/>
      <c r="DI27" s="613"/>
      <c r="DJ27" s="613"/>
      <c r="DK27" s="613"/>
      <c r="DL27" s="613"/>
      <c r="DM27" s="614"/>
      <c r="DN27" s="292">
        <f t="shared" si="6"/>
        <v>0</v>
      </c>
      <c r="DO27" s="293">
        <f t="shared" si="7"/>
        <v>25</v>
      </c>
      <c r="DP27" s="303"/>
    </row>
    <row r="28" spans="1:120" ht="221.25" customHeight="1">
      <c r="B28" s="589"/>
      <c r="C28" s="591"/>
      <c r="D28" s="594"/>
      <c r="E28" s="595"/>
      <c r="F28" s="597"/>
      <c r="G28" s="598"/>
      <c r="H28" s="598"/>
      <c r="I28" s="639"/>
      <c r="J28" s="295">
        <v>660</v>
      </c>
      <c r="K28" s="323">
        <v>0</v>
      </c>
      <c r="L28" s="324">
        <v>0</v>
      </c>
      <c r="M28" s="324">
        <v>0</v>
      </c>
      <c r="N28" s="324">
        <v>0</v>
      </c>
      <c r="O28" s="324">
        <v>0</v>
      </c>
      <c r="P28" s="324">
        <v>0</v>
      </c>
      <c r="Q28" s="324">
        <v>0</v>
      </c>
      <c r="R28" s="324">
        <v>0</v>
      </c>
      <c r="S28" s="325">
        <f>SUM(K28:R28)</f>
        <v>0</v>
      </c>
      <c r="T28" s="324">
        <v>0</v>
      </c>
      <c r="U28" s="324">
        <v>0</v>
      </c>
      <c r="V28" s="324">
        <v>0</v>
      </c>
      <c r="W28" s="324">
        <v>0</v>
      </c>
      <c r="X28" s="324">
        <v>0</v>
      </c>
      <c r="Y28" s="324">
        <v>0</v>
      </c>
      <c r="Z28" s="324">
        <v>0</v>
      </c>
      <c r="AA28" s="324">
        <v>0</v>
      </c>
      <c r="AB28" s="325">
        <f>SUM(T28:AA28)</f>
        <v>0</v>
      </c>
      <c r="AC28" s="324">
        <v>0</v>
      </c>
      <c r="AD28" s="324">
        <v>0</v>
      </c>
      <c r="AE28" s="324">
        <v>0</v>
      </c>
      <c r="AF28" s="324">
        <v>0</v>
      </c>
      <c r="AG28" s="324">
        <v>0</v>
      </c>
      <c r="AH28" s="324">
        <v>0</v>
      </c>
      <c r="AI28" s="324">
        <v>0</v>
      </c>
      <c r="AJ28" s="324">
        <v>0</v>
      </c>
      <c r="AK28" s="325">
        <f>SUM(AC28:AJ28)</f>
        <v>0</v>
      </c>
      <c r="AL28" s="297">
        <v>0</v>
      </c>
      <c r="AM28" s="297">
        <v>0</v>
      </c>
      <c r="AN28" s="297">
        <v>0</v>
      </c>
      <c r="AO28" s="297">
        <v>0</v>
      </c>
      <c r="AP28" s="297">
        <v>0</v>
      </c>
      <c r="AQ28" s="297">
        <v>0</v>
      </c>
      <c r="AR28" s="297">
        <v>0</v>
      </c>
      <c r="AS28" s="297">
        <v>0</v>
      </c>
      <c r="AT28" s="291">
        <f>SUM(AL28:AS28)</f>
        <v>0</v>
      </c>
      <c r="AU28" s="290">
        <v>0</v>
      </c>
      <c r="AV28" s="290">
        <v>0</v>
      </c>
      <c r="AW28" s="290">
        <v>0</v>
      </c>
      <c r="AX28" s="290">
        <v>0</v>
      </c>
      <c r="AY28" s="290">
        <v>0</v>
      </c>
      <c r="AZ28" s="290">
        <v>0</v>
      </c>
      <c r="BA28" s="290">
        <v>0</v>
      </c>
      <c r="BB28" s="290">
        <v>0</v>
      </c>
      <c r="BC28" s="290">
        <f>SUM(AU28:BB28)</f>
        <v>0</v>
      </c>
      <c r="BD28" s="324">
        <v>0</v>
      </c>
      <c r="BE28" s="324">
        <v>0</v>
      </c>
      <c r="BF28" s="324">
        <v>0</v>
      </c>
      <c r="BG28" s="324">
        <v>0</v>
      </c>
      <c r="BH28" s="324">
        <v>24</v>
      </c>
      <c r="BI28" s="324">
        <v>0</v>
      </c>
      <c r="BJ28" s="324">
        <v>0</v>
      </c>
      <c r="BK28" s="324">
        <v>0</v>
      </c>
      <c r="BL28" s="325">
        <f>SUM(BD28:BK28)</f>
        <v>24</v>
      </c>
      <c r="BM28" s="319">
        <v>0</v>
      </c>
      <c r="BN28" s="319">
        <v>0</v>
      </c>
      <c r="BO28" s="319">
        <v>0</v>
      </c>
      <c r="BP28" s="319">
        <v>0</v>
      </c>
      <c r="BQ28" s="319">
        <v>23</v>
      </c>
      <c r="BR28" s="319">
        <v>0</v>
      </c>
      <c r="BS28" s="319">
        <v>0</v>
      </c>
      <c r="BT28" s="319">
        <v>0</v>
      </c>
      <c r="BU28" s="326">
        <f>SUM(BM28:BT28)</f>
        <v>23</v>
      </c>
      <c r="BV28" s="324">
        <v>0</v>
      </c>
      <c r="BW28" s="324">
        <v>0</v>
      </c>
      <c r="BX28" s="324">
        <v>0</v>
      </c>
      <c r="BY28" s="324">
        <v>0</v>
      </c>
      <c r="BZ28" s="324">
        <v>22</v>
      </c>
      <c r="CA28" s="324">
        <v>2</v>
      </c>
      <c r="CB28" s="324">
        <v>0</v>
      </c>
      <c r="CC28" s="324">
        <v>0</v>
      </c>
      <c r="CD28" s="298">
        <f t="shared" si="2"/>
        <v>24</v>
      </c>
      <c r="CE28" s="304">
        <v>0</v>
      </c>
      <c r="CF28" s="304">
        <v>0</v>
      </c>
      <c r="CG28" s="304">
        <v>0</v>
      </c>
      <c r="CH28" s="304">
        <v>0</v>
      </c>
      <c r="CI28" s="304">
        <v>25</v>
      </c>
      <c r="CJ28" s="304">
        <v>0</v>
      </c>
      <c r="CK28" s="304">
        <v>0</v>
      </c>
      <c r="CL28" s="304">
        <v>0</v>
      </c>
      <c r="CM28" s="292">
        <f t="shared" si="3"/>
        <v>25</v>
      </c>
      <c r="CN28" s="304">
        <v>1</v>
      </c>
      <c r="CO28" s="304">
        <v>3</v>
      </c>
      <c r="CP28" s="304">
        <v>1</v>
      </c>
      <c r="CQ28" s="304">
        <v>1</v>
      </c>
      <c r="CR28" s="304">
        <v>23</v>
      </c>
      <c r="CS28" s="304">
        <v>0</v>
      </c>
      <c r="CT28" s="304">
        <v>10</v>
      </c>
      <c r="CU28" s="304">
        <v>0</v>
      </c>
      <c r="CV28" s="292">
        <f t="shared" si="4"/>
        <v>39</v>
      </c>
      <c r="CW28" s="292"/>
      <c r="CX28" s="292"/>
      <c r="CY28" s="292">
        <v>32</v>
      </c>
      <c r="CZ28" s="292"/>
      <c r="DA28" s="292"/>
      <c r="DB28" s="292"/>
      <c r="DC28" s="292"/>
      <c r="DD28" s="292"/>
      <c r="DE28" s="292">
        <f>SUM(CW28:DD28)</f>
        <v>32</v>
      </c>
      <c r="DF28" s="304">
        <v>0</v>
      </c>
      <c r="DG28" s="304">
        <v>0</v>
      </c>
      <c r="DH28" s="304">
        <v>0</v>
      </c>
      <c r="DI28" s="304">
        <v>0</v>
      </c>
      <c r="DJ28" s="304">
        <v>122</v>
      </c>
      <c r="DK28" s="304">
        <v>0</v>
      </c>
      <c r="DL28" s="304">
        <v>0</v>
      </c>
      <c r="DM28" s="304">
        <v>0</v>
      </c>
      <c r="DN28" s="292">
        <f>SUM(DF28:DM28)</f>
        <v>122</v>
      </c>
      <c r="DO28" s="293">
        <f t="shared" si="7"/>
        <v>289</v>
      </c>
      <c r="DP28" s="302" t="s">
        <v>219</v>
      </c>
    </row>
    <row r="29" spans="1:120" ht="221.25" hidden="1" customHeight="1">
      <c r="B29" s="588" t="s">
        <v>121</v>
      </c>
      <c r="C29" s="590" t="s">
        <v>168</v>
      </c>
      <c r="D29" s="592" t="s">
        <v>135</v>
      </c>
      <c r="E29" s="593"/>
      <c r="F29" s="596" t="s">
        <v>208</v>
      </c>
      <c r="G29" s="625">
        <v>660</v>
      </c>
      <c r="H29" s="591" t="s">
        <v>220</v>
      </c>
      <c r="I29" s="638">
        <v>660</v>
      </c>
      <c r="J29" s="306" t="s">
        <v>65</v>
      </c>
      <c r="K29" s="609">
        <v>0</v>
      </c>
      <c r="L29" s="610"/>
      <c r="M29" s="610"/>
      <c r="N29" s="610"/>
      <c r="O29" s="610"/>
      <c r="P29" s="610"/>
      <c r="Q29" s="610"/>
      <c r="R29" s="611"/>
      <c r="S29" s="325">
        <f t="shared" si="0"/>
        <v>0</v>
      </c>
      <c r="T29" s="609">
        <v>0</v>
      </c>
      <c r="U29" s="610"/>
      <c r="V29" s="610"/>
      <c r="W29" s="610"/>
      <c r="X29" s="610"/>
      <c r="Y29" s="610"/>
      <c r="Z29" s="610"/>
      <c r="AA29" s="611"/>
      <c r="AB29" s="325">
        <f t="shared" si="1"/>
        <v>0</v>
      </c>
      <c r="AC29" s="609">
        <v>0</v>
      </c>
      <c r="AD29" s="610"/>
      <c r="AE29" s="610"/>
      <c r="AF29" s="610"/>
      <c r="AG29" s="610"/>
      <c r="AH29" s="610"/>
      <c r="AI29" s="610"/>
      <c r="AJ29" s="611"/>
      <c r="AK29" s="325">
        <v>0</v>
      </c>
      <c r="AL29" s="606">
        <v>0</v>
      </c>
      <c r="AM29" s="607"/>
      <c r="AN29" s="607"/>
      <c r="AO29" s="607"/>
      <c r="AP29" s="607"/>
      <c r="AQ29" s="607"/>
      <c r="AR29" s="607"/>
      <c r="AS29" s="608"/>
      <c r="AT29" s="291">
        <f t="shared" si="8"/>
        <v>0</v>
      </c>
      <c r="AU29" s="609">
        <v>0</v>
      </c>
      <c r="AV29" s="610"/>
      <c r="AW29" s="610"/>
      <c r="AX29" s="610"/>
      <c r="AY29" s="610"/>
      <c r="AZ29" s="610"/>
      <c r="BA29" s="610"/>
      <c r="BB29" s="611"/>
      <c r="BC29" s="290">
        <f t="shared" si="9"/>
        <v>0</v>
      </c>
      <c r="BD29" s="609">
        <v>0</v>
      </c>
      <c r="BE29" s="610"/>
      <c r="BF29" s="610"/>
      <c r="BG29" s="610"/>
      <c r="BH29" s="610"/>
      <c r="BI29" s="610"/>
      <c r="BJ29" s="610"/>
      <c r="BK29" s="611"/>
      <c r="BL29" s="325">
        <f t="shared" si="10"/>
        <v>0</v>
      </c>
      <c r="BM29" s="606">
        <v>0</v>
      </c>
      <c r="BN29" s="607"/>
      <c r="BO29" s="607"/>
      <c r="BP29" s="607"/>
      <c r="BQ29" s="607"/>
      <c r="BR29" s="607"/>
      <c r="BS29" s="607"/>
      <c r="BT29" s="608"/>
      <c r="BU29" s="326">
        <f t="shared" si="11"/>
        <v>0</v>
      </c>
      <c r="BV29" s="609">
        <v>660</v>
      </c>
      <c r="BW29" s="610"/>
      <c r="BX29" s="610"/>
      <c r="BY29" s="610"/>
      <c r="BZ29" s="610"/>
      <c r="CA29" s="610"/>
      <c r="CB29" s="610"/>
      <c r="CC29" s="611"/>
      <c r="CD29" s="298">
        <f t="shared" si="2"/>
        <v>660</v>
      </c>
      <c r="CE29" s="612">
        <v>0</v>
      </c>
      <c r="CF29" s="613"/>
      <c r="CG29" s="613"/>
      <c r="CH29" s="613"/>
      <c r="CI29" s="613"/>
      <c r="CJ29" s="613"/>
      <c r="CK29" s="613"/>
      <c r="CL29" s="614"/>
      <c r="CM29" s="292">
        <f t="shared" si="3"/>
        <v>0</v>
      </c>
      <c r="CN29" s="612">
        <v>0</v>
      </c>
      <c r="CO29" s="613"/>
      <c r="CP29" s="613"/>
      <c r="CQ29" s="613"/>
      <c r="CR29" s="613"/>
      <c r="CS29" s="613"/>
      <c r="CT29" s="613"/>
      <c r="CU29" s="614"/>
      <c r="CV29" s="292">
        <f t="shared" si="4"/>
        <v>0</v>
      </c>
      <c r="CW29" s="612">
        <v>0</v>
      </c>
      <c r="CX29" s="613"/>
      <c r="CY29" s="613"/>
      <c r="CZ29" s="613"/>
      <c r="DA29" s="613"/>
      <c r="DB29" s="613"/>
      <c r="DC29" s="613"/>
      <c r="DD29" s="614"/>
      <c r="DE29" s="292">
        <f t="shared" si="5"/>
        <v>0</v>
      </c>
      <c r="DF29" s="612">
        <v>0</v>
      </c>
      <c r="DG29" s="613"/>
      <c r="DH29" s="613"/>
      <c r="DI29" s="613"/>
      <c r="DJ29" s="613"/>
      <c r="DK29" s="613"/>
      <c r="DL29" s="613"/>
      <c r="DM29" s="614"/>
      <c r="DN29" s="292">
        <f t="shared" si="6"/>
        <v>0</v>
      </c>
      <c r="DO29" s="293">
        <f t="shared" si="7"/>
        <v>660</v>
      </c>
      <c r="DP29" s="303"/>
    </row>
    <row r="30" spans="1:120" ht="221.25" customHeight="1">
      <c r="B30" s="589"/>
      <c r="C30" s="591"/>
      <c r="D30" s="594"/>
      <c r="E30" s="595"/>
      <c r="F30" s="597"/>
      <c r="G30" s="591"/>
      <c r="H30" s="598"/>
      <c r="I30" s="639"/>
      <c r="J30" s="295" t="s">
        <v>66</v>
      </c>
      <c r="K30" s="323">
        <v>0</v>
      </c>
      <c r="L30" s="324">
        <v>0</v>
      </c>
      <c r="M30" s="324">
        <v>0</v>
      </c>
      <c r="N30" s="324">
        <v>0</v>
      </c>
      <c r="O30" s="324">
        <v>0</v>
      </c>
      <c r="P30" s="324">
        <v>0</v>
      </c>
      <c r="Q30" s="324">
        <v>0</v>
      </c>
      <c r="R30" s="324">
        <v>0</v>
      </c>
      <c r="S30" s="325">
        <f>SUM(K30:R30)</f>
        <v>0</v>
      </c>
      <c r="T30" s="324">
        <v>0</v>
      </c>
      <c r="U30" s="324">
        <v>0</v>
      </c>
      <c r="V30" s="324">
        <v>0</v>
      </c>
      <c r="W30" s="324">
        <v>0</v>
      </c>
      <c r="X30" s="324">
        <v>0</v>
      </c>
      <c r="Y30" s="324">
        <v>0</v>
      </c>
      <c r="Z30" s="324">
        <v>0</v>
      </c>
      <c r="AA30" s="324">
        <v>0</v>
      </c>
      <c r="AB30" s="325">
        <f>SUM(T30:AA30)</f>
        <v>0</v>
      </c>
      <c r="AC30" s="324">
        <v>0</v>
      </c>
      <c r="AD30" s="324">
        <v>0</v>
      </c>
      <c r="AE30" s="324">
        <v>0</v>
      </c>
      <c r="AF30" s="324">
        <v>0</v>
      </c>
      <c r="AG30" s="324">
        <v>0</v>
      </c>
      <c r="AH30" s="324">
        <v>0</v>
      </c>
      <c r="AI30" s="324">
        <v>0</v>
      </c>
      <c r="AJ30" s="324">
        <v>0</v>
      </c>
      <c r="AK30" s="325">
        <f>SUM(AC30:AJ30)</f>
        <v>0</v>
      </c>
      <c r="AL30" s="319">
        <v>0</v>
      </c>
      <c r="AM30" s="319">
        <v>0</v>
      </c>
      <c r="AN30" s="319">
        <v>0</v>
      </c>
      <c r="AO30" s="319">
        <v>0</v>
      </c>
      <c r="AP30" s="319">
        <v>0</v>
      </c>
      <c r="AQ30" s="319">
        <v>0</v>
      </c>
      <c r="AR30" s="319">
        <v>0</v>
      </c>
      <c r="AS30" s="319">
        <v>0</v>
      </c>
      <c r="AT30" s="291">
        <f>SUM(AL30:AS30)</f>
        <v>0</v>
      </c>
      <c r="AU30" s="324">
        <v>0</v>
      </c>
      <c r="AV30" s="324">
        <v>0</v>
      </c>
      <c r="AW30" s="324">
        <v>0</v>
      </c>
      <c r="AX30" s="324">
        <v>0</v>
      </c>
      <c r="AY30" s="324">
        <v>0</v>
      </c>
      <c r="AZ30" s="324">
        <v>0</v>
      </c>
      <c r="BA30" s="324">
        <v>0</v>
      </c>
      <c r="BB30" s="324">
        <v>0</v>
      </c>
      <c r="BC30" s="290">
        <f>SUM(AU30:BB30)</f>
        <v>0</v>
      </c>
      <c r="BD30" s="609">
        <v>0</v>
      </c>
      <c r="BE30" s="610"/>
      <c r="BF30" s="610"/>
      <c r="BG30" s="610"/>
      <c r="BH30" s="610"/>
      <c r="BI30" s="610"/>
      <c r="BJ30" s="610"/>
      <c r="BK30" s="611"/>
      <c r="BL30" s="325">
        <f>SUM(BD30:BK30)</f>
        <v>0</v>
      </c>
      <c r="BM30" s="319">
        <v>0</v>
      </c>
      <c r="BN30" s="319">
        <v>0</v>
      </c>
      <c r="BO30" s="319">
        <v>0</v>
      </c>
      <c r="BP30" s="319">
        <v>0</v>
      </c>
      <c r="BQ30" s="319">
        <v>0</v>
      </c>
      <c r="BR30" s="319">
        <v>0</v>
      </c>
      <c r="BS30" s="319">
        <v>0</v>
      </c>
      <c r="BT30" s="319">
        <v>0</v>
      </c>
      <c r="BU30" s="326">
        <f>SUM(BM30:BT30)</f>
        <v>0</v>
      </c>
      <c r="BV30" s="324">
        <v>0</v>
      </c>
      <c r="BW30" s="324">
        <v>0</v>
      </c>
      <c r="BX30" s="324">
        <v>0</v>
      </c>
      <c r="BY30" s="324">
        <v>0</v>
      </c>
      <c r="BZ30" s="324">
        <v>0</v>
      </c>
      <c r="CA30" s="324">
        <v>0</v>
      </c>
      <c r="CB30" s="324">
        <v>0</v>
      </c>
      <c r="CC30" s="324">
        <v>0</v>
      </c>
      <c r="CD30" s="298">
        <f t="shared" si="2"/>
        <v>0</v>
      </c>
      <c r="CE30" s="304">
        <v>0</v>
      </c>
      <c r="CF30" s="304">
        <v>0</v>
      </c>
      <c r="CG30" s="304">
        <v>0</v>
      </c>
      <c r="CH30" s="304">
        <v>0</v>
      </c>
      <c r="CI30" s="304">
        <v>0</v>
      </c>
      <c r="CJ30" s="304">
        <v>0</v>
      </c>
      <c r="CK30" s="304">
        <v>0</v>
      </c>
      <c r="CL30" s="304">
        <v>0</v>
      </c>
      <c r="CM30" s="292">
        <f t="shared" si="3"/>
        <v>0</v>
      </c>
      <c r="CN30" s="304">
        <v>169</v>
      </c>
      <c r="CO30" s="304">
        <v>183</v>
      </c>
      <c r="CP30" s="304">
        <v>165</v>
      </c>
      <c r="CQ30" s="304">
        <v>143</v>
      </c>
      <c r="CR30" s="304">
        <v>0</v>
      </c>
      <c r="CS30" s="304">
        <v>0</v>
      </c>
      <c r="CT30" s="304">
        <v>0</v>
      </c>
      <c r="CU30" s="304">
        <v>0</v>
      </c>
      <c r="CV30" s="292">
        <f t="shared" si="4"/>
        <v>660</v>
      </c>
      <c r="CW30" s="304">
        <v>0</v>
      </c>
      <c r="CX30" s="304">
        <v>0</v>
      </c>
      <c r="CY30" s="304">
        <v>0</v>
      </c>
      <c r="CZ30" s="304">
        <v>0</v>
      </c>
      <c r="DA30" s="304">
        <v>0</v>
      </c>
      <c r="DB30" s="304">
        <v>0</v>
      </c>
      <c r="DC30" s="304">
        <v>0</v>
      </c>
      <c r="DD30" s="304">
        <v>0</v>
      </c>
      <c r="DE30" s="292">
        <f t="shared" si="5"/>
        <v>0</v>
      </c>
      <c r="DF30" s="304">
        <v>0</v>
      </c>
      <c r="DG30" s="304">
        <v>0</v>
      </c>
      <c r="DH30" s="304">
        <v>0</v>
      </c>
      <c r="DI30" s="304">
        <v>0</v>
      </c>
      <c r="DJ30" s="304">
        <v>0</v>
      </c>
      <c r="DK30" s="304">
        <v>0</v>
      </c>
      <c r="DL30" s="304">
        <v>0</v>
      </c>
      <c r="DM30" s="304">
        <v>0</v>
      </c>
      <c r="DN30" s="292">
        <f>SUM(DF30:DM30)</f>
        <v>0</v>
      </c>
      <c r="DO30" s="293">
        <f t="shared" si="7"/>
        <v>660</v>
      </c>
      <c r="DP30" s="303"/>
    </row>
    <row r="31" spans="1:120" ht="221.25" hidden="1" customHeight="1">
      <c r="B31" s="588" t="s">
        <v>121</v>
      </c>
      <c r="C31" s="590" t="s">
        <v>168</v>
      </c>
      <c r="D31" s="592" t="s">
        <v>135</v>
      </c>
      <c r="E31" s="593"/>
      <c r="F31" s="596" t="s">
        <v>208</v>
      </c>
      <c r="G31" s="590">
        <v>5041</v>
      </c>
      <c r="H31" s="590" t="s">
        <v>169</v>
      </c>
      <c r="I31" s="638">
        <v>5293</v>
      </c>
      <c r="J31" s="306" t="s">
        <v>65</v>
      </c>
      <c r="K31" s="609">
        <v>296</v>
      </c>
      <c r="L31" s="610"/>
      <c r="M31" s="610"/>
      <c r="N31" s="610"/>
      <c r="O31" s="610"/>
      <c r="P31" s="610"/>
      <c r="Q31" s="610"/>
      <c r="R31" s="611"/>
      <c r="S31" s="325">
        <f t="shared" si="0"/>
        <v>296</v>
      </c>
      <c r="T31" s="609">
        <v>332</v>
      </c>
      <c r="U31" s="610"/>
      <c r="V31" s="610"/>
      <c r="W31" s="610"/>
      <c r="X31" s="610"/>
      <c r="Y31" s="610"/>
      <c r="Z31" s="610"/>
      <c r="AA31" s="611"/>
      <c r="AB31" s="325">
        <f t="shared" si="1"/>
        <v>332</v>
      </c>
      <c r="AC31" s="640">
        <v>200</v>
      </c>
      <c r="AD31" s="641"/>
      <c r="AE31" s="641"/>
      <c r="AF31" s="641"/>
      <c r="AG31" s="641"/>
      <c r="AH31" s="641"/>
      <c r="AI31" s="641"/>
      <c r="AJ31" s="642"/>
      <c r="AK31" s="325">
        <f>SUM(AC31)</f>
        <v>200</v>
      </c>
      <c r="AL31" s="643">
        <v>364</v>
      </c>
      <c r="AM31" s="644"/>
      <c r="AN31" s="644"/>
      <c r="AO31" s="644"/>
      <c r="AP31" s="644"/>
      <c r="AQ31" s="644"/>
      <c r="AR31" s="644"/>
      <c r="AS31" s="645"/>
      <c r="AT31" s="291">
        <f>SUM(AL31)</f>
        <v>364</v>
      </c>
      <c r="AU31" s="640">
        <v>843</v>
      </c>
      <c r="AV31" s="641"/>
      <c r="AW31" s="641"/>
      <c r="AX31" s="641"/>
      <c r="AY31" s="641"/>
      <c r="AZ31" s="641"/>
      <c r="BA31" s="641"/>
      <c r="BB31" s="642"/>
      <c r="BC31" s="290">
        <f>SUM(AU31)</f>
        <v>843</v>
      </c>
      <c r="BD31" s="640">
        <v>594</v>
      </c>
      <c r="BE31" s="641"/>
      <c r="BF31" s="641"/>
      <c r="BG31" s="641"/>
      <c r="BH31" s="641"/>
      <c r="BI31" s="641"/>
      <c r="BJ31" s="641"/>
      <c r="BK31" s="642"/>
      <c r="BL31" s="325">
        <f>SUM(BD31)</f>
        <v>594</v>
      </c>
      <c r="BM31" s="643">
        <v>550</v>
      </c>
      <c r="BN31" s="644"/>
      <c r="BO31" s="644"/>
      <c r="BP31" s="644"/>
      <c r="BQ31" s="644"/>
      <c r="BR31" s="644"/>
      <c r="BS31" s="644"/>
      <c r="BT31" s="645"/>
      <c r="BU31" s="326">
        <f>SUM(BM31)</f>
        <v>550</v>
      </c>
      <c r="BV31" s="640">
        <v>517</v>
      </c>
      <c r="BW31" s="641"/>
      <c r="BX31" s="641"/>
      <c r="BY31" s="641"/>
      <c r="BZ31" s="641"/>
      <c r="CA31" s="641"/>
      <c r="CB31" s="641"/>
      <c r="CC31" s="642"/>
      <c r="CD31" s="298">
        <f t="shared" si="2"/>
        <v>517</v>
      </c>
      <c r="CE31" s="612">
        <v>569</v>
      </c>
      <c r="CF31" s="613"/>
      <c r="CG31" s="613"/>
      <c r="CH31" s="613"/>
      <c r="CI31" s="613"/>
      <c r="CJ31" s="613"/>
      <c r="CK31" s="613"/>
      <c r="CL31" s="614"/>
      <c r="CM31" s="292">
        <f t="shared" si="3"/>
        <v>569</v>
      </c>
      <c r="CN31" s="635">
        <v>525</v>
      </c>
      <c r="CO31" s="636"/>
      <c r="CP31" s="636"/>
      <c r="CQ31" s="636"/>
      <c r="CR31" s="636"/>
      <c r="CS31" s="636"/>
      <c r="CT31" s="636"/>
      <c r="CU31" s="637"/>
      <c r="CV31" s="292">
        <f t="shared" si="4"/>
        <v>525</v>
      </c>
      <c r="CW31" s="635">
        <v>240</v>
      </c>
      <c r="CX31" s="636"/>
      <c r="CY31" s="636"/>
      <c r="CZ31" s="636"/>
      <c r="DA31" s="636"/>
      <c r="DB31" s="636"/>
      <c r="DC31" s="636"/>
      <c r="DD31" s="637"/>
      <c r="DE31" s="292">
        <f t="shared" si="5"/>
        <v>240</v>
      </c>
      <c r="DF31" s="635">
        <v>200</v>
      </c>
      <c r="DG31" s="636"/>
      <c r="DH31" s="636"/>
      <c r="DI31" s="636"/>
      <c r="DJ31" s="636"/>
      <c r="DK31" s="636"/>
      <c r="DL31" s="636"/>
      <c r="DM31" s="637"/>
      <c r="DN31" s="292">
        <f t="shared" si="6"/>
        <v>200</v>
      </c>
      <c r="DO31" s="293">
        <f t="shared" si="7"/>
        <v>5230</v>
      </c>
      <c r="DP31" s="303"/>
    </row>
    <row r="32" spans="1:120" ht="221.25" customHeight="1">
      <c r="B32" s="589"/>
      <c r="C32" s="591"/>
      <c r="D32" s="594"/>
      <c r="E32" s="595"/>
      <c r="F32" s="597"/>
      <c r="G32" s="591"/>
      <c r="H32" s="591"/>
      <c r="I32" s="639"/>
      <c r="J32" s="295" t="s">
        <v>66</v>
      </c>
      <c r="K32" s="323">
        <v>92</v>
      </c>
      <c r="L32" s="324">
        <v>86</v>
      </c>
      <c r="M32" s="324">
        <v>44</v>
      </c>
      <c r="N32" s="324">
        <v>25</v>
      </c>
      <c r="O32" s="324">
        <v>46</v>
      </c>
      <c r="P32" s="324">
        <v>3</v>
      </c>
      <c r="Q32" s="324"/>
      <c r="R32" s="324"/>
      <c r="S32" s="325">
        <f>SUM(K32:R32)</f>
        <v>296</v>
      </c>
      <c r="T32" s="324">
        <v>97</v>
      </c>
      <c r="U32" s="324">
        <v>91</v>
      </c>
      <c r="V32" s="324">
        <v>36</v>
      </c>
      <c r="W32" s="324">
        <v>29</v>
      </c>
      <c r="X32" s="324">
        <v>58</v>
      </c>
      <c r="Y32" s="324">
        <v>21</v>
      </c>
      <c r="Z32" s="324"/>
      <c r="AA32" s="324"/>
      <c r="AB32" s="325">
        <f>SUM(T32:AA32)</f>
        <v>332</v>
      </c>
      <c r="AC32" s="324">
        <v>0</v>
      </c>
      <c r="AD32" s="324">
        <v>0</v>
      </c>
      <c r="AE32" s="324">
        <v>0</v>
      </c>
      <c r="AF32" s="324">
        <v>0</v>
      </c>
      <c r="AG32" s="324">
        <v>0</v>
      </c>
      <c r="AH32" s="324">
        <v>0</v>
      </c>
      <c r="AI32" s="324">
        <v>0</v>
      </c>
      <c r="AJ32" s="324">
        <v>0</v>
      </c>
      <c r="AK32" s="325">
        <f>SUM(AC32:AJ32)</f>
        <v>0</v>
      </c>
      <c r="AL32" s="297">
        <v>0</v>
      </c>
      <c r="AM32" s="297">
        <v>0</v>
      </c>
      <c r="AN32" s="297">
        <v>0</v>
      </c>
      <c r="AO32" s="297">
        <v>0</v>
      </c>
      <c r="AP32" s="297">
        <v>0</v>
      </c>
      <c r="AQ32" s="297">
        <v>0</v>
      </c>
      <c r="AR32" s="297">
        <v>0</v>
      </c>
      <c r="AS32" s="297">
        <v>0</v>
      </c>
      <c r="AT32" s="291">
        <f>SUM(AL32:AS32)</f>
        <v>0</v>
      </c>
      <c r="AU32" s="290">
        <v>0</v>
      </c>
      <c r="AV32" s="290">
        <v>0</v>
      </c>
      <c r="AW32" s="290">
        <v>0</v>
      </c>
      <c r="AX32" s="290">
        <v>0</v>
      </c>
      <c r="AY32" s="290">
        <v>0</v>
      </c>
      <c r="AZ32" s="290">
        <v>0</v>
      </c>
      <c r="BA32" s="290">
        <v>0</v>
      </c>
      <c r="BB32" s="290">
        <v>0</v>
      </c>
      <c r="BC32" s="290">
        <f>SUM(AU32:BB32)</f>
        <v>0</v>
      </c>
      <c r="BD32" s="324">
        <v>0</v>
      </c>
      <c r="BE32" s="324">
        <v>0</v>
      </c>
      <c r="BF32" s="324">
        <v>0</v>
      </c>
      <c r="BG32" s="324">
        <v>0</v>
      </c>
      <c r="BH32" s="324">
        <v>0</v>
      </c>
      <c r="BI32" s="324">
        <v>0</v>
      </c>
      <c r="BJ32" s="324">
        <v>0</v>
      </c>
      <c r="BK32" s="324">
        <v>0</v>
      </c>
      <c r="BL32" s="325">
        <f>SUM(BD32:BK32)</f>
        <v>0</v>
      </c>
      <c r="BM32" s="319">
        <v>0</v>
      </c>
      <c r="BN32" s="319">
        <v>0</v>
      </c>
      <c r="BO32" s="319">
        <v>0</v>
      </c>
      <c r="BP32" s="319">
        <v>0</v>
      </c>
      <c r="BQ32" s="319">
        <v>0</v>
      </c>
      <c r="BR32" s="319">
        <v>0</v>
      </c>
      <c r="BS32" s="319">
        <v>0</v>
      </c>
      <c r="BT32" s="319">
        <v>0</v>
      </c>
      <c r="BU32" s="326">
        <f>SUM(BM32:BT32)</f>
        <v>0</v>
      </c>
      <c r="BV32" s="324">
        <v>0</v>
      </c>
      <c r="BW32" s="324">
        <v>0</v>
      </c>
      <c r="BX32" s="324">
        <v>0</v>
      </c>
      <c r="BY32" s="324">
        <v>0</v>
      </c>
      <c r="BZ32" s="324">
        <v>0</v>
      </c>
      <c r="CA32" s="324">
        <v>0</v>
      </c>
      <c r="CB32" s="324">
        <v>0</v>
      </c>
      <c r="CC32" s="324">
        <v>0</v>
      </c>
      <c r="CD32" s="298">
        <f t="shared" si="2"/>
        <v>0</v>
      </c>
      <c r="CE32" s="304">
        <v>0</v>
      </c>
      <c r="CF32" s="304">
        <v>0</v>
      </c>
      <c r="CG32" s="304">
        <v>0</v>
      </c>
      <c r="CH32" s="304">
        <v>0</v>
      </c>
      <c r="CI32" s="304">
        <v>0</v>
      </c>
      <c r="CJ32" s="304">
        <v>0</v>
      </c>
      <c r="CK32" s="304">
        <v>0</v>
      </c>
      <c r="CL32" s="304">
        <v>0</v>
      </c>
      <c r="CM32" s="292">
        <f t="shared" si="3"/>
        <v>0</v>
      </c>
      <c r="CN32" s="304">
        <v>169</v>
      </c>
      <c r="CO32" s="304">
        <v>183</v>
      </c>
      <c r="CP32" s="304">
        <v>165</v>
      </c>
      <c r="CQ32" s="304">
        <v>143</v>
      </c>
      <c r="CR32" s="304">
        <v>130</v>
      </c>
      <c r="CS32" s="304">
        <v>10</v>
      </c>
      <c r="CT32" s="304">
        <v>0</v>
      </c>
      <c r="CU32" s="304">
        <v>0</v>
      </c>
      <c r="CV32" s="292">
        <f t="shared" si="4"/>
        <v>800</v>
      </c>
      <c r="CW32" s="304">
        <v>0</v>
      </c>
      <c r="CX32" s="304">
        <v>0</v>
      </c>
      <c r="CY32" s="304">
        <v>0</v>
      </c>
      <c r="CZ32" s="304">
        <v>0</v>
      </c>
      <c r="DA32" s="304">
        <v>0</v>
      </c>
      <c r="DB32" s="304">
        <v>0</v>
      </c>
      <c r="DC32" s="304">
        <v>0</v>
      </c>
      <c r="DD32" s="304">
        <v>0</v>
      </c>
      <c r="DE32" s="292">
        <f t="shared" si="5"/>
        <v>0</v>
      </c>
      <c r="DF32" s="304">
        <v>3</v>
      </c>
      <c r="DG32" s="304">
        <v>4</v>
      </c>
      <c r="DH32" s="304">
        <v>25</v>
      </c>
      <c r="DI32" s="304">
        <v>18</v>
      </c>
      <c r="DJ32" s="304">
        <v>0</v>
      </c>
      <c r="DK32" s="304">
        <v>0</v>
      </c>
      <c r="DL32" s="304">
        <v>0</v>
      </c>
      <c r="DM32" s="304">
        <v>0</v>
      </c>
      <c r="DN32" s="292">
        <f>SUM(DF32:DM32)</f>
        <v>50</v>
      </c>
      <c r="DO32" s="293">
        <f t="shared" si="7"/>
        <v>1478</v>
      </c>
      <c r="DP32" s="302"/>
    </row>
    <row r="33" spans="1:120" ht="221.25" hidden="1" customHeight="1">
      <c r="A33" s="305"/>
      <c r="B33" s="646" t="s">
        <v>78</v>
      </c>
      <c r="C33" s="647" t="s">
        <v>198</v>
      </c>
      <c r="D33" s="647" t="s">
        <v>5</v>
      </c>
      <c r="E33" s="647"/>
      <c r="F33" s="648" t="s">
        <v>211</v>
      </c>
      <c r="G33" s="649">
        <v>4509</v>
      </c>
      <c r="H33" s="650" t="s">
        <v>221</v>
      </c>
      <c r="I33" s="652">
        <v>4509</v>
      </c>
      <c r="J33" s="306" t="s">
        <v>65</v>
      </c>
      <c r="K33" s="609">
        <v>290</v>
      </c>
      <c r="L33" s="610"/>
      <c r="M33" s="610"/>
      <c r="N33" s="610"/>
      <c r="O33" s="610"/>
      <c r="P33" s="610"/>
      <c r="Q33" s="610"/>
      <c r="R33" s="611"/>
      <c r="S33" s="290">
        <f t="shared" si="0"/>
        <v>290</v>
      </c>
      <c r="T33" s="609">
        <v>364</v>
      </c>
      <c r="U33" s="610"/>
      <c r="V33" s="610"/>
      <c r="W33" s="610"/>
      <c r="X33" s="610"/>
      <c r="Y33" s="610"/>
      <c r="Z33" s="610"/>
      <c r="AA33" s="611"/>
      <c r="AB33" s="290">
        <f t="shared" si="1"/>
        <v>364</v>
      </c>
      <c r="AC33" s="609">
        <v>248</v>
      </c>
      <c r="AD33" s="610"/>
      <c r="AE33" s="610"/>
      <c r="AF33" s="610"/>
      <c r="AG33" s="610"/>
      <c r="AH33" s="610"/>
      <c r="AI33" s="610"/>
      <c r="AJ33" s="611"/>
      <c r="AK33" s="290">
        <f t="shared" ref="AK33:AK39" si="12">SUM(AC33)</f>
        <v>248</v>
      </c>
      <c r="AL33" s="606">
        <v>404</v>
      </c>
      <c r="AM33" s="607"/>
      <c r="AN33" s="607"/>
      <c r="AO33" s="607"/>
      <c r="AP33" s="607"/>
      <c r="AQ33" s="607"/>
      <c r="AR33" s="607"/>
      <c r="AS33" s="608"/>
      <c r="AT33" s="291">
        <f t="shared" si="8"/>
        <v>404</v>
      </c>
      <c r="AU33" s="609">
        <v>536</v>
      </c>
      <c r="AV33" s="610"/>
      <c r="AW33" s="610"/>
      <c r="AX33" s="610"/>
      <c r="AY33" s="610"/>
      <c r="AZ33" s="610"/>
      <c r="BA33" s="610"/>
      <c r="BB33" s="611"/>
      <c r="BC33" s="290">
        <f t="shared" si="9"/>
        <v>536</v>
      </c>
      <c r="BD33" s="609">
        <v>523</v>
      </c>
      <c r="BE33" s="610"/>
      <c r="BF33" s="610"/>
      <c r="BG33" s="610"/>
      <c r="BH33" s="610"/>
      <c r="BI33" s="610"/>
      <c r="BJ33" s="610"/>
      <c r="BK33" s="611"/>
      <c r="BL33" s="290">
        <f t="shared" si="10"/>
        <v>523</v>
      </c>
      <c r="BM33" s="606">
        <v>148</v>
      </c>
      <c r="BN33" s="607"/>
      <c r="BO33" s="607"/>
      <c r="BP33" s="607"/>
      <c r="BQ33" s="607"/>
      <c r="BR33" s="607"/>
      <c r="BS33" s="607"/>
      <c r="BT33" s="608"/>
      <c r="BU33" s="291">
        <f t="shared" si="11"/>
        <v>148</v>
      </c>
      <c r="BV33" s="609">
        <v>107</v>
      </c>
      <c r="BW33" s="610"/>
      <c r="BX33" s="610"/>
      <c r="BY33" s="610"/>
      <c r="BZ33" s="610"/>
      <c r="CA33" s="610"/>
      <c r="CB33" s="610"/>
      <c r="CC33" s="611"/>
      <c r="CD33" s="298">
        <f t="shared" si="2"/>
        <v>107</v>
      </c>
      <c r="CE33" s="612">
        <v>288</v>
      </c>
      <c r="CF33" s="613"/>
      <c r="CG33" s="613"/>
      <c r="CH33" s="613"/>
      <c r="CI33" s="613"/>
      <c r="CJ33" s="613"/>
      <c r="CK33" s="613"/>
      <c r="CL33" s="614"/>
      <c r="CM33" s="292">
        <f t="shared" si="3"/>
        <v>288</v>
      </c>
      <c r="CN33" s="612">
        <v>636</v>
      </c>
      <c r="CO33" s="613"/>
      <c r="CP33" s="613"/>
      <c r="CQ33" s="613"/>
      <c r="CR33" s="613"/>
      <c r="CS33" s="613"/>
      <c r="CT33" s="613"/>
      <c r="CU33" s="614"/>
      <c r="CV33" s="292">
        <f t="shared" si="4"/>
        <v>636</v>
      </c>
      <c r="CW33" s="612">
        <v>0</v>
      </c>
      <c r="CX33" s="613"/>
      <c r="CY33" s="613"/>
      <c r="CZ33" s="613"/>
      <c r="DA33" s="613"/>
      <c r="DB33" s="613"/>
      <c r="DC33" s="613"/>
      <c r="DD33" s="614"/>
      <c r="DE33" s="292">
        <f t="shared" si="5"/>
        <v>0</v>
      </c>
      <c r="DF33" s="612">
        <v>21</v>
      </c>
      <c r="DG33" s="613"/>
      <c r="DH33" s="613"/>
      <c r="DI33" s="613"/>
      <c r="DJ33" s="613"/>
      <c r="DK33" s="613"/>
      <c r="DL33" s="613"/>
      <c r="DM33" s="614"/>
      <c r="DN33" s="292">
        <f t="shared" si="6"/>
        <v>21</v>
      </c>
      <c r="DO33" s="293">
        <f t="shared" si="7"/>
        <v>3565</v>
      </c>
      <c r="DP33" s="303"/>
    </row>
    <row r="34" spans="1:120" ht="247.5" customHeight="1">
      <c r="A34" s="305"/>
      <c r="B34" s="646"/>
      <c r="C34" s="647"/>
      <c r="D34" s="647"/>
      <c r="E34" s="647"/>
      <c r="F34" s="648"/>
      <c r="G34" s="647"/>
      <c r="H34" s="651"/>
      <c r="I34" s="624"/>
      <c r="J34" s="295" t="s">
        <v>66</v>
      </c>
      <c r="K34" s="626">
        <v>290</v>
      </c>
      <c r="L34" s="627"/>
      <c r="M34" s="627"/>
      <c r="N34" s="627"/>
      <c r="O34" s="627"/>
      <c r="P34" s="627"/>
      <c r="Q34" s="627"/>
      <c r="R34" s="628"/>
      <c r="S34" s="307">
        <f t="shared" si="0"/>
        <v>290</v>
      </c>
      <c r="T34" s="626">
        <v>364</v>
      </c>
      <c r="U34" s="627"/>
      <c r="V34" s="627"/>
      <c r="W34" s="627"/>
      <c r="X34" s="627"/>
      <c r="Y34" s="627"/>
      <c r="Z34" s="627"/>
      <c r="AA34" s="628"/>
      <c r="AB34" s="307">
        <f t="shared" si="1"/>
        <v>364</v>
      </c>
      <c r="AC34" s="626">
        <v>208</v>
      </c>
      <c r="AD34" s="627"/>
      <c r="AE34" s="627"/>
      <c r="AF34" s="627"/>
      <c r="AG34" s="627"/>
      <c r="AH34" s="627"/>
      <c r="AI34" s="627"/>
      <c r="AJ34" s="628"/>
      <c r="AK34" s="307">
        <f t="shared" si="12"/>
        <v>208</v>
      </c>
      <c r="AL34" s="629">
        <v>0</v>
      </c>
      <c r="AM34" s="630"/>
      <c r="AN34" s="630"/>
      <c r="AO34" s="630"/>
      <c r="AP34" s="630"/>
      <c r="AQ34" s="630"/>
      <c r="AR34" s="630"/>
      <c r="AS34" s="631"/>
      <c r="AT34" s="308">
        <f t="shared" si="8"/>
        <v>0</v>
      </c>
      <c r="AU34" s="626">
        <v>0</v>
      </c>
      <c r="AV34" s="627"/>
      <c r="AW34" s="627"/>
      <c r="AX34" s="627"/>
      <c r="AY34" s="627"/>
      <c r="AZ34" s="627"/>
      <c r="BA34" s="627"/>
      <c r="BB34" s="628"/>
      <c r="BC34" s="307">
        <f t="shared" si="9"/>
        <v>0</v>
      </c>
      <c r="BD34" s="626">
        <v>0</v>
      </c>
      <c r="BE34" s="627"/>
      <c r="BF34" s="627"/>
      <c r="BG34" s="627"/>
      <c r="BH34" s="627"/>
      <c r="BI34" s="627"/>
      <c r="BJ34" s="627"/>
      <c r="BK34" s="628"/>
      <c r="BL34" s="307">
        <f t="shared" si="10"/>
        <v>0</v>
      </c>
      <c r="BM34" s="629">
        <v>0</v>
      </c>
      <c r="BN34" s="630"/>
      <c r="BO34" s="630"/>
      <c r="BP34" s="630"/>
      <c r="BQ34" s="630"/>
      <c r="BR34" s="630"/>
      <c r="BS34" s="630"/>
      <c r="BT34" s="631"/>
      <c r="BU34" s="308">
        <f t="shared" si="11"/>
        <v>0</v>
      </c>
      <c r="BV34" s="626">
        <v>0</v>
      </c>
      <c r="BW34" s="627"/>
      <c r="BX34" s="627"/>
      <c r="BY34" s="627"/>
      <c r="BZ34" s="627"/>
      <c r="CA34" s="627"/>
      <c r="CB34" s="627"/>
      <c r="CC34" s="628"/>
      <c r="CD34" s="309">
        <f t="shared" si="2"/>
        <v>0</v>
      </c>
      <c r="CE34" s="632">
        <v>215</v>
      </c>
      <c r="CF34" s="633"/>
      <c r="CG34" s="633"/>
      <c r="CH34" s="633"/>
      <c r="CI34" s="633"/>
      <c r="CJ34" s="633"/>
      <c r="CK34" s="633"/>
      <c r="CL34" s="634"/>
      <c r="CM34" s="310">
        <f t="shared" si="3"/>
        <v>215</v>
      </c>
      <c r="CN34" s="632">
        <v>5</v>
      </c>
      <c r="CO34" s="633"/>
      <c r="CP34" s="633"/>
      <c r="CQ34" s="633"/>
      <c r="CR34" s="633"/>
      <c r="CS34" s="633"/>
      <c r="CT34" s="633"/>
      <c r="CU34" s="634"/>
      <c r="CV34" s="310">
        <f t="shared" si="4"/>
        <v>5</v>
      </c>
      <c r="CW34" s="632">
        <v>12</v>
      </c>
      <c r="CX34" s="633"/>
      <c r="CY34" s="633"/>
      <c r="CZ34" s="633"/>
      <c r="DA34" s="633"/>
      <c r="DB34" s="633"/>
      <c r="DC34" s="633"/>
      <c r="DD34" s="634"/>
      <c r="DE34" s="310">
        <f t="shared" si="5"/>
        <v>12</v>
      </c>
      <c r="DF34" s="632">
        <v>5</v>
      </c>
      <c r="DG34" s="633"/>
      <c r="DH34" s="633"/>
      <c r="DI34" s="633"/>
      <c r="DJ34" s="633"/>
      <c r="DK34" s="633"/>
      <c r="DL34" s="633"/>
      <c r="DM34" s="634"/>
      <c r="DN34" s="310">
        <f t="shared" si="6"/>
        <v>5</v>
      </c>
      <c r="DO34" s="293">
        <f t="shared" si="7"/>
        <v>1099</v>
      </c>
      <c r="DP34" s="303" t="s">
        <v>222</v>
      </c>
    </row>
    <row r="35" spans="1:120" ht="221.25" hidden="1" customHeight="1">
      <c r="B35" s="602" t="s">
        <v>78</v>
      </c>
      <c r="C35" s="598" t="s">
        <v>198</v>
      </c>
      <c r="D35" s="598" t="s">
        <v>5</v>
      </c>
      <c r="E35" s="598"/>
      <c r="F35" s="622" t="s">
        <v>211</v>
      </c>
      <c r="G35" s="625">
        <v>262</v>
      </c>
      <c r="H35" s="590" t="s">
        <v>145</v>
      </c>
      <c r="I35" s="623">
        <v>262</v>
      </c>
      <c r="J35" s="306" t="s">
        <v>65</v>
      </c>
      <c r="K35" s="609">
        <v>37</v>
      </c>
      <c r="L35" s="610"/>
      <c r="M35" s="610"/>
      <c r="N35" s="610"/>
      <c r="O35" s="610"/>
      <c r="P35" s="610"/>
      <c r="Q35" s="610"/>
      <c r="R35" s="611"/>
      <c r="S35" s="327">
        <f t="shared" si="0"/>
        <v>37</v>
      </c>
      <c r="T35" s="609">
        <v>103</v>
      </c>
      <c r="U35" s="610"/>
      <c r="V35" s="610"/>
      <c r="W35" s="610"/>
      <c r="X35" s="610"/>
      <c r="Y35" s="610"/>
      <c r="Z35" s="610"/>
      <c r="AA35" s="611"/>
      <c r="AB35" s="327">
        <f t="shared" si="1"/>
        <v>103</v>
      </c>
      <c r="AC35" s="609">
        <v>31</v>
      </c>
      <c r="AD35" s="610"/>
      <c r="AE35" s="610"/>
      <c r="AF35" s="610"/>
      <c r="AG35" s="610"/>
      <c r="AH35" s="610"/>
      <c r="AI35" s="610"/>
      <c r="AJ35" s="611"/>
      <c r="AK35" s="327">
        <f t="shared" si="12"/>
        <v>31</v>
      </c>
      <c r="AL35" s="606">
        <v>2</v>
      </c>
      <c r="AM35" s="607"/>
      <c r="AN35" s="607"/>
      <c r="AO35" s="607"/>
      <c r="AP35" s="607"/>
      <c r="AQ35" s="607"/>
      <c r="AR35" s="607"/>
      <c r="AS35" s="608"/>
      <c r="AT35" s="291">
        <f t="shared" si="8"/>
        <v>2</v>
      </c>
      <c r="AU35" s="609">
        <v>13</v>
      </c>
      <c r="AV35" s="610"/>
      <c r="AW35" s="610"/>
      <c r="AX35" s="610"/>
      <c r="AY35" s="610"/>
      <c r="AZ35" s="610"/>
      <c r="BA35" s="610"/>
      <c r="BB35" s="611"/>
      <c r="BC35" s="290">
        <f t="shared" si="9"/>
        <v>13</v>
      </c>
      <c r="BD35" s="609">
        <v>7</v>
      </c>
      <c r="BE35" s="610"/>
      <c r="BF35" s="610"/>
      <c r="BG35" s="610"/>
      <c r="BH35" s="610"/>
      <c r="BI35" s="610"/>
      <c r="BJ35" s="610"/>
      <c r="BK35" s="611"/>
      <c r="BL35" s="290">
        <f t="shared" si="10"/>
        <v>7</v>
      </c>
      <c r="BM35" s="606">
        <v>0</v>
      </c>
      <c r="BN35" s="607"/>
      <c r="BO35" s="607"/>
      <c r="BP35" s="607"/>
      <c r="BQ35" s="607"/>
      <c r="BR35" s="607"/>
      <c r="BS35" s="607"/>
      <c r="BT35" s="608"/>
      <c r="BU35" s="291">
        <f t="shared" si="11"/>
        <v>0</v>
      </c>
      <c r="BV35" s="609">
        <v>5</v>
      </c>
      <c r="BW35" s="610"/>
      <c r="BX35" s="610"/>
      <c r="BY35" s="610"/>
      <c r="BZ35" s="610"/>
      <c r="CA35" s="610"/>
      <c r="CB35" s="610"/>
      <c r="CC35" s="611"/>
      <c r="CD35" s="298">
        <f t="shared" si="2"/>
        <v>5</v>
      </c>
      <c r="CE35" s="612">
        <v>3</v>
      </c>
      <c r="CF35" s="613"/>
      <c r="CG35" s="613"/>
      <c r="CH35" s="613"/>
      <c r="CI35" s="613"/>
      <c r="CJ35" s="613"/>
      <c r="CK35" s="613"/>
      <c r="CL35" s="614"/>
      <c r="CM35" s="292">
        <f t="shared" si="3"/>
        <v>3</v>
      </c>
      <c r="CN35" s="612">
        <v>20</v>
      </c>
      <c r="CO35" s="613"/>
      <c r="CP35" s="613"/>
      <c r="CQ35" s="613"/>
      <c r="CR35" s="613"/>
      <c r="CS35" s="613"/>
      <c r="CT35" s="613"/>
      <c r="CU35" s="614"/>
      <c r="CV35" s="292">
        <f t="shared" si="4"/>
        <v>20</v>
      </c>
      <c r="CW35" s="612">
        <v>33</v>
      </c>
      <c r="CX35" s="613"/>
      <c r="CY35" s="613"/>
      <c r="CZ35" s="613"/>
      <c r="DA35" s="613"/>
      <c r="DB35" s="613"/>
      <c r="DC35" s="613"/>
      <c r="DD35" s="614"/>
      <c r="DE35" s="292">
        <f t="shared" si="5"/>
        <v>33</v>
      </c>
      <c r="DF35" s="612">
        <v>8</v>
      </c>
      <c r="DG35" s="613"/>
      <c r="DH35" s="613"/>
      <c r="DI35" s="613"/>
      <c r="DJ35" s="613"/>
      <c r="DK35" s="613"/>
      <c r="DL35" s="613"/>
      <c r="DM35" s="614"/>
      <c r="DN35" s="292">
        <f t="shared" si="6"/>
        <v>8</v>
      </c>
      <c r="DO35" s="293">
        <f t="shared" si="7"/>
        <v>262</v>
      </c>
      <c r="DP35" s="303"/>
    </row>
    <row r="36" spans="1:120" ht="221.25" customHeight="1">
      <c r="B36" s="602"/>
      <c r="C36" s="598"/>
      <c r="D36" s="598"/>
      <c r="E36" s="598"/>
      <c r="F36" s="622"/>
      <c r="G36" s="591"/>
      <c r="H36" s="591"/>
      <c r="I36" s="624"/>
      <c r="J36" s="295" t="s">
        <v>66</v>
      </c>
      <c r="K36" s="609">
        <v>5</v>
      </c>
      <c r="L36" s="610"/>
      <c r="M36" s="610"/>
      <c r="N36" s="610"/>
      <c r="O36" s="610"/>
      <c r="P36" s="610"/>
      <c r="Q36" s="610"/>
      <c r="R36" s="611"/>
      <c r="S36" s="327">
        <f t="shared" si="0"/>
        <v>5</v>
      </c>
      <c r="T36" s="609">
        <v>53</v>
      </c>
      <c r="U36" s="610"/>
      <c r="V36" s="610"/>
      <c r="W36" s="610"/>
      <c r="X36" s="610"/>
      <c r="Y36" s="610"/>
      <c r="Z36" s="610"/>
      <c r="AA36" s="611"/>
      <c r="AB36" s="327">
        <f t="shared" si="1"/>
        <v>53</v>
      </c>
      <c r="AC36" s="609">
        <v>9</v>
      </c>
      <c r="AD36" s="610"/>
      <c r="AE36" s="610"/>
      <c r="AF36" s="610"/>
      <c r="AG36" s="610"/>
      <c r="AH36" s="610"/>
      <c r="AI36" s="610"/>
      <c r="AJ36" s="611"/>
      <c r="AK36" s="327">
        <f t="shared" si="12"/>
        <v>9</v>
      </c>
      <c r="AL36" s="606">
        <v>0</v>
      </c>
      <c r="AM36" s="607"/>
      <c r="AN36" s="607"/>
      <c r="AO36" s="607"/>
      <c r="AP36" s="607"/>
      <c r="AQ36" s="607"/>
      <c r="AR36" s="607"/>
      <c r="AS36" s="608"/>
      <c r="AT36" s="291">
        <f t="shared" si="8"/>
        <v>0</v>
      </c>
      <c r="AU36" s="609">
        <v>0</v>
      </c>
      <c r="AV36" s="610"/>
      <c r="AW36" s="610"/>
      <c r="AX36" s="610"/>
      <c r="AY36" s="610"/>
      <c r="AZ36" s="610"/>
      <c r="BA36" s="610"/>
      <c r="BB36" s="611"/>
      <c r="BC36" s="290">
        <f t="shared" si="9"/>
        <v>0</v>
      </c>
      <c r="BD36" s="609">
        <v>2</v>
      </c>
      <c r="BE36" s="610"/>
      <c r="BF36" s="610"/>
      <c r="BG36" s="610"/>
      <c r="BH36" s="610"/>
      <c r="BI36" s="610"/>
      <c r="BJ36" s="610"/>
      <c r="BK36" s="611"/>
      <c r="BL36" s="290">
        <f t="shared" si="10"/>
        <v>2</v>
      </c>
      <c r="BM36" s="606">
        <v>6</v>
      </c>
      <c r="BN36" s="607"/>
      <c r="BO36" s="607"/>
      <c r="BP36" s="607"/>
      <c r="BQ36" s="607"/>
      <c r="BR36" s="607"/>
      <c r="BS36" s="607"/>
      <c r="BT36" s="608"/>
      <c r="BU36" s="291">
        <f t="shared" si="11"/>
        <v>6</v>
      </c>
      <c r="BV36" s="609">
        <v>3</v>
      </c>
      <c r="BW36" s="610"/>
      <c r="BX36" s="610"/>
      <c r="BY36" s="610"/>
      <c r="BZ36" s="610"/>
      <c r="CA36" s="610"/>
      <c r="CB36" s="610"/>
      <c r="CC36" s="611"/>
      <c r="CD36" s="298">
        <f t="shared" si="2"/>
        <v>3</v>
      </c>
      <c r="CE36" s="612">
        <v>1</v>
      </c>
      <c r="CF36" s="613"/>
      <c r="CG36" s="613"/>
      <c r="CH36" s="613"/>
      <c r="CI36" s="613"/>
      <c r="CJ36" s="613"/>
      <c r="CK36" s="613"/>
      <c r="CL36" s="614"/>
      <c r="CM36" s="292">
        <f t="shared" si="3"/>
        <v>1</v>
      </c>
      <c r="CN36" s="612">
        <v>1</v>
      </c>
      <c r="CO36" s="613"/>
      <c r="CP36" s="613"/>
      <c r="CQ36" s="613"/>
      <c r="CR36" s="613"/>
      <c r="CS36" s="613"/>
      <c r="CT36" s="613"/>
      <c r="CU36" s="614"/>
      <c r="CV36" s="292">
        <f t="shared" si="4"/>
        <v>1</v>
      </c>
      <c r="CW36" s="612">
        <v>4</v>
      </c>
      <c r="CX36" s="613"/>
      <c r="CY36" s="613"/>
      <c r="CZ36" s="613"/>
      <c r="DA36" s="613"/>
      <c r="DB36" s="613"/>
      <c r="DC36" s="613"/>
      <c r="DD36" s="614"/>
      <c r="DE36" s="292">
        <f t="shared" si="5"/>
        <v>4</v>
      </c>
      <c r="DF36" s="612">
        <v>1</v>
      </c>
      <c r="DG36" s="613"/>
      <c r="DH36" s="613"/>
      <c r="DI36" s="613"/>
      <c r="DJ36" s="613"/>
      <c r="DK36" s="613"/>
      <c r="DL36" s="613"/>
      <c r="DM36" s="614"/>
      <c r="DN36" s="292">
        <f t="shared" si="6"/>
        <v>1</v>
      </c>
      <c r="DO36" s="293">
        <f t="shared" si="7"/>
        <v>85</v>
      </c>
      <c r="DP36" s="303"/>
    </row>
    <row r="37" spans="1:120" ht="221.25" hidden="1" customHeight="1">
      <c r="B37" s="602" t="s">
        <v>78</v>
      </c>
      <c r="C37" s="598" t="s">
        <v>198</v>
      </c>
      <c r="D37" s="598" t="s">
        <v>5</v>
      </c>
      <c r="E37" s="598"/>
      <c r="F37" s="622" t="s">
        <v>211</v>
      </c>
      <c r="G37" s="590">
        <v>22</v>
      </c>
      <c r="H37" s="590" t="s">
        <v>223</v>
      </c>
      <c r="I37" s="623">
        <v>22</v>
      </c>
      <c r="J37" s="306" t="s">
        <v>65</v>
      </c>
      <c r="K37" s="609">
        <v>1</v>
      </c>
      <c r="L37" s="610"/>
      <c r="M37" s="610"/>
      <c r="N37" s="610"/>
      <c r="O37" s="610"/>
      <c r="P37" s="610"/>
      <c r="Q37" s="610"/>
      <c r="R37" s="611"/>
      <c r="S37" s="327">
        <f t="shared" si="0"/>
        <v>1</v>
      </c>
      <c r="T37" s="609">
        <v>2</v>
      </c>
      <c r="U37" s="610"/>
      <c r="V37" s="610"/>
      <c r="W37" s="610"/>
      <c r="X37" s="610"/>
      <c r="Y37" s="610"/>
      <c r="Z37" s="610"/>
      <c r="AA37" s="611"/>
      <c r="AB37" s="327">
        <f t="shared" si="1"/>
        <v>2</v>
      </c>
      <c r="AC37" s="609">
        <v>2</v>
      </c>
      <c r="AD37" s="610"/>
      <c r="AE37" s="610"/>
      <c r="AF37" s="610"/>
      <c r="AG37" s="610"/>
      <c r="AH37" s="610"/>
      <c r="AI37" s="610"/>
      <c r="AJ37" s="611"/>
      <c r="AK37" s="327">
        <f t="shared" si="12"/>
        <v>2</v>
      </c>
      <c r="AL37" s="606">
        <v>3</v>
      </c>
      <c r="AM37" s="607"/>
      <c r="AN37" s="607"/>
      <c r="AO37" s="607"/>
      <c r="AP37" s="607"/>
      <c r="AQ37" s="607"/>
      <c r="AR37" s="607"/>
      <c r="AS37" s="608"/>
      <c r="AT37" s="291">
        <f t="shared" si="8"/>
        <v>3</v>
      </c>
      <c r="AU37" s="609">
        <v>1</v>
      </c>
      <c r="AV37" s="610"/>
      <c r="AW37" s="610"/>
      <c r="AX37" s="610"/>
      <c r="AY37" s="610"/>
      <c r="AZ37" s="610"/>
      <c r="BA37" s="610"/>
      <c r="BB37" s="611"/>
      <c r="BC37" s="290">
        <f t="shared" si="9"/>
        <v>1</v>
      </c>
      <c r="BD37" s="609">
        <v>2</v>
      </c>
      <c r="BE37" s="610"/>
      <c r="BF37" s="610"/>
      <c r="BG37" s="610"/>
      <c r="BH37" s="610"/>
      <c r="BI37" s="610"/>
      <c r="BJ37" s="610"/>
      <c r="BK37" s="611"/>
      <c r="BL37" s="290">
        <f t="shared" si="10"/>
        <v>2</v>
      </c>
      <c r="BM37" s="606">
        <v>1</v>
      </c>
      <c r="BN37" s="607"/>
      <c r="BO37" s="607"/>
      <c r="BP37" s="607"/>
      <c r="BQ37" s="607"/>
      <c r="BR37" s="607"/>
      <c r="BS37" s="607"/>
      <c r="BT37" s="608"/>
      <c r="BU37" s="291">
        <f t="shared" si="11"/>
        <v>1</v>
      </c>
      <c r="BV37" s="609">
        <v>0</v>
      </c>
      <c r="BW37" s="610"/>
      <c r="BX37" s="610"/>
      <c r="BY37" s="610"/>
      <c r="BZ37" s="610"/>
      <c r="CA37" s="610"/>
      <c r="CB37" s="610"/>
      <c r="CC37" s="611"/>
      <c r="CD37" s="298">
        <f t="shared" si="2"/>
        <v>0</v>
      </c>
      <c r="CE37" s="612">
        <v>4</v>
      </c>
      <c r="CF37" s="613"/>
      <c r="CG37" s="613"/>
      <c r="CH37" s="613"/>
      <c r="CI37" s="613"/>
      <c r="CJ37" s="613"/>
      <c r="CK37" s="613"/>
      <c r="CL37" s="614"/>
      <c r="CM37" s="292">
        <f t="shared" si="3"/>
        <v>4</v>
      </c>
      <c r="CN37" s="612">
        <v>4</v>
      </c>
      <c r="CO37" s="613"/>
      <c r="CP37" s="613"/>
      <c r="CQ37" s="613"/>
      <c r="CR37" s="613"/>
      <c r="CS37" s="613"/>
      <c r="CT37" s="613"/>
      <c r="CU37" s="614"/>
      <c r="CV37" s="292">
        <f t="shared" si="4"/>
        <v>4</v>
      </c>
      <c r="CW37" s="612">
        <v>1</v>
      </c>
      <c r="CX37" s="613"/>
      <c r="CY37" s="613"/>
      <c r="CZ37" s="613"/>
      <c r="DA37" s="613"/>
      <c r="DB37" s="613"/>
      <c r="DC37" s="613"/>
      <c r="DD37" s="614"/>
      <c r="DE37" s="292">
        <f t="shared" si="5"/>
        <v>1</v>
      </c>
      <c r="DF37" s="612">
        <v>1</v>
      </c>
      <c r="DG37" s="613"/>
      <c r="DH37" s="613"/>
      <c r="DI37" s="613"/>
      <c r="DJ37" s="613"/>
      <c r="DK37" s="613"/>
      <c r="DL37" s="613"/>
      <c r="DM37" s="614"/>
      <c r="DN37" s="292">
        <f t="shared" si="6"/>
        <v>1</v>
      </c>
      <c r="DO37" s="293">
        <f t="shared" si="7"/>
        <v>22</v>
      </c>
      <c r="DP37" s="303"/>
    </row>
    <row r="38" spans="1:120" ht="221.25" customHeight="1">
      <c r="B38" s="602"/>
      <c r="C38" s="598"/>
      <c r="D38" s="598"/>
      <c r="E38" s="598"/>
      <c r="F38" s="622"/>
      <c r="G38" s="591"/>
      <c r="H38" s="591"/>
      <c r="I38" s="624"/>
      <c r="J38" s="295" t="s">
        <v>66</v>
      </c>
      <c r="K38" s="609">
        <v>1</v>
      </c>
      <c r="L38" s="610"/>
      <c r="M38" s="610"/>
      <c r="N38" s="610"/>
      <c r="O38" s="610"/>
      <c r="P38" s="610"/>
      <c r="Q38" s="610"/>
      <c r="R38" s="611"/>
      <c r="S38" s="327">
        <f t="shared" si="0"/>
        <v>1</v>
      </c>
      <c r="T38" s="609">
        <v>2</v>
      </c>
      <c r="U38" s="610"/>
      <c r="V38" s="610"/>
      <c r="W38" s="610"/>
      <c r="X38" s="610"/>
      <c r="Y38" s="610"/>
      <c r="Z38" s="610"/>
      <c r="AA38" s="611"/>
      <c r="AB38" s="327">
        <f t="shared" si="1"/>
        <v>2</v>
      </c>
      <c r="AC38" s="609">
        <v>0</v>
      </c>
      <c r="AD38" s="610"/>
      <c r="AE38" s="610"/>
      <c r="AF38" s="610"/>
      <c r="AG38" s="610"/>
      <c r="AH38" s="610"/>
      <c r="AI38" s="610"/>
      <c r="AJ38" s="611"/>
      <c r="AK38" s="327">
        <f t="shared" si="12"/>
        <v>0</v>
      </c>
      <c r="AL38" s="606">
        <v>0</v>
      </c>
      <c r="AM38" s="607"/>
      <c r="AN38" s="607"/>
      <c r="AO38" s="607"/>
      <c r="AP38" s="607"/>
      <c r="AQ38" s="607"/>
      <c r="AR38" s="607"/>
      <c r="AS38" s="608"/>
      <c r="AT38" s="291">
        <f t="shared" si="8"/>
        <v>0</v>
      </c>
      <c r="AU38" s="609">
        <v>0</v>
      </c>
      <c r="AV38" s="610"/>
      <c r="AW38" s="610"/>
      <c r="AX38" s="610"/>
      <c r="AY38" s="610"/>
      <c r="AZ38" s="610"/>
      <c r="BA38" s="610"/>
      <c r="BB38" s="611"/>
      <c r="BC38" s="290">
        <f t="shared" si="9"/>
        <v>0</v>
      </c>
      <c r="BD38" s="609">
        <v>0</v>
      </c>
      <c r="BE38" s="610"/>
      <c r="BF38" s="610"/>
      <c r="BG38" s="610"/>
      <c r="BH38" s="610"/>
      <c r="BI38" s="610"/>
      <c r="BJ38" s="610"/>
      <c r="BK38" s="611"/>
      <c r="BL38" s="290">
        <f t="shared" si="10"/>
        <v>0</v>
      </c>
      <c r="BM38" s="606">
        <v>0</v>
      </c>
      <c r="BN38" s="607"/>
      <c r="BO38" s="607"/>
      <c r="BP38" s="607"/>
      <c r="BQ38" s="607"/>
      <c r="BR38" s="607"/>
      <c r="BS38" s="607"/>
      <c r="BT38" s="608"/>
      <c r="BU38" s="291">
        <f t="shared" si="11"/>
        <v>0</v>
      </c>
      <c r="BV38" s="609">
        <v>0</v>
      </c>
      <c r="BW38" s="610"/>
      <c r="BX38" s="610"/>
      <c r="BY38" s="610"/>
      <c r="BZ38" s="610"/>
      <c r="CA38" s="610"/>
      <c r="CB38" s="610"/>
      <c r="CC38" s="611"/>
      <c r="CD38" s="298">
        <f t="shared" si="2"/>
        <v>0</v>
      </c>
      <c r="CE38" s="612">
        <v>3</v>
      </c>
      <c r="CF38" s="613"/>
      <c r="CG38" s="613"/>
      <c r="CH38" s="613"/>
      <c r="CI38" s="613"/>
      <c r="CJ38" s="613"/>
      <c r="CK38" s="613"/>
      <c r="CL38" s="614"/>
      <c r="CM38" s="292">
        <f t="shared" si="3"/>
        <v>3</v>
      </c>
      <c r="CN38" s="612">
        <v>0</v>
      </c>
      <c r="CO38" s="613"/>
      <c r="CP38" s="613"/>
      <c r="CQ38" s="613"/>
      <c r="CR38" s="613"/>
      <c r="CS38" s="613"/>
      <c r="CT38" s="613"/>
      <c r="CU38" s="614"/>
      <c r="CV38" s="292">
        <f t="shared" si="4"/>
        <v>0</v>
      </c>
      <c r="CW38" s="612">
        <v>0</v>
      </c>
      <c r="CX38" s="613"/>
      <c r="CY38" s="613"/>
      <c r="CZ38" s="613"/>
      <c r="DA38" s="613"/>
      <c r="DB38" s="613"/>
      <c r="DC38" s="613"/>
      <c r="DD38" s="614"/>
      <c r="DE38" s="292">
        <f t="shared" si="5"/>
        <v>0</v>
      </c>
      <c r="DF38" s="612">
        <v>0</v>
      </c>
      <c r="DG38" s="613"/>
      <c r="DH38" s="613"/>
      <c r="DI38" s="613"/>
      <c r="DJ38" s="613"/>
      <c r="DK38" s="613"/>
      <c r="DL38" s="613"/>
      <c r="DM38" s="614"/>
      <c r="DN38" s="292">
        <f t="shared" si="6"/>
        <v>0</v>
      </c>
      <c r="DO38" s="293">
        <f t="shared" si="7"/>
        <v>6</v>
      </c>
      <c r="DP38" s="303"/>
    </row>
    <row r="39" spans="1:120" ht="221.25" hidden="1" customHeight="1">
      <c r="B39" s="602" t="s">
        <v>78</v>
      </c>
      <c r="C39" s="598" t="s">
        <v>198</v>
      </c>
      <c r="D39" s="598" t="s">
        <v>5</v>
      </c>
      <c r="E39" s="598"/>
      <c r="F39" s="622" t="s">
        <v>211</v>
      </c>
      <c r="G39" s="590">
        <v>321</v>
      </c>
      <c r="H39" s="590" t="s">
        <v>224</v>
      </c>
      <c r="I39" s="623">
        <v>321</v>
      </c>
      <c r="J39" s="306" t="s">
        <v>65</v>
      </c>
      <c r="K39" s="609">
        <v>0</v>
      </c>
      <c r="L39" s="610"/>
      <c r="M39" s="610"/>
      <c r="N39" s="610"/>
      <c r="O39" s="610"/>
      <c r="P39" s="610"/>
      <c r="Q39" s="610"/>
      <c r="R39" s="611"/>
      <c r="S39" s="327">
        <f t="shared" si="0"/>
        <v>0</v>
      </c>
      <c r="T39" s="609">
        <v>77</v>
      </c>
      <c r="U39" s="610"/>
      <c r="V39" s="610"/>
      <c r="W39" s="610"/>
      <c r="X39" s="610"/>
      <c r="Y39" s="610"/>
      <c r="Z39" s="610"/>
      <c r="AA39" s="611"/>
      <c r="AB39" s="327">
        <f t="shared" si="1"/>
        <v>77</v>
      </c>
      <c r="AC39" s="609">
        <v>27</v>
      </c>
      <c r="AD39" s="610"/>
      <c r="AE39" s="610"/>
      <c r="AF39" s="610"/>
      <c r="AG39" s="610"/>
      <c r="AH39" s="610"/>
      <c r="AI39" s="610"/>
      <c r="AJ39" s="611"/>
      <c r="AK39" s="327">
        <f t="shared" si="12"/>
        <v>27</v>
      </c>
      <c r="AL39" s="606">
        <v>7</v>
      </c>
      <c r="AM39" s="607"/>
      <c r="AN39" s="607"/>
      <c r="AO39" s="607"/>
      <c r="AP39" s="607"/>
      <c r="AQ39" s="607"/>
      <c r="AR39" s="607"/>
      <c r="AS39" s="608"/>
      <c r="AT39" s="291">
        <f t="shared" si="8"/>
        <v>7</v>
      </c>
      <c r="AU39" s="609">
        <v>18</v>
      </c>
      <c r="AV39" s="610"/>
      <c r="AW39" s="610"/>
      <c r="AX39" s="610"/>
      <c r="AY39" s="610"/>
      <c r="AZ39" s="610"/>
      <c r="BA39" s="610"/>
      <c r="BB39" s="611"/>
      <c r="BC39" s="290">
        <f t="shared" si="9"/>
        <v>18</v>
      </c>
      <c r="BD39" s="609">
        <v>42</v>
      </c>
      <c r="BE39" s="610"/>
      <c r="BF39" s="610"/>
      <c r="BG39" s="610"/>
      <c r="BH39" s="610"/>
      <c r="BI39" s="610"/>
      <c r="BJ39" s="610"/>
      <c r="BK39" s="611"/>
      <c r="BL39" s="290">
        <f t="shared" si="10"/>
        <v>42</v>
      </c>
      <c r="BM39" s="606">
        <v>0</v>
      </c>
      <c r="BN39" s="607"/>
      <c r="BO39" s="607"/>
      <c r="BP39" s="607"/>
      <c r="BQ39" s="607"/>
      <c r="BR39" s="607"/>
      <c r="BS39" s="607"/>
      <c r="BT39" s="608"/>
      <c r="BU39" s="291">
        <f t="shared" si="11"/>
        <v>0</v>
      </c>
      <c r="BV39" s="609">
        <v>17</v>
      </c>
      <c r="BW39" s="610"/>
      <c r="BX39" s="610"/>
      <c r="BY39" s="610"/>
      <c r="BZ39" s="610"/>
      <c r="CA39" s="610"/>
      <c r="CB39" s="610"/>
      <c r="CC39" s="611"/>
      <c r="CD39" s="298">
        <f t="shared" si="2"/>
        <v>17</v>
      </c>
      <c r="CE39" s="612">
        <v>22</v>
      </c>
      <c r="CF39" s="613"/>
      <c r="CG39" s="613"/>
      <c r="CH39" s="613"/>
      <c r="CI39" s="613"/>
      <c r="CJ39" s="613"/>
      <c r="CK39" s="613"/>
      <c r="CL39" s="614"/>
      <c r="CM39" s="292">
        <f t="shared" si="3"/>
        <v>22</v>
      </c>
      <c r="CN39" s="612">
        <v>49</v>
      </c>
      <c r="CO39" s="613"/>
      <c r="CP39" s="613"/>
      <c r="CQ39" s="613"/>
      <c r="CR39" s="613"/>
      <c r="CS39" s="613"/>
      <c r="CT39" s="613"/>
      <c r="CU39" s="614"/>
      <c r="CV39" s="292">
        <f t="shared" si="4"/>
        <v>49</v>
      </c>
      <c r="CW39" s="612">
        <v>20</v>
      </c>
      <c r="CX39" s="613"/>
      <c r="CY39" s="613"/>
      <c r="CZ39" s="613"/>
      <c r="DA39" s="613"/>
      <c r="DB39" s="613"/>
      <c r="DC39" s="613"/>
      <c r="DD39" s="614"/>
      <c r="DE39" s="292">
        <f t="shared" si="5"/>
        <v>20</v>
      </c>
      <c r="DF39" s="612">
        <v>11</v>
      </c>
      <c r="DG39" s="613"/>
      <c r="DH39" s="613"/>
      <c r="DI39" s="613"/>
      <c r="DJ39" s="613"/>
      <c r="DK39" s="613"/>
      <c r="DL39" s="613"/>
      <c r="DM39" s="614"/>
      <c r="DN39" s="292">
        <f t="shared" si="6"/>
        <v>11</v>
      </c>
      <c r="DO39" s="293">
        <f t="shared" si="7"/>
        <v>290</v>
      </c>
      <c r="DP39" s="303"/>
    </row>
    <row r="40" spans="1:120" ht="221.25" customHeight="1">
      <c r="B40" s="602"/>
      <c r="C40" s="598"/>
      <c r="D40" s="598"/>
      <c r="E40" s="598"/>
      <c r="F40" s="622"/>
      <c r="G40" s="591"/>
      <c r="H40" s="591"/>
      <c r="I40" s="624"/>
      <c r="J40" s="295" t="s">
        <v>66</v>
      </c>
      <c r="K40" s="323">
        <v>4</v>
      </c>
      <c r="L40" s="324">
        <v>5</v>
      </c>
      <c r="M40" s="324"/>
      <c r="N40" s="324"/>
      <c r="O40" s="324">
        <v>3</v>
      </c>
      <c r="P40" s="324">
        <v>6</v>
      </c>
      <c r="Q40" s="324"/>
      <c r="R40" s="324"/>
      <c r="S40" s="327">
        <f>SUM(K40:R40)</f>
        <v>18</v>
      </c>
      <c r="T40" s="324">
        <v>1</v>
      </c>
      <c r="U40" s="324">
        <v>2</v>
      </c>
      <c r="V40" s="324">
        <v>4</v>
      </c>
      <c r="W40" s="324">
        <v>3</v>
      </c>
      <c r="X40" s="324">
        <v>10</v>
      </c>
      <c r="Y40" s="324">
        <v>22</v>
      </c>
      <c r="Z40" s="324"/>
      <c r="AA40" s="324"/>
      <c r="AB40" s="327">
        <f>SUM(T40:AA40)</f>
        <v>42</v>
      </c>
      <c r="AC40" s="324">
        <v>2</v>
      </c>
      <c r="AD40" s="324">
        <v>1</v>
      </c>
      <c r="AE40" s="324">
        <v>2</v>
      </c>
      <c r="AF40" s="324">
        <v>5</v>
      </c>
      <c r="AG40" s="324">
        <v>2</v>
      </c>
      <c r="AH40" s="324">
        <v>15</v>
      </c>
      <c r="AI40" s="324"/>
      <c r="AJ40" s="324"/>
      <c r="AK40" s="327">
        <f>SUM(AC40:AJ40)</f>
        <v>27</v>
      </c>
      <c r="AL40" s="297">
        <v>0</v>
      </c>
      <c r="AM40" s="297">
        <v>0</v>
      </c>
      <c r="AN40" s="297">
        <v>0</v>
      </c>
      <c r="AO40" s="297">
        <v>0</v>
      </c>
      <c r="AP40" s="297">
        <v>0</v>
      </c>
      <c r="AQ40" s="297">
        <v>0</v>
      </c>
      <c r="AR40" s="297">
        <v>0</v>
      </c>
      <c r="AS40" s="297">
        <v>0</v>
      </c>
      <c r="AT40" s="291">
        <f>SUM(AL40:AS40)</f>
        <v>0</v>
      </c>
      <c r="AU40" s="290">
        <v>0</v>
      </c>
      <c r="AV40" s="290">
        <v>0</v>
      </c>
      <c r="AW40" s="290">
        <v>0</v>
      </c>
      <c r="AX40" s="290">
        <v>0</v>
      </c>
      <c r="AY40" s="290">
        <v>0</v>
      </c>
      <c r="AZ40" s="290">
        <v>0</v>
      </c>
      <c r="BA40" s="290">
        <v>0</v>
      </c>
      <c r="BB40" s="290">
        <v>0</v>
      </c>
      <c r="BC40" s="290">
        <f>SUM(AU40:BB40)</f>
        <v>0</v>
      </c>
      <c r="BD40" s="324">
        <v>0</v>
      </c>
      <c r="BE40" s="324">
        <v>2</v>
      </c>
      <c r="BF40" s="324">
        <v>0</v>
      </c>
      <c r="BG40" s="324">
        <v>0</v>
      </c>
      <c r="BH40" s="324">
        <v>1</v>
      </c>
      <c r="BI40" s="324">
        <v>1</v>
      </c>
      <c r="BJ40" s="324">
        <v>0</v>
      </c>
      <c r="BK40" s="324">
        <v>0</v>
      </c>
      <c r="BL40" s="290">
        <f>SUM(BD40:BK40)</f>
        <v>4</v>
      </c>
      <c r="BM40" s="319">
        <v>1</v>
      </c>
      <c r="BN40" s="319">
        <v>9</v>
      </c>
      <c r="BO40" s="319">
        <v>0</v>
      </c>
      <c r="BP40" s="319">
        <v>0</v>
      </c>
      <c r="BQ40" s="319">
        <v>3</v>
      </c>
      <c r="BR40" s="319">
        <v>0</v>
      </c>
      <c r="BS40" s="319">
        <v>0</v>
      </c>
      <c r="BT40" s="319">
        <v>0</v>
      </c>
      <c r="BU40" s="291">
        <f>SUM(BM40:BT40)</f>
        <v>13</v>
      </c>
      <c r="BV40" s="324">
        <v>3</v>
      </c>
      <c r="BW40" s="324">
        <v>3</v>
      </c>
      <c r="BX40" s="324">
        <v>2</v>
      </c>
      <c r="BY40" s="324">
        <v>1</v>
      </c>
      <c r="BZ40" s="324">
        <v>2</v>
      </c>
      <c r="CA40" s="324">
        <v>6</v>
      </c>
      <c r="CB40" s="324"/>
      <c r="CC40" s="324"/>
      <c r="CD40" s="298">
        <f>SUM(BV40:CC40)</f>
        <v>17</v>
      </c>
      <c r="CE40" s="304">
        <v>0</v>
      </c>
      <c r="CF40" s="304">
        <v>9</v>
      </c>
      <c r="CG40" s="304">
        <v>0</v>
      </c>
      <c r="CH40" s="304">
        <v>1</v>
      </c>
      <c r="CI40" s="304">
        <v>2</v>
      </c>
      <c r="CJ40" s="304">
        <v>1</v>
      </c>
      <c r="CK40" s="304">
        <v>0</v>
      </c>
      <c r="CL40" s="304">
        <v>0</v>
      </c>
      <c r="CM40" s="292">
        <f t="shared" si="3"/>
        <v>13</v>
      </c>
      <c r="CN40" s="304">
        <v>0</v>
      </c>
      <c r="CO40" s="304">
        <v>9</v>
      </c>
      <c r="CP40" s="304">
        <v>0</v>
      </c>
      <c r="CQ40" s="304">
        <v>1</v>
      </c>
      <c r="CR40" s="304">
        <v>0</v>
      </c>
      <c r="CS40" s="304">
        <v>1</v>
      </c>
      <c r="CT40" s="304">
        <v>0</v>
      </c>
      <c r="CU40" s="304">
        <v>0</v>
      </c>
      <c r="CV40" s="292">
        <f t="shared" si="4"/>
        <v>11</v>
      </c>
      <c r="CW40" s="304">
        <v>0</v>
      </c>
      <c r="CX40" s="304">
        <v>2</v>
      </c>
      <c r="CY40" s="304">
        <v>0</v>
      </c>
      <c r="CZ40" s="304">
        <v>1</v>
      </c>
      <c r="DA40" s="304">
        <v>0</v>
      </c>
      <c r="DB40" s="304">
        <v>1</v>
      </c>
      <c r="DC40" s="304">
        <v>0</v>
      </c>
      <c r="DD40" s="304">
        <v>0</v>
      </c>
      <c r="DE40" s="292">
        <f t="shared" si="5"/>
        <v>4</v>
      </c>
      <c r="DF40" s="304">
        <v>7</v>
      </c>
      <c r="DG40" s="304">
        <v>13</v>
      </c>
      <c r="DH40" s="304">
        <v>2</v>
      </c>
      <c r="DI40" s="304">
        <v>3</v>
      </c>
      <c r="DJ40" s="304">
        <v>11</v>
      </c>
      <c r="DK40" s="304">
        <v>3</v>
      </c>
      <c r="DL40" s="304">
        <v>0</v>
      </c>
      <c r="DM40" s="304">
        <v>0</v>
      </c>
      <c r="DN40" s="292">
        <f>SUM(DF40:DM40)</f>
        <v>39</v>
      </c>
      <c r="DO40" s="293">
        <f t="shared" si="7"/>
        <v>188</v>
      </c>
      <c r="DP40" s="303"/>
    </row>
    <row r="41" spans="1:120" ht="221.25" hidden="1" customHeight="1">
      <c r="B41" s="588" t="s">
        <v>67</v>
      </c>
      <c r="C41" s="590" t="s">
        <v>68</v>
      </c>
      <c r="D41" s="592" t="s">
        <v>3</v>
      </c>
      <c r="E41" s="593"/>
      <c r="F41" s="596" t="s">
        <v>211</v>
      </c>
      <c r="G41" s="590">
        <v>1980</v>
      </c>
      <c r="H41" s="590" t="s">
        <v>225</v>
      </c>
      <c r="I41" s="620">
        <v>1980</v>
      </c>
      <c r="J41" s="306" t="s">
        <v>65</v>
      </c>
      <c r="K41" s="609">
        <v>660</v>
      </c>
      <c r="L41" s="610"/>
      <c r="M41" s="610"/>
      <c r="N41" s="610"/>
      <c r="O41" s="610"/>
      <c r="P41" s="610"/>
      <c r="Q41" s="610"/>
      <c r="R41" s="611"/>
      <c r="S41" s="290">
        <f t="shared" si="0"/>
        <v>660</v>
      </c>
      <c r="T41" s="609"/>
      <c r="U41" s="610"/>
      <c r="V41" s="610"/>
      <c r="W41" s="610"/>
      <c r="X41" s="610"/>
      <c r="Y41" s="610"/>
      <c r="Z41" s="610"/>
      <c r="AA41" s="611"/>
      <c r="AB41" s="290">
        <f t="shared" si="1"/>
        <v>0</v>
      </c>
      <c r="AC41" s="609"/>
      <c r="AD41" s="610"/>
      <c r="AE41" s="610"/>
      <c r="AF41" s="610"/>
      <c r="AG41" s="610"/>
      <c r="AH41" s="610"/>
      <c r="AI41" s="610"/>
      <c r="AJ41" s="611"/>
      <c r="AK41" s="290">
        <f>SUM(AC41)</f>
        <v>0</v>
      </c>
      <c r="AL41" s="606">
        <v>660</v>
      </c>
      <c r="AM41" s="607"/>
      <c r="AN41" s="607"/>
      <c r="AO41" s="607"/>
      <c r="AP41" s="607"/>
      <c r="AQ41" s="607"/>
      <c r="AR41" s="607"/>
      <c r="AS41" s="608"/>
      <c r="AT41" s="291">
        <f t="shared" si="8"/>
        <v>660</v>
      </c>
      <c r="AU41" s="609">
        <v>660</v>
      </c>
      <c r="AV41" s="610"/>
      <c r="AW41" s="610"/>
      <c r="AX41" s="610"/>
      <c r="AY41" s="610"/>
      <c r="AZ41" s="610"/>
      <c r="BA41" s="610"/>
      <c r="BB41" s="611"/>
      <c r="BC41" s="290">
        <f t="shared" si="9"/>
        <v>660</v>
      </c>
      <c r="BD41" s="609">
        <v>0</v>
      </c>
      <c r="BE41" s="610"/>
      <c r="BF41" s="610"/>
      <c r="BG41" s="610"/>
      <c r="BH41" s="610"/>
      <c r="BI41" s="610"/>
      <c r="BJ41" s="610"/>
      <c r="BK41" s="611"/>
      <c r="BL41" s="290">
        <f t="shared" si="10"/>
        <v>0</v>
      </c>
      <c r="BM41" s="606">
        <v>660</v>
      </c>
      <c r="BN41" s="607"/>
      <c r="BO41" s="607"/>
      <c r="BP41" s="607"/>
      <c r="BQ41" s="607"/>
      <c r="BR41" s="607"/>
      <c r="BS41" s="607"/>
      <c r="BT41" s="608"/>
      <c r="BU41" s="291">
        <f t="shared" si="11"/>
        <v>660</v>
      </c>
      <c r="BV41" s="609">
        <v>660</v>
      </c>
      <c r="BW41" s="610"/>
      <c r="BX41" s="610"/>
      <c r="BY41" s="610"/>
      <c r="BZ41" s="610"/>
      <c r="CA41" s="610"/>
      <c r="CB41" s="610"/>
      <c r="CC41" s="611"/>
      <c r="CD41" s="298">
        <f t="shared" si="2"/>
        <v>660</v>
      </c>
      <c r="CE41" s="612"/>
      <c r="CF41" s="613"/>
      <c r="CG41" s="613"/>
      <c r="CH41" s="613"/>
      <c r="CI41" s="613"/>
      <c r="CJ41" s="613"/>
      <c r="CK41" s="613"/>
      <c r="CL41" s="614"/>
      <c r="CM41" s="292">
        <f t="shared" si="3"/>
        <v>0</v>
      </c>
      <c r="CN41" s="612">
        <v>0</v>
      </c>
      <c r="CO41" s="613"/>
      <c r="CP41" s="613"/>
      <c r="CQ41" s="613"/>
      <c r="CR41" s="613"/>
      <c r="CS41" s="613"/>
      <c r="CT41" s="613"/>
      <c r="CU41" s="614"/>
      <c r="CV41" s="292">
        <f t="shared" si="4"/>
        <v>0</v>
      </c>
      <c r="CW41" s="612"/>
      <c r="CX41" s="613"/>
      <c r="CY41" s="613"/>
      <c r="CZ41" s="613"/>
      <c r="DA41" s="613"/>
      <c r="DB41" s="613"/>
      <c r="DC41" s="613"/>
      <c r="DD41" s="614"/>
      <c r="DE41" s="292">
        <f t="shared" si="5"/>
        <v>0</v>
      </c>
      <c r="DF41" s="612"/>
      <c r="DG41" s="613"/>
      <c r="DH41" s="613"/>
      <c r="DI41" s="613"/>
      <c r="DJ41" s="613"/>
      <c r="DK41" s="613"/>
      <c r="DL41" s="613"/>
      <c r="DM41" s="614"/>
      <c r="DN41" s="292">
        <f t="shared" si="6"/>
        <v>0</v>
      </c>
      <c r="DO41" s="293">
        <f t="shared" si="7"/>
        <v>3300</v>
      </c>
      <c r="DP41" s="303"/>
    </row>
    <row r="42" spans="1:120" ht="221.25" customHeight="1">
      <c r="B42" s="589"/>
      <c r="C42" s="591"/>
      <c r="D42" s="594"/>
      <c r="E42" s="595"/>
      <c r="F42" s="597"/>
      <c r="G42" s="591"/>
      <c r="H42" s="591"/>
      <c r="I42" s="621"/>
      <c r="J42" s="295" t="s">
        <v>66</v>
      </c>
      <c r="K42" s="323">
        <v>163</v>
      </c>
      <c r="L42" s="324">
        <v>160</v>
      </c>
      <c r="M42" s="324">
        <v>184</v>
      </c>
      <c r="N42" s="324">
        <v>153</v>
      </c>
      <c r="O42" s="324">
        <v>0</v>
      </c>
      <c r="P42" s="324">
        <v>0</v>
      </c>
      <c r="Q42" s="324">
        <v>0</v>
      </c>
      <c r="R42" s="324">
        <v>0</v>
      </c>
      <c r="S42" s="317">
        <f>SUM(K42:R42)</f>
        <v>660</v>
      </c>
      <c r="T42" s="324">
        <v>0</v>
      </c>
      <c r="U42" s="324">
        <v>0</v>
      </c>
      <c r="V42" s="324">
        <v>0</v>
      </c>
      <c r="W42" s="324">
        <v>0</v>
      </c>
      <c r="X42" s="324">
        <v>0</v>
      </c>
      <c r="Y42" s="324">
        <v>0</v>
      </c>
      <c r="Z42" s="324">
        <v>0</v>
      </c>
      <c r="AA42" s="324">
        <v>0</v>
      </c>
      <c r="AB42" s="317">
        <f>SUM(T42:AA42)</f>
        <v>0</v>
      </c>
      <c r="AC42" s="324">
        <v>0</v>
      </c>
      <c r="AD42" s="324">
        <v>0</v>
      </c>
      <c r="AE42" s="324">
        <v>0</v>
      </c>
      <c r="AF42" s="324">
        <v>0</v>
      </c>
      <c r="AG42" s="324">
        <v>0</v>
      </c>
      <c r="AH42" s="324">
        <v>0</v>
      </c>
      <c r="AI42" s="324">
        <v>0</v>
      </c>
      <c r="AJ42" s="324">
        <v>0</v>
      </c>
      <c r="AK42" s="317">
        <f>SUM(AC42:AJ42)</f>
        <v>0</v>
      </c>
      <c r="AL42" s="319">
        <v>0</v>
      </c>
      <c r="AM42" s="319">
        <v>0</v>
      </c>
      <c r="AN42" s="319">
        <v>0</v>
      </c>
      <c r="AO42" s="319">
        <v>0</v>
      </c>
      <c r="AP42" s="319">
        <v>0</v>
      </c>
      <c r="AQ42" s="319">
        <v>0</v>
      </c>
      <c r="AR42" s="319">
        <v>0</v>
      </c>
      <c r="AS42" s="319">
        <v>0</v>
      </c>
      <c r="AT42" s="291">
        <f>SUM(AL42:AS42)</f>
        <v>0</v>
      </c>
      <c r="AU42" s="323">
        <v>163</v>
      </c>
      <c r="AV42" s="324">
        <v>160</v>
      </c>
      <c r="AW42" s="324">
        <v>184</v>
      </c>
      <c r="AX42" s="324">
        <v>153</v>
      </c>
      <c r="AY42" s="324">
        <v>0</v>
      </c>
      <c r="AZ42" s="324">
        <v>0</v>
      </c>
      <c r="BA42" s="324">
        <v>0</v>
      </c>
      <c r="BB42" s="324">
        <v>0</v>
      </c>
      <c r="BC42" s="290">
        <f>SUM(AU42:BB42)</f>
        <v>660</v>
      </c>
      <c r="BD42" s="324">
        <v>0</v>
      </c>
      <c r="BE42" s="324">
        <v>0</v>
      </c>
      <c r="BF42" s="324">
        <v>0</v>
      </c>
      <c r="BG42" s="324">
        <v>0</v>
      </c>
      <c r="BH42" s="324">
        <v>0</v>
      </c>
      <c r="BI42" s="324">
        <v>0</v>
      </c>
      <c r="BJ42" s="324">
        <v>0</v>
      </c>
      <c r="BK42" s="324">
        <v>0</v>
      </c>
      <c r="BL42" s="290">
        <f>SUM(BD42:BK42)</f>
        <v>0</v>
      </c>
      <c r="BM42" s="318">
        <v>163</v>
      </c>
      <c r="BN42" s="319">
        <v>160</v>
      </c>
      <c r="BO42" s="319">
        <v>184</v>
      </c>
      <c r="BP42" s="319">
        <v>153</v>
      </c>
      <c r="BQ42" s="319">
        <v>0</v>
      </c>
      <c r="BR42" s="319">
        <v>0</v>
      </c>
      <c r="BS42" s="319">
        <v>0</v>
      </c>
      <c r="BT42" s="319">
        <v>0</v>
      </c>
      <c r="BU42" s="291">
        <f>SUM(BM42:BT42)</f>
        <v>660</v>
      </c>
      <c r="BV42" s="324">
        <v>115</v>
      </c>
      <c r="BW42" s="324">
        <v>126</v>
      </c>
      <c r="BX42" s="324">
        <v>109</v>
      </c>
      <c r="BY42" s="324">
        <v>98</v>
      </c>
      <c r="BZ42" s="324">
        <v>0</v>
      </c>
      <c r="CA42" s="324">
        <v>0</v>
      </c>
      <c r="CB42" s="324">
        <v>0</v>
      </c>
      <c r="CC42" s="324">
        <v>0</v>
      </c>
      <c r="CD42" s="298">
        <f t="shared" si="2"/>
        <v>448</v>
      </c>
      <c r="CE42" s="304">
        <v>49</v>
      </c>
      <c r="CF42" s="304">
        <v>53</v>
      </c>
      <c r="CG42" s="304">
        <v>61</v>
      </c>
      <c r="CH42" s="304">
        <v>49</v>
      </c>
      <c r="CI42" s="304">
        <v>0</v>
      </c>
      <c r="CJ42" s="304">
        <v>0</v>
      </c>
      <c r="CK42" s="304">
        <v>0</v>
      </c>
      <c r="CL42" s="304">
        <v>0</v>
      </c>
      <c r="CM42" s="292">
        <f t="shared" si="3"/>
        <v>212</v>
      </c>
      <c r="CN42" s="304">
        <v>0</v>
      </c>
      <c r="CO42" s="304">
        <v>0</v>
      </c>
      <c r="CP42" s="304">
        <v>0</v>
      </c>
      <c r="CQ42" s="304">
        <v>0</v>
      </c>
      <c r="CR42" s="304">
        <v>0</v>
      </c>
      <c r="CS42" s="304">
        <v>0</v>
      </c>
      <c r="CT42" s="304">
        <v>0</v>
      </c>
      <c r="CU42" s="304">
        <v>0</v>
      </c>
      <c r="CV42" s="292">
        <f t="shared" si="4"/>
        <v>0</v>
      </c>
      <c r="CW42" s="292">
        <v>45</v>
      </c>
      <c r="CX42" s="292">
        <v>1</v>
      </c>
      <c r="CY42" s="292">
        <v>91</v>
      </c>
      <c r="CZ42" s="292">
        <v>31</v>
      </c>
      <c r="DA42" s="304">
        <v>0</v>
      </c>
      <c r="DB42" s="304">
        <v>0</v>
      </c>
      <c r="DC42" s="304">
        <v>0</v>
      </c>
      <c r="DD42" s="304">
        <v>0</v>
      </c>
      <c r="DE42" s="292">
        <f t="shared" ref="DE42" si="13">SUM(CW42:DD42)</f>
        <v>168</v>
      </c>
      <c r="DF42" s="304">
        <v>0</v>
      </c>
      <c r="DG42" s="304">
        <v>0</v>
      </c>
      <c r="DH42" s="304">
        <v>0</v>
      </c>
      <c r="DI42" s="304">
        <v>0</v>
      </c>
      <c r="DJ42" s="304">
        <v>0</v>
      </c>
      <c r="DK42" s="304">
        <v>0</v>
      </c>
      <c r="DL42" s="304">
        <v>0</v>
      </c>
      <c r="DM42" s="304">
        <v>0</v>
      </c>
      <c r="DN42" s="292">
        <f>SUM(DF42:DM42)</f>
        <v>0</v>
      </c>
      <c r="DO42" s="293">
        <f t="shared" si="7"/>
        <v>2808</v>
      </c>
      <c r="DP42" s="303"/>
    </row>
    <row r="43" spans="1:120" ht="221.25" hidden="1" customHeight="1">
      <c r="B43" s="588" t="s">
        <v>67</v>
      </c>
      <c r="C43" s="590" t="s">
        <v>68</v>
      </c>
      <c r="D43" s="592" t="s">
        <v>3</v>
      </c>
      <c r="E43" s="593"/>
      <c r="F43" s="596" t="s">
        <v>211</v>
      </c>
      <c r="G43" s="590">
        <v>579</v>
      </c>
      <c r="H43" s="590" t="s">
        <v>107</v>
      </c>
      <c r="I43" s="620">
        <v>607</v>
      </c>
      <c r="J43" s="306" t="s">
        <v>65</v>
      </c>
      <c r="K43" s="609">
        <v>87</v>
      </c>
      <c r="L43" s="610"/>
      <c r="M43" s="610"/>
      <c r="N43" s="610"/>
      <c r="O43" s="610"/>
      <c r="P43" s="610"/>
      <c r="Q43" s="610"/>
      <c r="R43" s="611"/>
      <c r="S43" s="317">
        <f t="shared" si="0"/>
        <v>87</v>
      </c>
      <c r="T43" s="609">
        <v>37</v>
      </c>
      <c r="U43" s="610"/>
      <c r="V43" s="610"/>
      <c r="W43" s="610"/>
      <c r="X43" s="610"/>
      <c r="Y43" s="610"/>
      <c r="Z43" s="610"/>
      <c r="AA43" s="611"/>
      <c r="AB43" s="317">
        <f t="shared" si="1"/>
        <v>37</v>
      </c>
      <c r="AC43" s="609">
        <v>67</v>
      </c>
      <c r="AD43" s="610"/>
      <c r="AE43" s="610"/>
      <c r="AF43" s="610"/>
      <c r="AG43" s="610"/>
      <c r="AH43" s="610"/>
      <c r="AI43" s="610"/>
      <c r="AJ43" s="611"/>
      <c r="AK43" s="317">
        <f>SUM(AC43)</f>
        <v>67</v>
      </c>
      <c r="AL43" s="606">
        <v>56</v>
      </c>
      <c r="AM43" s="607"/>
      <c r="AN43" s="607"/>
      <c r="AO43" s="607"/>
      <c r="AP43" s="607"/>
      <c r="AQ43" s="607"/>
      <c r="AR43" s="607"/>
      <c r="AS43" s="608"/>
      <c r="AT43" s="291">
        <f t="shared" si="8"/>
        <v>56</v>
      </c>
      <c r="AU43" s="609">
        <v>47</v>
      </c>
      <c r="AV43" s="610"/>
      <c r="AW43" s="610"/>
      <c r="AX43" s="610"/>
      <c r="AY43" s="610"/>
      <c r="AZ43" s="610"/>
      <c r="BA43" s="610"/>
      <c r="BB43" s="611"/>
      <c r="BC43" s="290">
        <f t="shared" si="9"/>
        <v>47</v>
      </c>
      <c r="BD43" s="609">
        <v>75</v>
      </c>
      <c r="BE43" s="610"/>
      <c r="BF43" s="610"/>
      <c r="BG43" s="610"/>
      <c r="BH43" s="610"/>
      <c r="BI43" s="610"/>
      <c r="BJ43" s="610"/>
      <c r="BK43" s="611"/>
      <c r="BL43" s="290">
        <f t="shared" si="10"/>
        <v>75</v>
      </c>
      <c r="BM43" s="606">
        <v>57</v>
      </c>
      <c r="BN43" s="607"/>
      <c r="BO43" s="607"/>
      <c r="BP43" s="607"/>
      <c r="BQ43" s="607"/>
      <c r="BR43" s="607"/>
      <c r="BS43" s="607"/>
      <c r="BT43" s="608"/>
      <c r="BU43" s="291">
        <f t="shared" si="11"/>
        <v>57</v>
      </c>
      <c r="BV43" s="609">
        <v>44</v>
      </c>
      <c r="BW43" s="610"/>
      <c r="BX43" s="610"/>
      <c r="BY43" s="610"/>
      <c r="BZ43" s="610"/>
      <c r="CA43" s="610"/>
      <c r="CB43" s="610"/>
      <c r="CC43" s="611"/>
      <c r="CD43" s="298">
        <f t="shared" si="2"/>
        <v>44</v>
      </c>
      <c r="CE43" s="612">
        <v>13</v>
      </c>
      <c r="CF43" s="613"/>
      <c r="CG43" s="613"/>
      <c r="CH43" s="613"/>
      <c r="CI43" s="613"/>
      <c r="CJ43" s="613"/>
      <c r="CK43" s="613"/>
      <c r="CL43" s="614"/>
      <c r="CM43" s="292">
        <f t="shared" si="3"/>
        <v>13</v>
      </c>
      <c r="CN43" s="612">
        <v>34</v>
      </c>
      <c r="CO43" s="613"/>
      <c r="CP43" s="613"/>
      <c r="CQ43" s="613"/>
      <c r="CR43" s="613"/>
      <c r="CS43" s="613"/>
      <c r="CT43" s="613"/>
      <c r="CU43" s="614"/>
      <c r="CV43" s="292">
        <f t="shared" si="4"/>
        <v>34</v>
      </c>
      <c r="CW43" s="612">
        <v>62</v>
      </c>
      <c r="CX43" s="613"/>
      <c r="CY43" s="613"/>
      <c r="CZ43" s="613"/>
      <c r="DA43" s="613"/>
      <c r="DB43" s="613"/>
      <c r="DC43" s="613"/>
      <c r="DD43" s="614"/>
      <c r="DE43" s="292">
        <f t="shared" si="5"/>
        <v>62</v>
      </c>
      <c r="DF43" s="612">
        <v>28</v>
      </c>
      <c r="DG43" s="613"/>
      <c r="DH43" s="613"/>
      <c r="DI43" s="613"/>
      <c r="DJ43" s="613"/>
      <c r="DK43" s="613"/>
      <c r="DL43" s="613"/>
      <c r="DM43" s="614"/>
      <c r="DN43" s="292">
        <f t="shared" si="6"/>
        <v>28</v>
      </c>
      <c r="DO43" s="293">
        <f t="shared" si="7"/>
        <v>607</v>
      </c>
      <c r="DP43" s="303"/>
    </row>
    <row r="44" spans="1:120" ht="221.25" customHeight="1">
      <c r="B44" s="589"/>
      <c r="C44" s="591"/>
      <c r="D44" s="594"/>
      <c r="E44" s="595"/>
      <c r="F44" s="597"/>
      <c r="G44" s="591"/>
      <c r="H44" s="591"/>
      <c r="I44" s="621"/>
      <c r="J44" s="295" t="s">
        <v>66</v>
      </c>
      <c r="K44" s="323">
        <v>6</v>
      </c>
      <c r="L44" s="324">
        <v>8</v>
      </c>
      <c r="M44" s="324">
        <v>22</v>
      </c>
      <c r="N44" s="324">
        <v>9</v>
      </c>
      <c r="O44" s="324">
        <v>28</v>
      </c>
      <c r="P44" s="324">
        <v>14</v>
      </c>
      <c r="Q44" s="324">
        <v>0</v>
      </c>
      <c r="R44" s="324">
        <v>0</v>
      </c>
      <c r="S44" s="317">
        <f>SUM(K44:R44)</f>
        <v>87</v>
      </c>
      <c r="T44" s="324">
        <v>4</v>
      </c>
      <c r="U44" s="324">
        <v>5</v>
      </c>
      <c r="V44" s="324">
        <v>5</v>
      </c>
      <c r="W44" s="324">
        <v>5</v>
      </c>
      <c r="X44" s="324"/>
      <c r="Y44" s="324">
        <v>18</v>
      </c>
      <c r="Z44" s="324">
        <v>0</v>
      </c>
      <c r="AA44" s="324"/>
      <c r="AB44" s="317">
        <f>SUM(T44:AA44)</f>
        <v>37</v>
      </c>
      <c r="AC44" s="324">
        <v>2</v>
      </c>
      <c r="AD44" s="324">
        <v>3</v>
      </c>
      <c r="AE44" s="324">
        <v>5</v>
      </c>
      <c r="AF44" s="324">
        <v>2</v>
      </c>
      <c r="AG44" s="324">
        <v>2</v>
      </c>
      <c r="AH44" s="324">
        <v>0</v>
      </c>
      <c r="AI44" s="324">
        <v>0</v>
      </c>
      <c r="AJ44" s="324">
        <v>0</v>
      </c>
      <c r="AK44" s="317">
        <f>SUM(AC44:AJ44)</f>
        <v>14</v>
      </c>
      <c r="AL44" s="297">
        <v>0</v>
      </c>
      <c r="AM44" s="297">
        <v>0</v>
      </c>
      <c r="AN44" s="297">
        <v>0</v>
      </c>
      <c r="AO44" s="297">
        <v>0</v>
      </c>
      <c r="AP44" s="297">
        <v>0</v>
      </c>
      <c r="AQ44" s="297">
        <v>0</v>
      </c>
      <c r="AR44" s="297">
        <v>0</v>
      </c>
      <c r="AS44" s="297">
        <v>0</v>
      </c>
      <c r="AT44" s="291">
        <f>SUM(AL44:AS44)</f>
        <v>0</v>
      </c>
      <c r="AU44" s="290">
        <v>0</v>
      </c>
      <c r="AV44" s="290">
        <v>0</v>
      </c>
      <c r="AW44" s="290">
        <v>0</v>
      </c>
      <c r="AX44" s="290">
        <v>0</v>
      </c>
      <c r="AY44" s="290">
        <v>0</v>
      </c>
      <c r="AZ44" s="290">
        <v>0</v>
      </c>
      <c r="BA44" s="290">
        <v>0</v>
      </c>
      <c r="BB44" s="290">
        <v>0</v>
      </c>
      <c r="BC44" s="290">
        <f>SUM(AU44:BB44)</f>
        <v>0</v>
      </c>
      <c r="BD44" s="324">
        <v>0</v>
      </c>
      <c r="BE44" s="324">
        <v>0</v>
      </c>
      <c r="BF44" s="324">
        <v>0</v>
      </c>
      <c r="BG44" s="324">
        <v>0</v>
      </c>
      <c r="BH44" s="324">
        <v>0</v>
      </c>
      <c r="BI44" s="324">
        <v>0</v>
      </c>
      <c r="BJ44" s="324">
        <v>0</v>
      </c>
      <c r="BK44" s="324">
        <v>0</v>
      </c>
      <c r="BL44" s="290">
        <f>SUM(BD44:BK44)</f>
        <v>0</v>
      </c>
      <c r="BM44" s="319">
        <v>0</v>
      </c>
      <c r="BN44" s="319">
        <v>0</v>
      </c>
      <c r="BO44" s="319">
        <v>0</v>
      </c>
      <c r="BP44" s="319">
        <v>1</v>
      </c>
      <c r="BQ44" s="319">
        <v>1</v>
      </c>
      <c r="BR44" s="319">
        <v>0</v>
      </c>
      <c r="BS44" s="319">
        <v>0</v>
      </c>
      <c r="BT44" s="319">
        <v>0</v>
      </c>
      <c r="BU44" s="291">
        <f>SUM(BM44:BT44)</f>
        <v>2</v>
      </c>
      <c r="BV44" s="324">
        <v>0</v>
      </c>
      <c r="BW44" s="324">
        <v>0</v>
      </c>
      <c r="BX44" s="324">
        <v>0</v>
      </c>
      <c r="BY44" s="324">
        <v>2</v>
      </c>
      <c r="BZ44" s="324">
        <v>1</v>
      </c>
      <c r="CA44" s="324">
        <v>0</v>
      </c>
      <c r="CB44" s="324">
        <v>0</v>
      </c>
      <c r="CC44" s="324">
        <v>0</v>
      </c>
      <c r="CD44" s="298">
        <f t="shared" si="2"/>
        <v>3</v>
      </c>
      <c r="CE44" s="304">
        <v>0</v>
      </c>
      <c r="CF44" s="304">
        <v>0</v>
      </c>
      <c r="CG44" s="304">
        <v>0</v>
      </c>
      <c r="CH44" s="304">
        <v>0</v>
      </c>
      <c r="CI44" s="304">
        <v>5</v>
      </c>
      <c r="CJ44" s="304">
        <v>1</v>
      </c>
      <c r="CK44" s="304">
        <v>0</v>
      </c>
      <c r="CL44" s="304">
        <v>0</v>
      </c>
      <c r="CM44" s="292">
        <f t="shared" si="3"/>
        <v>6</v>
      </c>
      <c r="CN44" s="292">
        <v>0</v>
      </c>
      <c r="CO44" s="292">
        <v>0</v>
      </c>
      <c r="CP44" s="292">
        <v>0</v>
      </c>
      <c r="CQ44" s="292">
        <v>0</v>
      </c>
      <c r="CR44" s="292">
        <v>11</v>
      </c>
      <c r="CS44" s="292">
        <v>1</v>
      </c>
      <c r="CT44" s="292">
        <v>0</v>
      </c>
      <c r="CU44" s="292">
        <v>0</v>
      </c>
      <c r="CV44" s="292">
        <f t="shared" si="4"/>
        <v>12</v>
      </c>
      <c r="CW44" s="292">
        <v>0</v>
      </c>
      <c r="CX44" s="292">
        <v>0</v>
      </c>
      <c r="CY44" s="292">
        <v>12</v>
      </c>
      <c r="CZ44" s="292">
        <v>2</v>
      </c>
      <c r="DA44" s="292">
        <v>2</v>
      </c>
      <c r="DB44" s="292">
        <v>2</v>
      </c>
      <c r="DC44" s="292">
        <v>0</v>
      </c>
      <c r="DD44" s="292">
        <v>0</v>
      </c>
      <c r="DE44" s="292">
        <f t="shared" si="5"/>
        <v>18</v>
      </c>
      <c r="DF44" s="304">
        <v>0</v>
      </c>
      <c r="DG44" s="304">
        <v>0</v>
      </c>
      <c r="DH44" s="304">
        <v>0</v>
      </c>
      <c r="DI44" s="304">
        <v>0</v>
      </c>
      <c r="DJ44" s="304">
        <v>2</v>
      </c>
      <c r="DK44" s="304">
        <v>0</v>
      </c>
      <c r="DL44" s="304">
        <v>0</v>
      </c>
      <c r="DM44" s="304">
        <v>0</v>
      </c>
      <c r="DN44" s="292">
        <f>SUM(DF44:DM44)</f>
        <v>2</v>
      </c>
      <c r="DO44" s="293">
        <f t="shared" si="7"/>
        <v>181</v>
      </c>
      <c r="DP44" s="303" t="s">
        <v>226</v>
      </c>
    </row>
    <row r="45" spans="1:120" ht="243.75" hidden="1" customHeight="1">
      <c r="B45" s="588" t="s">
        <v>227</v>
      </c>
      <c r="C45" s="590" t="s">
        <v>228</v>
      </c>
      <c r="D45" s="592" t="s">
        <v>215</v>
      </c>
      <c r="E45" s="593"/>
      <c r="F45" s="596" t="s">
        <v>15</v>
      </c>
      <c r="G45" s="590" t="s">
        <v>0</v>
      </c>
      <c r="H45" s="590" t="s">
        <v>229</v>
      </c>
      <c r="I45" s="618">
        <v>665</v>
      </c>
      <c r="J45" s="306" t="s">
        <v>65</v>
      </c>
      <c r="K45" s="609">
        <v>0</v>
      </c>
      <c r="L45" s="610"/>
      <c r="M45" s="610"/>
      <c r="N45" s="610"/>
      <c r="O45" s="610"/>
      <c r="P45" s="610"/>
      <c r="Q45" s="610"/>
      <c r="R45" s="611"/>
      <c r="S45" s="290">
        <v>0</v>
      </c>
      <c r="T45" s="609">
        <v>0</v>
      </c>
      <c r="U45" s="610"/>
      <c r="V45" s="610"/>
      <c r="W45" s="610"/>
      <c r="X45" s="610"/>
      <c r="Y45" s="610"/>
      <c r="Z45" s="610"/>
      <c r="AA45" s="611"/>
      <c r="AB45" s="290">
        <f>SUM(T45)</f>
        <v>0</v>
      </c>
      <c r="AC45" s="609">
        <v>0</v>
      </c>
      <c r="AD45" s="610"/>
      <c r="AE45" s="610"/>
      <c r="AF45" s="610"/>
      <c r="AG45" s="610"/>
      <c r="AH45" s="610"/>
      <c r="AI45" s="610"/>
      <c r="AJ45" s="611"/>
      <c r="AK45" s="290">
        <f t="shared" ref="AK45:AK53" si="14">SUM(AC45)</f>
        <v>0</v>
      </c>
      <c r="AL45" s="606">
        <v>660</v>
      </c>
      <c r="AM45" s="607"/>
      <c r="AN45" s="607"/>
      <c r="AO45" s="607"/>
      <c r="AP45" s="607"/>
      <c r="AQ45" s="607"/>
      <c r="AR45" s="607"/>
      <c r="AS45" s="608"/>
      <c r="AT45" s="291">
        <f>SUM(AL45)</f>
        <v>660</v>
      </c>
      <c r="AU45" s="609">
        <v>0</v>
      </c>
      <c r="AV45" s="610"/>
      <c r="AW45" s="610"/>
      <c r="AX45" s="610"/>
      <c r="AY45" s="610"/>
      <c r="AZ45" s="610"/>
      <c r="BA45" s="610"/>
      <c r="BB45" s="611"/>
      <c r="BC45" s="290">
        <f>SUM(AU45)</f>
        <v>0</v>
      </c>
      <c r="BD45" s="609">
        <v>0</v>
      </c>
      <c r="BE45" s="610"/>
      <c r="BF45" s="610"/>
      <c r="BG45" s="610"/>
      <c r="BH45" s="610"/>
      <c r="BI45" s="610"/>
      <c r="BJ45" s="610"/>
      <c r="BK45" s="611"/>
      <c r="BL45" s="290">
        <f>SUM(BD45)</f>
        <v>0</v>
      </c>
      <c r="BM45" s="606"/>
      <c r="BN45" s="607"/>
      <c r="BO45" s="607"/>
      <c r="BP45" s="607"/>
      <c r="BQ45" s="607"/>
      <c r="BR45" s="607"/>
      <c r="BS45" s="607"/>
      <c r="BT45" s="608"/>
      <c r="BU45" s="291">
        <f>SUM(BM45)</f>
        <v>0</v>
      </c>
      <c r="BV45" s="609"/>
      <c r="BW45" s="610"/>
      <c r="BX45" s="610"/>
      <c r="BY45" s="610"/>
      <c r="BZ45" s="610"/>
      <c r="CA45" s="610"/>
      <c r="CB45" s="610"/>
      <c r="CC45" s="611"/>
      <c r="CD45" s="298">
        <f t="shared" si="2"/>
        <v>0</v>
      </c>
      <c r="CE45" s="612"/>
      <c r="CF45" s="613"/>
      <c r="CG45" s="613"/>
      <c r="CH45" s="613"/>
      <c r="CI45" s="613"/>
      <c r="CJ45" s="613"/>
      <c r="CK45" s="613"/>
      <c r="CL45" s="614"/>
      <c r="CM45" s="292">
        <f t="shared" si="3"/>
        <v>0</v>
      </c>
      <c r="CN45" s="612">
        <v>0</v>
      </c>
      <c r="CO45" s="613"/>
      <c r="CP45" s="613"/>
      <c r="CQ45" s="613"/>
      <c r="CR45" s="613"/>
      <c r="CS45" s="613"/>
      <c r="CT45" s="613"/>
      <c r="CU45" s="614"/>
      <c r="CV45" s="292">
        <f t="shared" si="4"/>
        <v>0</v>
      </c>
      <c r="CW45" s="612"/>
      <c r="CX45" s="613"/>
      <c r="CY45" s="613"/>
      <c r="CZ45" s="613"/>
      <c r="DA45" s="613"/>
      <c r="DB45" s="613"/>
      <c r="DC45" s="613"/>
      <c r="DD45" s="614"/>
      <c r="DE45" s="292">
        <f t="shared" si="5"/>
        <v>0</v>
      </c>
      <c r="DF45" s="612">
        <v>5</v>
      </c>
      <c r="DG45" s="613"/>
      <c r="DH45" s="613"/>
      <c r="DI45" s="613"/>
      <c r="DJ45" s="613"/>
      <c r="DK45" s="613"/>
      <c r="DL45" s="613"/>
      <c r="DM45" s="614"/>
      <c r="DN45" s="292">
        <f>SUM(DF45)</f>
        <v>5</v>
      </c>
      <c r="DO45" s="293">
        <f t="shared" si="7"/>
        <v>665</v>
      </c>
      <c r="DP45" s="303"/>
    </row>
    <row r="46" spans="1:120" ht="408.75" customHeight="1">
      <c r="B46" s="589"/>
      <c r="C46" s="591"/>
      <c r="D46" s="594"/>
      <c r="E46" s="595"/>
      <c r="F46" s="597"/>
      <c r="G46" s="591"/>
      <c r="H46" s="591"/>
      <c r="I46" s="619"/>
      <c r="J46" s="295" t="s">
        <v>66</v>
      </c>
      <c r="K46" s="609">
        <v>0</v>
      </c>
      <c r="L46" s="610"/>
      <c r="M46" s="610"/>
      <c r="N46" s="610"/>
      <c r="O46" s="610"/>
      <c r="P46" s="610"/>
      <c r="Q46" s="610"/>
      <c r="R46" s="611"/>
      <c r="S46" s="290">
        <f>SUM(K46)</f>
        <v>0</v>
      </c>
      <c r="T46" s="609">
        <v>0</v>
      </c>
      <c r="U46" s="610"/>
      <c r="V46" s="610"/>
      <c r="W46" s="610"/>
      <c r="X46" s="610"/>
      <c r="Y46" s="610"/>
      <c r="Z46" s="610"/>
      <c r="AA46" s="611"/>
      <c r="AB46" s="290">
        <f>SUM(T46)</f>
        <v>0</v>
      </c>
      <c r="AC46" s="609">
        <v>0</v>
      </c>
      <c r="AD46" s="610"/>
      <c r="AE46" s="610"/>
      <c r="AF46" s="610"/>
      <c r="AG46" s="610"/>
      <c r="AH46" s="610"/>
      <c r="AI46" s="610"/>
      <c r="AJ46" s="611"/>
      <c r="AK46" s="290">
        <f t="shared" si="14"/>
        <v>0</v>
      </c>
      <c r="AL46" s="606">
        <v>0</v>
      </c>
      <c r="AM46" s="607"/>
      <c r="AN46" s="607"/>
      <c r="AO46" s="607"/>
      <c r="AP46" s="607"/>
      <c r="AQ46" s="607"/>
      <c r="AR46" s="607"/>
      <c r="AS46" s="608"/>
      <c r="AT46" s="291">
        <f>SUM(AL46)</f>
        <v>0</v>
      </c>
      <c r="AU46" s="609">
        <v>0</v>
      </c>
      <c r="AV46" s="610"/>
      <c r="AW46" s="610"/>
      <c r="AX46" s="610"/>
      <c r="AY46" s="610"/>
      <c r="AZ46" s="610"/>
      <c r="BA46" s="610"/>
      <c r="BB46" s="611"/>
      <c r="BC46" s="290">
        <f>SUM(AU46)</f>
        <v>0</v>
      </c>
      <c r="BD46" s="609">
        <v>0</v>
      </c>
      <c r="BE46" s="610"/>
      <c r="BF46" s="610"/>
      <c r="BG46" s="610"/>
      <c r="BH46" s="610"/>
      <c r="BI46" s="610"/>
      <c r="BJ46" s="610"/>
      <c r="BK46" s="611"/>
      <c r="BL46" s="290">
        <f>SUM(BD46)</f>
        <v>0</v>
      </c>
      <c r="BM46" s="606">
        <v>0</v>
      </c>
      <c r="BN46" s="607"/>
      <c r="BO46" s="607"/>
      <c r="BP46" s="607"/>
      <c r="BQ46" s="607"/>
      <c r="BR46" s="607"/>
      <c r="BS46" s="607"/>
      <c r="BT46" s="608"/>
      <c r="BU46" s="291">
        <f>SUM(BM46)</f>
        <v>0</v>
      </c>
      <c r="BV46" s="609">
        <v>448</v>
      </c>
      <c r="BW46" s="610"/>
      <c r="BX46" s="610"/>
      <c r="BY46" s="610"/>
      <c r="BZ46" s="610"/>
      <c r="CA46" s="610"/>
      <c r="CB46" s="610"/>
      <c r="CC46" s="611"/>
      <c r="CD46" s="298">
        <f t="shared" si="2"/>
        <v>448</v>
      </c>
      <c r="CE46" s="612">
        <v>212</v>
      </c>
      <c r="CF46" s="613"/>
      <c r="CG46" s="613"/>
      <c r="CH46" s="613"/>
      <c r="CI46" s="613"/>
      <c r="CJ46" s="613"/>
      <c r="CK46" s="613"/>
      <c r="CL46" s="614"/>
      <c r="CM46" s="292">
        <f t="shared" si="3"/>
        <v>212</v>
      </c>
      <c r="CN46" s="612">
        <v>0</v>
      </c>
      <c r="CO46" s="613"/>
      <c r="CP46" s="613"/>
      <c r="CQ46" s="613"/>
      <c r="CR46" s="613"/>
      <c r="CS46" s="613"/>
      <c r="CT46" s="613"/>
      <c r="CU46" s="614"/>
      <c r="CV46" s="292">
        <f t="shared" si="4"/>
        <v>0</v>
      </c>
      <c r="CW46" s="612">
        <v>0</v>
      </c>
      <c r="CX46" s="613"/>
      <c r="CY46" s="613"/>
      <c r="CZ46" s="613"/>
      <c r="DA46" s="613"/>
      <c r="DB46" s="613"/>
      <c r="DC46" s="613"/>
      <c r="DD46" s="614"/>
      <c r="DE46" s="292">
        <f t="shared" si="5"/>
        <v>0</v>
      </c>
      <c r="DF46" s="612">
        <v>0</v>
      </c>
      <c r="DG46" s="613"/>
      <c r="DH46" s="613"/>
      <c r="DI46" s="613"/>
      <c r="DJ46" s="613"/>
      <c r="DK46" s="613"/>
      <c r="DL46" s="613"/>
      <c r="DM46" s="614"/>
      <c r="DN46" s="292">
        <f>SUM(DF46)</f>
        <v>0</v>
      </c>
      <c r="DO46" s="293">
        <f t="shared" si="7"/>
        <v>660</v>
      </c>
      <c r="DP46" s="303"/>
    </row>
    <row r="47" spans="1:120" ht="270" hidden="1" customHeight="1">
      <c r="B47" s="588" t="s">
        <v>154</v>
      </c>
      <c r="C47" s="590" t="s">
        <v>7</v>
      </c>
      <c r="D47" s="592" t="s">
        <v>1</v>
      </c>
      <c r="E47" s="593"/>
      <c r="F47" s="596" t="s">
        <v>208</v>
      </c>
      <c r="G47" s="598">
        <v>1</v>
      </c>
      <c r="H47" s="598" t="s">
        <v>1</v>
      </c>
      <c r="I47" s="616">
        <v>1</v>
      </c>
      <c r="J47" s="328" t="s">
        <v>65</v>
      </c>
      <c r="K47" s="609">
        <v>0</v>
      </c>
      <c r="L47" s="610"/>
      <c r="M47" s="610"/>
      <c r="N47" s="610"/>
      <c r="O47" s="610"/>
      <c r="P47" s="610"/>
      <c r="Q47" s="610"/>
      <c r="R47" s="611"/>
      <c r="S47" s="290">
        <f t="shared" si="0"/>
        <v>0</v>
      </c>
      <c r="T47" s="609">
        <v>0</v>
      </c>
      <c r="U47" s="610"/>
      <c r="V47" s="610"/>
      <c r="W47" s="610"/>
      <c r="X47" s="610"/>
      <c r="Y47" s="610"/>
      <c r="Z47" s="610"/>
      <c r="AA47" s="611"/>
      <c r="AB47" s="290">
        <f>SUM(T47)</f>
        <v>0</v>
      </c>
      <c r="AC47" s="609">
        <v>0</v>
      </c>
      <c r="AD47" s="610"/>
      <c r="AE47" s="610"/>
      <c r="AF47" s="610"/>
      <c r="AG47" s="610"/>
      <c r="AH47" s="610"/>
      <c r="AI47" s="610"/>
      <c r="AJ47" s="611"/>
      <c r="AK47" s="290">
        <f t="shared" si="14"/>
        <v>0</v>
      </c>
      <c r="AL47" s="606">
        <v>0</v>
      </c>
      <c r="AM47" s="607"/>
      <c r="AN47" s="607"/>
      <c r="AO47" s="607"/>
      <c r="AP47" s="607"/>
      <c r="AQ47" s="607"/>
      <c r="AR47" s="607"/>
      <c r="AS47" s="608"/>
      <c r="AT47" s="291">
        <f>SUM(AL47)</f>
        <v>0</v>
      </c>
      <c r="AU47" s="609">
        <v>1</v>
      </c>
      <c r="AV47" s="610"/>
      <c r="AW47" s="610"/>
      <c r="AX47" s="610"/>
      <c r="AY47" s="610"/>
      <c r="AZ47" s="610"/>
      <c r="BA47" s="610"/>
      <c r="BB47" s="611"/>
      <c r="BC47" s="290">
        <f t="shared" si="9"/>
        <v>1</v>
      </c>
      <c r="BD47" s="609">
        <v>0</v>
      </c>
      <c r="BE47" s="610"/>
      <c r="BF47" s="610"/>
      <c r="BG47" s="610"/>
      <c r="BH47" s="610"/>
      <c r="BI47" s="610"/>
      <c r="BJ47" s="610"/>
      <c r="BK47" s="611"/>
      <c r="BL47" s="290">
        <f>SUM(BD47)</f>
        <v>0</v>
      </c>
      <c r="BM47" s="606">
        <v>0</v>
      </c>
      <c r="BN47" s="607"/>
      <c r="BO47" s="607"/>
      <c r="BP47" s="607"/>
      <c r="BQ47" s="607"/>
      <c r="BR47" s="607"/>
      <c r="BS47" s="607"/>
      <c r="BT47" s="608"/>
      <c r="BU47" s="291">
        <f>SUM(BM47)</f>
        <v>0</v>
      </c>
      <c r="BV47" s="609">
        <v>0</v>
      </c>
      <c r="BW47" s="610"/>
      <c r="BX47" s="610"/>
      <c r="BY47" s="610"/>
      <c r="BZ47" s="610"/>
      <c r="CA47" s="610"/>
      <c r="CB47" s="610"/>
      <c r="CC47" s="611"/>
      <c r="CD47" s="298">
        <f t="shared" si="2"/>
        <v>0</v>
      </c>
      <c r="CE47" s="612">
        <v>0</v>
      </c>
      <c r="CF47" s="613"/>
      <c r="CG47" s="613"/>
      <c r="CH47" s="613"/>
      <c r="CI47" s="613"/>
      <c r="CJ47" s="613"/>
      <c r="CK47" s="613"/>
      <c r="CL47" s="614"/>
      <c r="CM47" s="292">
        <f t="shared" si="3"/>
        <v>0</v>
      </c>
      <c r="CN47" s="612">
        <v>0</v>
      </c>
      <c r="CO47" s="613"/>
      <c r="CP47" s="613"/>
      <c r="CQ47" s="613"/>
      <c r="CR47" s="613"/>
      <c r="CS47" s="613"/>
      <c r="CT47" s="613"/>
      <c r="CU47" s="614"/>
      <c r="CV47" s="292">
        <f t="shared" si="4"/>
        <v>0</v>
      </c>
      <c r="CW47" s="612">
        <v>0</v>
      </c>
      <c r="CX47" s="613"/>
      <c r="CY47" s="613"/>
      <c r="CZ47" s="613"/>
      <c r="DA47" s="613"/>
      <c r="DB47" s="613"/>
      <c r="DC47" s="613"/>
      <c r="DD47" s="614"/>
      <c r="DE47" s="292">
        <f t="shared" si="5"/>
        <v>0</v>
      </c>
      <c r="DF47" s="612">
        <v>0</v>
      </c>
      <c r="DG47" s="613"/>
      <c r="DH47" s="613"/>
      <c r="DI47" s="613"/>
      <c r="DJ47" s="613"/>
      <c r="DK47" s="613"/>
      <c r="DL47" s="613"/>
      <c r="DM47" s="614"/>
      <c r="DN47" s="292">
        <f>SUM(DF47)</f>
        <v>0</v>
      </c>
      <c r="DO47" s="293">
        <f t="shared" si="7"/>
        <v>1</v>
      </c>
      <c r="DP47" s="303"/>
    </row>
    <row r="48" spans="1:120" ht="240" customHeight="1">
      <c r="B48" s="589"/>
      <c r="C48" s="591"/>
      <c r="D48" s="594"/>
      <c r="E48" s="595"/>
      <c r="F48" s="597"/>
      <c r="G48" s="598"/>
      <c r="H48" s="598"/>
      <c r="I48" s="617"/>
      <c r="J48" s="295" t="s">
        <v>66</v>
      </c>
      <c r="K48" s="609">
        <v>0</v>
      </c>
      <c r="L48" s="610"/>
      <c r="M48" s="610"/>
      <c r="N48" s="610"/>
      <c r="O48" s="610"/>
      <c r="P48" s="610"/>
      <c r="Q48" s="610"/>
      <c r="R48" s="611"/>
      <c r="S48" s="290">
        <f>SUM(K48)</f>
        <v>0</v>
      </c>
      <c r="T48" s="609">
        <v>0</v>
      </c>
      <c r="U48" s="610"/>
      <c r="V48" s="610"/>
      <c r="W48" s="610"/>
      <c r="X48" s="610"/>
      <c r="Y48" s="610"/>
      <c r="Z48" s="610"/>
      <c r="AA48" s="611"/>
      <c r="AB48" s="290">
        <f>SUM(T48)</f>
        <v>0</v>
      </c>
      <c r="AC48" s="609">
        <v>0</v>
      </c>
      <c r="AD48" s="610"/>
      <c r="AE48" s="610"/>
      <c r="AF48" s="610"/>
      <c r="AG48" s="610"/>
      <c r="AH48" s="610"/>
      <c r="AI48" s="610"/>
      <c r="AJ48" s="611"/>
      <c r="AK48" s="290">
        <f t="shared" si="14"/>
        <v>0</v>
      </c>
      <c r="AL48" s="606">
        <v>0</v>
      </c>
      <c r="AM48" s="607"/>
      <c r="AN48" s="607"/>
      <c r="AO48" s="607"/>
      <c r="AP48" s="607"/>
      <c r="AQ48" s="607"/>
      <c r="AR48" s="607"/>
      <c r="AS48" s="608"/>
      <c r="AT48" s="291">
        <f>SUM(AL48)</f>
        <v>0</v>
      </c>
      <c r="AU48" s="609">
        <v>0</v>
      </c>
      <c r="AV48" s="610"/>
      <c r="AW48" s="610"/>
      <c r="AX48" s="610"/>
      <c r="AY48" s="610"/>
      <c r="AZ48" s="610"/>
      <c r="BA48" s="610"/>
      <c r="BB48" s="611"/>
      <c r="BC48" s="290">
        <f>SUM(AU48)</f>
        <v>0</v>
      </c>
      <c r="BD48" s="609">
        <v>0</v>
      </c>
      <c r="BE48" s="610"/>
      <c r="BF48" s="610"/>
      <c r="BG48" s="610"/>
      <c r="BH48" s="610"/>
      <c r="BI48" s="610"/>
      <c r="BJ48" s="610"/>
      <c r="BK48" s="611"/>
      <c r="BL48" s="290">
        <f>SUM(BD48)</f>
        <v>0</v>
      </c>
      <c r="BM48" s="606">
        <v>0</v>
      </c>
      <c r="BN48" s="607"/>
      <c r="BO48" s="607"/>
      <c r="BP48" s="607"/>
      <c r="BQ48" s="607"/>
      <c r="BR48" s="607"/>
      <c r="BS48" s="607"/>
      <c r="BT48" s="608"/>
      <c r="BU48" s="291">
        <f>SUM(BM48)</f>
        <v>0</v>
      </c>
      <c r="BV48" s="609">
        <v>0</v>
      </c>
      <c r="BW48" s="610"/>
      <c r="BX48" s="610"/>
      <c r="BY48" s="610"/>
      <c r="BZ48" s="610"/>
      <c r="CA48" s="610"/>
      <c r="CB48" s="610"/>
      <c r="CC48" s="611"/>
      <c r="CD48" s="298">
        <f t="shared" si="2"/>
        <v>0</v>
      </c>
      <c r="CE48" s="612">
        <v>0</v>
      </c>
      <c r="CF48" s="613"/>
      <c r="CG48" s="613"/>
      <c r="CH48" s="613"/>
      <c r="CI48" s="613"/>
      <c r="CJ48" s="613"/>
      <c r="CK48" s="613"/>
      <c r="CL48" s="614"/>
      <c r="CM48" s="292">
        <f t="shared" si="3"/>
        <v>0</v>
      </c>
      <c r="CN48" s="612">
        <v>1</v>
      </c>
      <c r="CO48" s="613"/>
      <c r="CP48" s="613"/>
      <c r="CQ48" s="613"/>
      <c r="CR48" s="613"/>
      <c r="CS48" s="613"/>
      <c r="CT48" s="613"/>
      <c r="CU48" s="614"/>
      <c r="CV48" s="292">
        <f t="shared" si="4"/>
        <v>1</v>
      </c>
      <c r="CW48" s="612">
        <v>0</v>
      </c>
      <c r="CX48" s="613"/>
      <c r="CY48" s="613"/>
      <c r="CZ48" s="613"/>
      <c r="DA48" s="613"/>
      <c r="DB48" s="613"/>
      <c r="DC48" s="613"/>
      <c r="DD48" s="614"/>
      <c r="DE48" s="292">
        <f t="shared" si="5"/>
        <v>0</v>
      </c>
      <c r="DF48" s="612">
        <v>0</v>
      </c>
      <c r="DG48" s="613"/>
      <c r="DH48" s="613"/>
      <c r="DI48" s="613"/>
      <c r="DJ48" s="613"/>
      <c r="DK48" s="613"/>
      <c r="DL48" s="613"/>
      <c r="DM48" s="614"/>
      <c r="DN48" s="292">
        <f>SUM(DF48)</f>
        <v>0</v>
      </c>
      <c r="DO48" s="293">
        <f t="shared" si="7"/>
        <v>1</v>
      </c>
      <c r="DP48" s="303"/>
    </row>
    <row r="49" spans="2:120" ht="236.1" customHeight="1">
      <c r="B49" s="588" t="s">
        <v>155</v>
      </c>
      <c r="C49" s="590" t="s">
        <v>8</v>
      </c>
      <c r="D49" s="592" t="s">
        <v>230</v>
      </c>
      <c r="E49" s="593"/>
      <c r="F49" s="596" t="s">
        <v>230</v>
      </c>
      <c r="G49" s="590">
        <v>1</v>
      </c>
      <c r="H49" s="590" t="s">
        <v>230</v>
      </c>
      <c r="I49" s="615">
        <v>1</v>
      </c>
      <c r="J49" s="328" t="s">
        <v>65</v>
      </c>
      <c r="K49" s="609">
        <v>0</v>
      </c>
      <c r="L49" s="610"/>
      <c r="M49" s="610"/>
      <c r="N49" s="610"/>
      <c r="O49" s="610"/>
      <c r="P49" s="610"/>
      <c r="Q49" s="610"/>
      <c r="R49" s="611"/>
      <c r="S49" s="290">
        <f t="shared" si="0"/>
        <v>0</v>
      </c>
      <c r="T49" s="609">
        <v>0</v>
      </c>
      <c r="U49" s="610"/>
      <c r="V49" s="610"/>
      <c r="W49" s="610"/>
      <c r="X49" s="610"/>
      <c r="Y49" s="610"/>
      <c r="Z49" s="610"/>
      <c r="AA49" s="611"/>
      <c r="AB49" s="290">
        <f t="shared" si="1"/>
        <v>0</v>
      </c>
      <c r="AC49" s="609">
        <v>0</v>
      </c>
      <c r="AD49" s="610"/>
      <c r="AE49" s="610"/>
      <c r="AF49" s="610"/>
      <c r="AG49" s="610"/>
      <c r="AH49" s="610"/>
      <c r="AI49" s="610"/>
      <c r="AJ49" s="611"/>
      <c r="AK49" s="290">
        <f t="shared" si="14"/>
        <v>0</v>
      </c>
      <c r="AL49" s="606">
        <v>0</v>
      </c>
      <c r="AM49" s="607"/>
      <c r="AN49" s="607"/>
      <c r="AO49" s="607"/>
      <c r="AP49" s="607"/>
      <c r="AQ49" s="607"/>
      <c r="AR49" s="607"/>
      <c r="AS49" s="608"/>
      <c r="AT49" s="291">
        <f t="shared" si="8"/>
        <v>0</v>
      </c>
      <c r="AU49" s="609">
        <v>0</v>
      </c>
      <c r="AV49" s="610"/>
      <c r="AW49" s="610"/>
      <c r="AX49" s="610"/>
      <c r="AY49" s="610"/>
      <c r="AZ49" s="610"/>
      <c r="BA49" s="610"/>
      <c r="BB49" s="611"/>
      <c r="BC49" s="290">
        <f t="shared" si="9"/>
        <v>0</v>
      </c>
      <c r="BD49" s="609">
        <v>0</v>
      </c>
      <c r="BE49" s="610"/>
      <c r="BF49" s="610"/>
      <c r="BG49" s="610"/>
      <c r="BH49" s="610"/>
      <c r="BI49" s="610"/>
      <c r="BJ49" s="610"/>
      <c r="BK49" s="611"/>
      <c r="BL49" s="290">
        <f t="shared" si="10"/>
        <v>0</v>
      </c>
      <c r="BM49" s="606">
        <v>1</v>
      </c>
      <c r="BN49" s="607"/>
      <c r="BO49" s="607"/>
      <c r="BP49" s="607"/>
      <c r="BQ49" s="607"/>
      <c r="BR49" s="607"/>
      <c r="BS49" s="607"/>
      <c r="BT49" s="608"/>
      <c r="BU49" s="291">
        <f t="shared" si="11"/>
        <v>1</v>
      </c>
      <c r="BV49" s="609">
        <v>0</v>
      </c>
      <c r="BW49" s="610"/>
      <c r="BX49" s="610"/>
      <c r="BY49" s="610"/>
      <c r="BZ49" s="610"/>
      <c r="CA49" s="610"/>
      <c r="CB49" s="610"/>
      <c r="CC49" s="611"/>
      <c r="CD49" s="298">
        <f t="shared" si="2"/>
        <v>0</v>
      </c>
      <c r="CE49" s="612">
        <v>0</v>
      </c>
      <c r="CF49" s="613"/>
      <c r="CG49" s="613"/>
      <c r="CH49" s="613"/>
      <c r="CI49" s="613"/>
      <c r="CJ49" s="613"/>
      <c r="CK49" s="613"/>
      <c r="CL49" s="614"/>
      <c r="CM49" s="292">
        <f t="shared" si="3"/>
        <v>0</v>
      </c>
      <c r="CN49" s="612">
        <v>0</v>
      </c>
      <c r="CO49" s="613"/>
      <c r="CP49" s="613"/>
      <c r="CQ49" s="613"/>
      <c r="CR49" s="613"/>
      <c r="CS49" s="613"/>
      <c r="CT49" s="613"/>
      <c r="CU49" s="614"/>
      <c r="CV49" s="292">
        <f t="shared" si="4"/>
        <v>0</v>
      </c>
      <c r="CW49" s="612">
        <v>0</v>
      </c>
      <c r="CX49" s="613"/>
      <c r="CY49" s="613"/>
      <c r="CZ49" s="613"/>
      <c r="DA49" s="613"/>
      <c r="DB49" s="613"/>
      <c r="DC49" s="613"/>
      <c r="DD49" s="614"/>
      <c r="DE49" s="292">
        <f t="shared" si="5"/>
        <v>0</v>
      </c>
      <c r="DF49" s="612">
        <v>0</v>
      </c>
      <c r="DG49" s="613"/>
      <c r="DH49" s="613"/>
      <c r="DI49" s="613"/>
      <c r="DJ49" s="613"/>
      <c r="DK49" s="613"/>
      <c r="DL49" s="613"/>
      <c r="DM49" s="614"/>
      <c r="DN49" s="292">
        <f t="shared" si="6"/>
        <v>0</v>
      </c>
      <c r="DO49" s="293">
        <f t="shared" si="7"/>
        <v>1</v>
      </c>
      <c r="DP49" s="303"/>
    </row>
    <row r="50" spans="2:120" ht="225" customHeight="1">
      <c r="B50" s="589"/>
      <c r="C50" s="591"/>
      <c r="D50" s="594"/>
      <c r="E50" s="595"/>
      <c r="F50" s="597"/>
      <c r="G50" s="591"/>
      <c r="H50" s="591"/>
      <c r="I50" s="616"/>
      <c r="J50" s="295" t="s">
        <v>66</v>
      </c>
      <c r="K50" s="609">
        <v>0</v>
      </c>
      <c r="L50" s="610"/>
      <c r="M50" s="610"/>
      <c r="N50" s="610"/>
      <c r="O50" s="610"/>
      <c r="P50" s="610"/>
      <c r="Q50" s="610"/>
      <c r="R50" s="611"/>
      <c r="S50" s="290">
        <f t="shared" si="0"/>
        <v>0</v>
      </c>
      <c r="T50" s="609">
        <v>0</v>
      </c>
      <c r="U50" s="610"/>
      <c r="V50" s="610"/>
      <c r="W50" s="610"/>
      <c r="X50" s="610"/>
      <c r="Y50" s="610"/>
      <c r="Z50" s="610"/>
      <c r="AA50" s="611"/>
      <c r="AB50" s="290">
        <f t="shared" si="1"/>
        <v>0</v>
      </c>
      <c r="AC50" s="609">
        <v>0</v>
      </c>
      <c r="AD50" s="610"/>
      <c r="AE50" s="610"/>
      <c r="AF50" s="610"/>
      <c r="AG50" s="610"/>
      <c r="AH50" s="610"/>
      <c r="AI50" s="610"/>
      <c r="AJ50" s="611"/>
      <c r="AK50" s="290">
        <f t="shared" si="14"/>
        <v>0</v>
      </c>
      <c r="AL50" s="606">
        <v>0</v>
      </c>
      <c r="AM50" s="607"/>
      <c r="AN50" s="607"/>
      <c r="AO50" s="607"/>
      <c r="AP50" s="607"/>
      <c r="AQ50" s="607"/>
      <c r="AR50" s="607"/>
      <c r="AS50" s="608"/>
      <c r="AT50" s="291">
        <f t="shared" si="8"/>
        <v>0</v>
      </c>
      <c r="AU50" s="609">
        <v>0</v>
      </c>
      <c r="AV50" s="610"/>
      <c r="AW50" s="610"/>
      <c r="AX50" s="610"/>
      <c r="AY50" s="610"/>
      <c r="AZ50" s="610"/>
      <c r="BA50" s="610"/>
      <c r="BB50" s="611"/>
      <c r="BC50" s="290">
        <f t="shared" si="9"/>
        <v>0</v>
      </c>
      <c r="BD50" s="609">
        <v>0</v>
      </c>
      <c r="BE50" s="610"/>
      <c r="BF50" s="610"/>
      <c r="BG50" s="610"/>
      <c r="BH50" s="610"/>
      <c r="BI50" s="610"/>
      <c r="BJ50" s="610"/>
      <c r="BK50" s="611"/>
      <c r="BL50" s="290">
        <f t="shared" si="10"/>
        <v>0</v>
      </c>
      <c r="BM50" s="606">
        <v>0</v>
      </c>
      <c r="BN50" s="607"/>
      <c r="BO50" s="607"/>
      <c r="BP50" s="607"/>
      <c r="BQ50" s="607"/>
      <c r="BR50" s="607"/>
      <c r="BS50" s="607"/>
      <c r="BT50" s="608"/>
      <c r="BU50" s="291">
        <f t="shared" si="11"/>
        <v>0</v>
      </c>
      <c r="BV50" s="609">
        <v>0</v>
      </c>
      <c r="BW50" s="610"/>
      <c r="BX50" s="610"/>
      <c r="BY50" s="610"/>
      <c r="BZ50" s="610"/>
      <c r="CA50" s="610"/>
      <c r="CB50" s="610"/>
      <c r="CC50" s="611"/>
      <c r="CD50" s="298">
        <f t="shared" si="2"/>
        <v>0</v>
      </c>
      <c r="CE50" s="612">
        <v>0</v>
      </c>
      <c r="CF50" s="613"/>
      <c r="CG50" s="613"/>
      <c r="CH50" s="613"/>
      <c r="CI50" s="613"/>
      <c r="CJ50" s="613"/>
      <c r="CK50" s="613"/>
      <c r="CL50" s="614"/>
      <c r="CM50" s="292">
        <f t="shared" si="3"/>
        <v>0</v>
      </c>
      <c r="CN50" s="612">
        <v>1</v>
      </c>
      <c r="CO50" s="613"/>
      <c r="CP50" s="613"/>
      <c r="CQ50" s="613"/>
      <c r="CR50" s="613"/>
      <c r="CS50" s="613"/>
      <c r="CT50" s="613"/>
      <c r="CU50" s="614"/>
      <c r="CV50" s="292">
        <f t="shared" si="4"/>
        <v>1</v>
      </c>
      <c r="CW50" s="612">
        <v>0</v>
      </c>
      <c r="CX50" s="613"/>
      <c r="CY50" s="613"/>
      <c r="CZ50" s="613"/>
      <c r="DA50" s="613"/>
      <c r="DB50" s="613"/>
      <c r="DC50" s="613"/>
      <c r="DD50" s="614"/>
      <c r="DE50" s="292">
        <f t="shared" si="5"/>
        <v>0</v>
      </c>
      <c r="DF50" s="612">
        <v>0</v>
      </c>
      <c r="DG50" s="613"/>
      <c r="DH50" s="613"/>
      <c r="DI50" s="613"/>
      <c r="DJ50" s="613"/>
      <c r="DK50" s="613"/>
      <c r="DL50" s="613"/>
      <c r="DM50" s="614"/>
      <c r="DN50" s="292">
        <f t="shared" si="6"/>
        <v>0</v>
      </c>
      <c r="DO50" s="293">
        <f t="shared" si="7"/>
        <v>1</v>
      </c>
      <c r="DP50" s="303"/>
    </row>
    <row r="51" spans="2:120" ht="322.5" hidden="1" customHeight="1">
      <c r="B51" s="588" t="s">
        <v>75</v>
      </c>
      <c r="C51" s="590" t="s">
        <v>9</v>
      </c>
      <c r="D51" s="592" t="s">
        <v>231</v>
      </c>
      <c r="E51" s="593"/>
      <c r="F51" s="596" t="s">
        <v>232</v>
      </c>
      <c r="G51" s="590">
        <v>1</v>
      </c>
      <c r="H51" s="596" t="s">
        <v>231</v>
      </c>
      <c r="I51" s="604">
        <v>1</v>
      </c>
      <c r="J51" s="328" t="s">
        <v>65</v>
      </c>
      <c r="K51" s="609">
        <v>8</v>
      </c>
      <c r="L51" s="610"/>
      <c r="M51" s="610"/>
      <c r="N51" s="610"/>
      <c r="O51" s="610"/>
      <c r="P51" s="610"/>
      <c r="Q51" s="610"/>
      <c r="R51" s="611"/>
      <c r="S51" s="290">
        <f t="shared" si="0"/>
        <v>8</v>
      </c>
      <c r="T51" s="609">
        <v>0</v>
      </c>
      <c r="U51" s="610"/>
      <c r="V51" s="610"/>
      <c r="W51" s="610"/>
      <c r="X51" s="610"/>
      <c r="Y51" s="610"/>
      <c r="Z51" s="610"/>
      <c r="AA51" s="611"/>
      <c r="AB51" s="290">
        <f t="shared" si="1"/>
        <v>0</v>
      </c>
      <c r="AC51" s="609">
        <v>2</v>
      </c>
      <c r="AD51" s="610"/>
      <c r="AE51" s="610"/>
      <c r="AF51" s="610"/>
      <c r="AG51" s="610"/>
      <c r="AH51" s="610"/>
      <c r="AI51" s="610"/>
      <c r="AJ51" s="611"/>
      <c r="AK51" s="290">
        <f t="shared" si="14"/>
        <v>2</v>
      </c>
      <c r="AL51" s="606">
        <v>0</v>
      </c>
      <c r="AM51" s="607"/>
      <c r="AN51" s="607"/>
      <c r="AO51" s="607"/>
      <c r="AP51" s="607"/>
      <c r="AQ51" s="607"/>
      <c r="AR51" s="607"/>
      <c r="AS51" s="608"/>
      <c r="AT51" s="291">
        <f t="shared" si="8"/>
        <v>0</v>
      </c>
      <c r="AU51" s="609">
        <v>0</v>
      </c>
      <c r="AV51" s="610"/>
      <c r="AW51" s="610"/>
      <c r="AX51" s="610"/>
      <c r="AY51" s="610"/>
      <c r="AZ51" s="610"/>
      <c r="BA51" s="610"/>
      <c r="BB51" s="611"/>
      <c r="BC51" s="290">
        <f t="shared" si="9"/>
        <v>0</v>
      </c>
      <c r="BD51" s="609">
        <v>0</v>
      </c>
      <c r="BE51" s="610"/>
      <c r="BF51" s="610"/>
      <c r="BG51" s="610"/>
      <c r="BH51" s="610"/>
      <c r="BI51" s="610"/>
      <c r="BJ51" s="610"/>
      <c r="BK51" s="611"/>
      <c r="BL51" s="290">
        <f t="shared" si="10"/>
        <v>0</v>
      </c>
      <c r="BM51" s="606">
        <v>0</v>
      </c>
      <c r="BN51" s="607"/>
      <c r="BO51" s="607"/>
      <c r="BP51" s="607"/>
      <c r="BQ51" s="607"/>
      <c r="BR51" s="607"/>
      <c r="BS51" s="607"/>
      <c r="BT51" s="608"/>
      <c r="BU51" s="291">
        <f t="shared" si="11"/>
        <v>0</v>
      </c>
      <c r="BV51" s="609">
        <v>0</v>
      </c>
      <c r="BW51" s="610"/>
      <c r="BX51" s="610"/>
      <c r="BY51" s="610"/>
      <c r="BZ51" s="610"/>
      <c r="CA51" s="610"/>
      <c r="CB51" s="610"/>
      <c r="CC51" s="611"/>
      <c r="CD51" s="298">
        <f t="shared" si="2"/>
        <v>0</v>
      </c>
      <c r="CE51" s="612">
        <v>0</v>
      </c>
      <c r="CF51" s="613"/>
      <c r="CG51" s="613"/>
      <c r="CH51" s="613"/>
      <c r="CI51" s="613"/>
      <c r="CJ51" s="613"/>
      <c r="CK51" s="613"/>
      <c r="CL51" s="614"/>
      <c r="CM51" s="292">
        <f t="shared" si="3"/>
        <v>0</v>
      </c>
      <c r="CN51" s="612">
        <v>0</v>
      </c>
      <c r="CO51" s="613"/>
      <c r="CP51" s="613"/>
      <c r="CQ51" s="613"/>
      <c r="CR51" s="613"/>
      <c r="CS51" s="613"/>
      <c r="CT51" s="613"/>
      <c r="CU51" s="614"/>
      <c r="CV51" s="292">
        <f t="shared" si="4"/>
        <v>0</v>
      </c>
      <c r="CW51" s="612">
        <v>0</v>
      </c>
      <c r="CX51" s="613"/>
      <c r="CY51" s="613"/>
      <c r="CZ51" s="613"/>
      <c r="DA51" s="613"/>
      <c r="DB51" s="613"/>
      <c r="DC51" s="613"/>
      <c r="DD51" s="614"/>
      <c r="DE51" s="292">
        <f t="shared" si="5"/>
        <v>0</v>
      </c>
      <c r="DF51" s="612">
        <v>0</v>
      </c>
      <c r="DG51" s="613"/>
      <c r="DH51" s="613"/>
      <c r="DI51" s="613"/>
      <c r="DJ51" s="613"/>
      <c r="DK51" s="613"/>
      <c r="DL51" s="613"/>
      <c r="DM51" s="614"/>
      <c r="DN51" s="292">
        <f>DF476</f>
        <v>0</v>
      </c>
      <c r="DO51" s="293">
        <f t="shared" si="7"/>
        <v>10</v>
      </c>
      <c r="DP51" s="303"/>
    </row>
    <row r="52" spans="2:120" ht="165" customHeight="1">
      <c r="B52" s="589"/>
      <c r="C52" s="591"/>
      <c r="D52" s="594"/>
      <c r="E52" s="595"/>
      <c r="F52" s="597"/>
      <c r="G52" s="591"/>
      <c r="H52" s="597"/>
      <c r="I52" s="605"/>
      <c r="J52" s="329" t="s">
        <v>66</v>
      </c>
      <c r="K52" s="581">
        <v>8</v>
      </c>
      <c r="L52" s="581"/>
      <c r="M52" s="581"/>
      <c r="N52" s="581"/>
      <c r="O52" s="581"/>
      <c r="P52" s="581"/>
      <c r="Q52" s="581"/>
      <c r="R52" s="581"/>
      <c r="S52" s="290">
        <f t="shared" si="0"/>
        <v>8</v>
      </c>
      <c r="T52" s="581">
        <v>0</v>
      </c>
      <c r="U52" s="581"/>
      <c r="V52" s="581"/>
      <c r="W52" s="581"/>
      <c r="X52" s="581"/>
      <c r="Y52" s="581"/>
      <c r="Z52" s="581"/>
      <c r="AA52" s="581"/>
      <c r="AB52" s="330">
        <f t="shared" si="1"/>
        <v>0</v>
      </c>
      <c r="AC52" s="581">
        <v>2</v>
      </c>
      <c r="AD52" s="581"/>
      <c r="AE52" s="581"/>
      <c r="AF52" s="581"/>
      <c r="AG52" s="581"/>
      <c r="AH52" s="581"/>
      <c r="AI52" s="581"/>
      <c r="AJ52" s="581"/>
      <c r="AK52" s="330">
        <f t="shared" si="14"/>
        <v>2</v>
      </c>
      <c r="AL52" s="583">
        <v>0</v>
      </c>
      <c r="AM52" s="583"/>
      <c r="AN52" s="583"/>
      <c r="AO52" s="583"/>
      <c r="AP52" s="583"/>
      <c r="AQ52" s="583"/>
      <c r="AR52" s="583"/>
      <c r="AS52" s="583"/>
      <c r="AT52" s="331">
        <f t="shared" si="8"/>
        <v>0</v>
      </c>
      <c r="AU52" s="581">
        <v>0</v>
      </c>
      <c r="AV52" s="581"/>
      <c r="AW52" s="581"/>
      <c r="AX52" s="581"/>
      <c r="AY52" s="581"/>
      <c r="AZ52" s="581"/>
      <c r="BA52" s="581"/>
      <c r="BB52" s="581"/>
      <c r="BC52" s="330">
        <f t="shared" si="9"/>
        <v>0</v>
      </c>
      <c r="BD52" s="581">
        <v>0</v>
      </c>
      <c r="BE52" s="581"/>
      <c r="BF52" s="581"/>
      <c r="BG52" s="581"/>
      <c r="BH52" s="581"/>
      <c r="BI52" s="581"/>
      <c r="BJ52" s="581"/>
      <c r="BK52" s="581"/>
      <c r="BL52" s="330">
        <f t="shared" si="10"/>
        <v>0</v>
      </c>
      <c r="BM52" s="583">
        <v>0</v>
      </c>
      <c r="BN52" s="583"/>
      <c r="BO52" s="583"/>
      <c r="BP52" s="583"/>
      <c r="BQ52" s="583"/>
      <c r="BR52" s="583"/>
      <c r="BS52" s="583"/>
      <c r="BT52" s="583"/>
      <c r="BU52" s="331">
        <f t="shared" si="11"/>
        <v>0</v>
      </c>
      <c r="BV52" s="581">
        <v>0</v>
      </c>
      <c r="BW52" s="581"/>
      <c r="BX52" s="581"/>
      <c r="BY52" s="581"/>
      <c r="BZ52" s="581"/>
      <c r="CA52" s="581"/>
      <c r="CB52" s="581"/>
      <c r="CC52" s="581"/>
      <c r="CD52" s="298">
        <f t="shared" si="2"/>
        <v>0</v>
      </c>
      <c r="CE52" s="582">
        <v>0</v>
      </c>
      <c r="CF52" s="582"/>
      <c r="CG52" s="582"/>
      <c r="CH52" s="582"/>
      <c r="CI52" s="582"/>
      <c r="CJ52" s="582"/>
      <c r="CK52" s="582"/>
      <c r="CL52" s="582"/>
      <c r="CM52" s="292">
        <f t="shared" si="3"/>
        <v>0</v>
      </c>
      <c r="CN52" s="582">
        <v>0</v>
      </c>
      <c r="CO52" s="582"/>
      <c r="CP52" s="582"/>
      <c r="CQ52" s="582"/>
      <c r="CR52" s="582"/>
      <c r="CS52" s="582"/>
      <c r="CT52" s="582"/>
      <c r="CU52" s="582"/>
      <c r="CV52" s="292">
        <f t="shared" si="4"/>
        <v>0</v>
      </c>
      <c r="CW52" s="582">
        <v>0</v>
      </c>
      <c r="CX52" s="582"/>
      <c r="CY52" s="582"/>
      <c r="CZ52" s="582"/>
      <c r="DA52" s="582"/>
      <c r="DB52" s="582"/>
      <c r="DC52" s="582"/>
      <c r="DD52" s="582"/>
      <c r="DE52" s="292">
        <f t="shared" si="5"/>
        <v>0</v>
      </c>
      <c r="DF52" s="582">
        <v>0</v>
      </c>
      <c r="DG52" s="582"/>
      <c r="DH52" s="582"/>
      <c r="DI52" s="582"/>
      <c r="DJ52" s="582"/>
      <c r="DK52" s="582"/>
      <c r="DL52" s="582"/>
      <c r="DM52" s="582"/>
      <c r="DN52" s="320">
        <f t="shared" si="6"/>
        <v>0</v>
      </c>
      <c r="DO52" s="293">
        <f t="shared" si="7"/>
        <v>10</v>
      </c>
      <c r="DP52" s="303"/>
    </row>
    <row r="53" spans="2:120" ht="371.25" hidden="1" customHeight="1">
      <c r="B53" s="588" t="s">
        <v>76</v>
      </c>
      <c r="C53" s="590" t="s">
        <v>7</v>
      </c>
      <c r="D53" s="592" t="s">
        <v>1</v>
      </c>
      <c r="E53" s="593"/>
      <c r="F53" s="596" t="s">
        <v>208</v>
      </c>
      <c r="G53" s="590">
        <v>1</v>
      </c>
      <c r="H53" s="590" t="s">
        <v>1</v>
      </c>
      <c r="I53" s="604">
        <v>1</v>
      </c>
      <c r="J53" s="332" t="s">
        <v>65</v>
      </c>
      <c r="K53" s="581">
        <v>0</v>
      </c>
      <c r="L53" s="581"/>
      <c r="M53" s="581"/>
      <c r="N53" s="581"/>
      <c r="O53" s="581"/>
      <c r="P53" s="581"/>
      <c r="Q53" s="581"/>
      <c r="R53" s="581"/>
      <c r="S53" s="290">
        <f t="shared" si="0"/>
        <v>0</v>
      </c>
      <c r="T53" s="581">
        <v>0</v>
      </c>
      <c r="U53" s="581"/>
      <c r="V53" s="581"/>
      <c r="W53" s="581"/>
      <c r="X53" s="581"/>
      <c r="Y53" s="581"/>
      <c r="Z53" s="581"/>
      <c r="AA53" s="581"/>
      <c r="AB53" s="330">
        <f t="shared" si="1"/>
        <v>0</v>
      </c>
      <c r="AC53" s="581">
        <v>0</v>
      </c>
      <c r="AD53" s="581"/>
      <c r="AE53" s="581"/>
      <c r="AF53" s="581"/>
      <c r="AG53" s="581"/>
      <c r="AH53" s="581"/>
      <c r="AI53" s="581"/>
      <c r="AJ53" s="581"/>
      <c r="AK53" s="330">
        <f t="shared" si="14"/>
        <v>0</v>
      </c>
      <c r="AL53" s="583">
        <v>1</v>
      </c>
      <c r="AM53" s="583"/>
      <c r="AN53" s="583"/>
      <c r="AO53" s="583"/>
      <c r="AP53" s="583"/>
      <c r="AQ53" s="583"/>
      <c r="AR53" s="583"/>
      <c r="AS53" s="583"/>
      <c r="AT53" s="331">
        <f t="shared" si="8"/>
        <v>1</v>
      </c>
      <c r="AU53" s="581">
        <v>0</v>
      </c>
      <c r="AV53" s="581"/>
      <c r="AW53" s="581"/>
      <c r="AX53" s="581"/>
      <c r="AY53" s="581"/>
      <c r="AZ53" s="581"/>
      <c r="BA53" s="581"/>
      <c r="BB53" s="581"/>
      <c r="BC53" s="330">
        <f t="shared" si="9"/>
        <v>0</v>
      </c>
      <c r="BD53" s="581">
        <v>0</v>
      </c>
      <c r="BE53" s="581"/>
      <c r="BF53" s="581"/>
      <c r="BG53" s="581"/>
      <c r="BH53" s="581"/>
      <c r="BI53" s="581"/>
      <c r="BJ53" s="581"/>
      <c r="BK53" s="581"/>
      <c r="BL53" s="330">
        <f t="shared" si="10"/>
        <v>0</v>
      </c>
      <c r="BM53" s="583">
        <v>0</v>
      </c>
      <c r="BN53" s="583"/>
      <c r="BO53" s="583"/>
      <c r="BP53" s="583"/>
      <c r="BQ53" s="583"/>
      <c r="BR53" s="583"/>
      <c r="BS53" s="583"/>
      <c r="BT53" s="583"/>
      <c r="BU53" s="331">
        <f t="shared" si="11"/>
        <v>0</v>
      </c>
      <c r="BV53" s="581">
        <v>1</v>
      </c>
      <c r="BW53" s="581"/>
      <c r="BX53" s="581"/>
      <c r="BY53" s="581"/>
      <c r="BZ53" s="581"/>
      <c r="CA53" s="581"/>
      <c r="CB53" s="581"/>
      <c r="CC53" s="581"/>
      <c r="CD53" s="298">
        <f t="shared" si="2"/>
        <v>1</v>
      </c>
      <c r="CE53" s="582">
        <v>0</v>
      </c>
      <c r="CF53" s="582"/>
      <c r="CG53" s="582"/>
      <c r="CH53" s="582"/>
      <c r="CI53" s="582"/>
      <c r="CJ53" s="582"/>
      <c r="CK53" s="582"/>
      <c r="CL53" s="582"/>
      <c r="CM53" s="292">
        <f t="shared" si="3"/>
        <v>0</v>
      </c>
      <c r="CN53" s="582">
        <v>0</v>
      </c>
      <c r="CO53" s="582"/>
      <c r="CP53" s="582"/>
      <c r="CQ53" s="582"/>
      <c r="CR53" s="582"/>
      <c r="CS53" s="582"/>
      <c r="CT53" s="582"/>
      <c r="CU53" s="582"/>
      <c r="CV53" s="292">
        <f t="shared" si="4"/>
        <v>0</v>
      </c>
      <c r="CW53" s="582">
        <v>1</v>
      </c>
      <c r="CX53" s="582"/>
      <c r="CY53" s="582"/>
      <c r="CZ53" s="582"/>
      <c r="DA53" s="582"/>
      <c r="DB53" s="582"/>
      <c r="DC53" s="582"/>
      <c r="DD53" s="582"/>
      <c r="DE53" s="292">
        <f t="shared" si="5"/>
        <v>1</v>
      </c>
      <c r="DF53" s="582"/>
      <c r="DG53" s="582"/>
      <c r="DH53" s="582"/>
      <c r="DI53" s="582"/>
      <c r="DJ53" s="582"/>
      <c r="DK53" s="582"/>
      <c r="DL53" s="582"/>
      <c r="DM53" s="582"/>
      <c r="DN53" s="320">
        <f t="shared" si="6"/>
        <v>0</v>
      </c>
      <c r="DO53" s="293">
        <f t="shared" si="7"/>
        <v>3</v>
      </c>
      <c r="DP53" s="303"/>
    </row>
    <row r="54" spans="2:120" ht="165" customHeight="1">
      <c r="B54" s="589"/>
      <c r="C54" s="591"/>
      <c r="D54" s="594"/>
      <c r="E54" s="595"/>
      <c r="F54" s="597"/>
      <c r="G54" s="591"/>
      <c r="H54" s="591"/>
      <c r="I54" s="605"/>
      <c r="J54" s="329" t="s">
        <v>66</v>
      </c>
      <c r="K54" s="324"/>
      <c r="L54" s="324"/>
      <c r="M54" s="324"/>
      <c r="N54" s="324"/>
      <c r="O54" s="324"/>
      <c r="P54" s="324"/>
      <c r="Q54" s="324"/>
      <c r="R54" s="324"/>
      <c r="S54" s="290">
        <f t="shared" si="0"/>
        <v>0</v>
      </c>
      <c r="T54" s="324">
        <v>0</v>
      </c>
      <c r="U54" s="324">
        <v>0</v>
      </c>
      <c r="V54" s="324">
        <v>0</v>
      </c>
      <c r="W54" s="324">
        <v>0</v>
      </c>
      <c r="X54" s="324">
        <v>0</v>
      </c>
      <c r="Y54" s="324">
        <v>0</v>
      </c>
      <c r="Z54" s="324">
        <v>0</v>
      </c>
      <c r="AA54" s="324">
        <v>0</v>
      </c>
      <c r="AB54" s="330">
        <f t="shared" si="1"/>
        <v>0</v>
      </c>
      <c r="AC54" s="324"/>
      <c r="AD54" s="324"/>
      <c r="AE54" s="324"/>
      <c r="AF54" s="324"/>
      <c r="AG54" s="324"/>
      <c r="AH54" s="324"/>
      <c r="AI54" s="324"/>
      <c r="AJ54" s="324"/>
      <c r="AK54" s="330">
        <f>SUM(AC54:AJ54)</f>
        <v>0</v>
      </c>
      <c r="AL54" s="297">
        <v>0</v>
      </c>
      <c r="AM54" s="297">
        <v>0</v>
      </c>
      <c r="AN54" s="297">
        <v>0</v>
      </c>
      <c r="AO54" s="297">
        <v>0</v>
      </c>
      <c r="AP54" s="297">
        <v>0</v>
      </c>
      <c r="AQ54" s="297">
        <v>0</v>
      </c>
      <c r="AR54" s="297">
        <v>0</v>
      </c>
      <c r="AS54" s="297">
        <v>0</v>
      </c>
      <c r="AT54" s="331">
        <f t="shared" si="8"/>
        <v>0</v>
      </c>
      <c r="AU54" s="290">
        <v>0</v>
      </c>
      <c r="AV54" s="290">
        <v>0</v>
      </c>
      <c r="AW54" s="290">
        <v>0</v>
      </c>
      <c r="AX54" s="290">
        <v>0</v>
      </c>
      <c r="AY54" s="290">
        <v>0</v>
      </c>
      <c r="AZ54" s="290">
        <v>0</v>
      </c>
      <c r="BA54" s="290">
        <v>0</v>
      </c>
      <c r="BB54" s="290">
        <v>0</v>
      </c>
      <c r="BC54" s="330">
        <f t="shared" si="9"/>
        <v>0</v>
      </c>
      <c r="BD54" s="324">
        <v>0</v>
      </c>
      <c r="BE54" s="324">
        <v>0</v>
      </c>
      <c r="BF54" s="324">
        <v>0</v>
      </c>
      <c r="BG54" s="324">
        <v>0</v>
      </c>
      <c r="BH54" s="324">
        <v>0</v>
      </c>
      <c r="BI54" s="324">
        <v>0</v>
      </c>
      <c r="BJ54" s="324">
        <v>0</v>
      </c>
      <c r="BK54" s="324">
        <v>0</v>
      </c>
      <c r="BL54" s="330">
        <f t="shared" si="10"/>
        <v>0</v>
      </c>
      <c r="BM54" s="319">
        <v>0</v>
      </c>
      <c r="BN54" s="319">
        <v>0</v>
      </c>
      <c r="BO54" s="319">
        <v>0</v>
      </c>
      <c r="BP54" s="319">
        <v>0</v>
      </c>
      <c r="BQ54" s="319">
        <v>0</v>
      </c>
      <c r="BR54" s="319">
        <v>0</v>
      </c>
      <c r="BS54" s="319">
        <v>0</v>
      </c>
      <c r="BT54" s="319">
        <v>0</v>
      </c>
      <c r="BU54" s="331">
        <f t="shared" si="11"/>
        <v>0</v>
      </c>
      <c r="BV54" s="324">
        <v>115</v>
      </c>
      <c r="BW54" s="324">
        <v>126</v>
      </c>
      <c r="BX54" s="324">
        <v>109</v>
      </c>
      <c r="BY54" s="324">
        <v>98</v>
      </c>
      <c r="BZ54" s="324">
        <v>0</v>
      </c>
      <c r="CA54" s="324">
        <v>0</v>
      </c>
      <c r="CB54" s="324">
        <v>0</v>
      </c>
      <c r="CC54" s="324">
        <v>0</v>
      </c>
      <c r="CD54" s="298">
        <f t="shared" si="2"/>
        <v>448</v>
      </c>
      <c r="CE54" s="304">
        <v>0</v>
      </c>
      <c r="CF54" s="304">
        <v>0</v>
      </c>
      <c r="CG54" s="304">
        <v>0</v>
      </c>
      <c r="CH54" s="304">
        <v>0</v>
      </c>
      <c r="CI54" s="304">
        <v>0</v>
      </c>
      <c r="CJ54" s="304">
        <v>0</v>
      </c>
      <c r="CK54" s="304">
        <v>0</v>
      </c>
      <c r="CL54" s="304">
        <v>0</v>
      </c>
      <c r="CM54" s="292">
        <f t="shared" si="3"/>
        <v>0</v>
      </c>
      <c r="CN54" s="304">
        <v>169</v>
      </c>
      <c r="CO54" s="304">
        <v>183</v>
      </c>
      <c r="CP54" s="304">
        <v>165</v>
      </c>
      <c r="CQ54" s="304">
        <v>143</v>
      </c>
      <c r="CR54" s="304">
        <v>0</v>
      </c>
      <c r="CS54" s="304">
        <v>0</v>
      </c>
      <c r="CT54" s="304">
        <v>0</v>
      </c>
      <c r="CU54" s="304">
        <v>0</v>
      </c>
      <c r="CV54" s="292">
        <f t="shared" si="4"/>
        <v>660</v>
      </c>
      <c r="CW54" s="304">
        <v>0</v>
      </c>
      <c r="CX54" s="304">
        <v>0</v>
      </c>
      <c r="CY54" s="304">
        <v>0</v>
      </c>
      <c r="CZ54" s="304">
        <v>0</v>
      </c>
      <c r="DA54" s="304">
        <v>0</v>
      </c>
      <c r="DB54" s="304">
        <v>0</v>
      </c>
      <c r="DC54" s="304">
        <v>0</v>
      </c>
      <c r="DD54" s="304">
        <v>0</v>
      </c>
      <c r="DE54" s="292">
        <f t="shared" si="5"/>
        <v>0</v>
      </c>
      <c r="DF54" s="304">
        <v>0</v>
      </c>
      <c r="DG54" s="304">
        <v>0</v>
      </c>
      <c r="DH54" s="304">
        <v>0</v>
      </c>
      <c r="DI54" s="304">
        <v>0</v>
      </c>
      <c r="DJ54" s="304">
        <v>0</v>
      </c>
      <c r="DK54" s="304">
        <v>0</v>
      </c>
      <c r="DL54" s="304">
        <v>0</v>
      </c>
      <c r="DM54" s="304">
        <v>0</v>
      </c>
      <c r="DN54" s="320">
        <f t="shared" si="6"/>
        <v>0</v>
      </c>
      <c r="DO54" s="293">
        <f t="shared" si="7"/>
        <v>1108</v>
      </c>
      <c r="DP54" s="303"/>
    </row>
    <row r="55" spans="2:120" ht="251.25" hidden="1" customHeight="1">
      <c r="B55" s="602" t="s">
        <v>173</v>
      </c>
      <c r="C55" s="590" t="s">
        <v>18</v>
      </c>
      <c r="D55" s="592" t="s">
        <v>233</v>
      </c>
      <c r="E55" s="593"/>
      <c r="F55" s="596" t="s">
        <v>234</v>
      </c>
      <c r="G55" s="590">
        <v>1</v>
      </c>
      <c r="H55" s="590" t="s">
        <v>233</v>
      </c>
      <c r="I55" s="603">
        <v>1</v>
      </c>
      <c r="J55" s="332" t="s">
        <v>65</v>
      </c>
      <c r="K55" s="581">
        <v>0</v>
      </c>
      <c r="L55" s="581"/>
      <c r="M55" s="581"/>
      <c r="N55" s="581"/>
      <c r="O55" s="581"/>
      <c r="P55" s="581"/>
      <c r="Q55" s="581"/>
      <c r="R55" s="581"/>
      <c r="S55" s="290">
        <v>0</v>
      </c>
      <c r="T55" s="581">
        <v>0</v>
      </c>
      <c r="U55" s="581"/>
      <c r="V55" s="581"/>
      <c r="W55" s="581"/>
      <c r="X55" s="581"/>
      <c r="Y55" s="581"/>
      <c r="Z55" s="581"/>
      <c r="AA55" s="581"/>
      <c r="AB55" s="330">
        <f t="shared" si="1"/>
        <v>0</v>
      </c>
      <c r="AC55" s="581">
        <v>0</v>
      </c>
      <c r="AD55" s="581"/>
      <c r="AE55" s="581"/>
      <c r="AF55" s="581"/>
      <c r="AG55" s="581"/>
      <c r="AH55" s="581"/>
      <c r="AI55" s="581"/>
      <c r="AJ55" s="581"/>
      <c r="AK55" s="330">
        <f>SUM(AC55)</f>
        <v>0</v>
      </c>
      <c r="AL55" s="583">
        <v>1</v>
      </c>
      <c r="AM55" s="583"/>
      <c r="AN55" s="583"/>
      <c r="AO55" s="583"/>
      <c r="AP55" s="583"/>
      <c r="AQ55" s="583"/>
      <c r="AR55" s="583"/>
      <c r="AS55" s="583"/>
      <c r="AT55" s="331">
        <f t="shared" si="8"/>
        <v>1</v>
      </c>
      <c r="AU55" s="581">
        <v>0</v>
      </c>
      <c r="AV55" s="581"/>
      <c r="AW55" s="581"/>
      <c r="AX55" s="581"/>
      <c r="AY55" s="581"/>
      <c r="AZ55" s="581"/>
      <c r="BA55" s="581"/>
      <c r="BB55" s="581"/>
      <c r="BC55" s="330">
        <f t="shared" si="9"/>
        <v>0</v>
      </c>
      <c r="BD55" s="581">
        <v>0</v>
      </c>
      <c r="BE55" s="581"/>
      <c r="BF55" s="581"/>
      <c r="BG55" s="581"/>
      <c r="BH55" s="581"/>
      <c r="BI55" s="581"/>
      <c r="BJ55" s="581"/>
      <c r="BK55" s="581"/>
      <c r="BL55" s="330">
        <f t="shared" si="10"/>
        <v>0</v>
      </c>
      <c r="BM55" s="583">
        <v>0</v>
      </c>
      <c r="BN55" s="583"/>
      <c r="BO55" s="583"/>
      <c r="BP55" s="583"/>
      <c r="BQ55" s="583"/>
      <c r="BR55" s="583"/>
      <c r="BS55" s="583"/>
      <c r="BT55" s="583"/>
      <c r="BU55" s="331">
        <f t="shared" si="11"/>
        <v>0</v>
      </c>
      <c r="BV55" s="581">
        <v>0</v>
      </c>
      <c r="BW55" s="581"/>
      <c r="BX55" s="581"/>
      <c r="BY55" s="581"/>
      <c r="BZ55" s="581"/>
      <c r="CA55" s="581"/>
      <c r="CB55" s="581"/>
      <c r="CC55" s="581"/>
      <c r="CD55" s="298">
        <f t="shared" si="2"/>
        <v>0</v>
      </c>
      <c r="CE55" s="582">
        <v>0</v>
      </c>
      <c r="CF55" s="582"/>
      <c r="CG55" s="582"/>
      <c r="CH55" s="582"/>
      <c r="CI55" s="582"/>
      <c r="CJ55" s="582"/>
      <c r="CK55" s="582"/>
      <c r="CL55" s="582"/>
      <c r="CM55" s="292">
        <f t="shared" si="3"/>
        <v>0</v>
      </c>
      <c r="CN55" s="582">
        <v>0</v>
      </c>
      <c r="CO55" s="582"/>
      <c r="CP55" s="582"/>
      <c r="CQ55" s="582"/>
      <c r="CR55" s="582"/>
      <c r="CS55" s="582"/>
      <c r="CT55" s="582"/>
      <c r="CU55" s="582"/>
      <c r="CV55" s="292">
        <f t="shared" si="4"/>
        <v>0</v>
      </c>
      <c r="CW55" s="582">
        <v>1</v>
      </c>
      <c r="CX55" s="582"/>
      <c r="CY55" s="582"/>
      <c r="CZ55" s="582"/>
      <c r="DA55" s="582"/>
      <c r="DB55" s="582"/>
      <c r="DC55" s="582"/>
      <c r="DD55" s="582"/>
      <c r="DE55" s="292">
        <f t="shared" si="5"/>
        <v>1</v>
      </c>
      <c r="DF55" s="582">
        <v>0</v>
      </c>
      <c r="DG55" s="582"/>
      <c r="DH55" s="582"/>
      <c r="DI55" s="582"/>
      <c r="DJ55" s="582"/>
      <c r="DK55" s="582"/>
      <c r="DL55" s="582"/>
      <c r="DM55" s="582"/>
      <c r="DN55" s="320">
        <f t="shared" si="6"/>
        <v>0</v>
      </c>
      <c r="DO55" s="293">
        <f t="shared" si="7"/>
        <v>2</v>
      </c>
      <c r="DP55" s="303"/>
    </row>
    <row r="56" spans="2:120" ht="150" customHeight="1">
      <c r="B56" s="602"/>
      <c r="C56" s="591"/>
      <c r="D56" s="594"/>
      <c r="E56" s="595"/>
      <c r="F56" s="597"/>
      <c r="G56" s="591"/>
      <c r="H56" s="591" t="s">
        <v>11</v>
      </c>
      <c r="I56" s="603"/>
      <c r="J56" s="329" t="s">
        <v>66</v>
      </c>
      <c r="K56" s="324"/>
      <c r="L56" s="324"/>
      <c r="M56" s="324"/>
      <c r="N56" s="324"/>
      <c r="O56" s="324"/>
      <c r="P56" s="324"/>
      <c r="Q56" s="324"/>
      <c r="R56" s="324"/>
      <c r="S56" s="290">
        <f t="shared" si="0"/>
        <v>0</v>
      </c>
      <c r="T56" s="324">
        <v>0</v>
      </c>
      <c r="U56" s="324">
        <v>0</v>
      </c>
      <c r="V56" s="324">
        <v>0</v>
      </c>
      <c r="W56" s="324">
        <v>0</v>
      </c>
      <c r="X56" s="324">
        <v>0</v>
      </c>
      <c r="Y56" s="324">
        <v>0</v>
      </c>
      <c r="Z56" s="324">
        <v>0</v>
      </c>
      <c r="AA56" s="324">
        <v>0</v>
      </c>
      <c r="AB56" s="330">
        <f t="shared" si="1"/>
        <v>0</v>
      </c>
      <c r="AC56" s="324"/>
      <c r="AD56" s="324"/>
      <c r="AE56" s="324"/>
      <c r="AF56" s="324"/>
      <c r="AG56" s="324"/>
      <c r="AH56" s="324"/>
      <c r="AI56" s="324"/>
      <c r="AJ56" s="324"/>
      <c r="AK56" s="330">
        <f>SUM(AC56:AJ56)</f>
        <v>0</v>
      </c>
      <c r="AL56" s="297">
        <v>0</v>
      </c>
      <c r="AM56" s="297">
        <v>0</v>
      </c>
      <c r="AN56" s="297">
        <v>0</v>
      </c>
      <c r="AO56" s="297">
        <v>0</v>
      </c>
      <c r="AP56" s="297">
        <v>0</v>
      </c>
      <c r="AQ56" s="297">
        <v>0</v>
      </c>
      <c r="AR56" s="297">
        <v>0</v>
      </c>
      <c r="AS56" s="297">
        <v>0</v>
      </c>
      <c r="AT56" s="331">
        <f t="shared" si="8"/>
        <v>0</v>
      </c>
      <c r="AU56" s="290">
        <v>0</v>
      </c>
      <c r="AV56" s="290">
        <v>0</v>
      </c>
      <c r="AW56" s="290">
        <v>0</v>
      </c>
      <c r="AX56" s="290">
        <v>0</v>
      </c>
      <c r="AY56" s="290">
        <v>0</v>
      </c>
      <c r="AZ56" s="290">
        <v>0</v>
      </c>
      <c r="BA56" s="290">
        <v>0</v>
      </c>
      <c r="BB56" s="290">
        <v>0</v>
      </c>
      <c r="BC56" s="330">
        <f t="shared" si="9"/>
        <v>0</v>
      </c>
      <c r="BD56" s="324">
        <v>0</v>
      </c>
      <c r="BE56" s="324">
        <v>0</v>
      </c>
      <c r="BF56" s="324">
        <v>0</v>
      </c>
      <c r="BG56" s="324">
        <v>0</v>
      </c>
      <c r="BH56" s="324">
        <v>0</v>
      </c>
      <c r="BI56" s="324">
        <v>0</v>
      </c>
      <c r="BJ56" s="324">
        <v>0</v>
      </c>
      <c r="BK56" s="324">
        <v>0</v>
      </c>
      <c r="BL56" s="330">
        <f t="shared" si="10"/>
        <v>0</v>
      </c>
      <c r="BM56" s="319">
        <v>0</v>
      </c>
      <c r="BN56" s="319">
        <v>0</v>
      </c>
      <c r="BO56" s="319">
        <v>0</v>
      </c>
      <c r="BP56" s="319">
        <v>0</v>
      </c>
      <c r="BQ56" s="319">
        <v>0</v>
      </c>
      <c r="BR56" s="319">
        <v>0</v>
      </c>
      <c r="BS56" s="319">
        <v>0</v>
      </c>
      <c r="BT56" s="319">
        <v>0</v>
      </c>
      <c r="BU56" s="331">
        <f t="shared" si="11"/>
        <v>0</v>
      </c>
      <c r="BV56" s="324">
        <v>0</v>
      </c>
      <c r="BW56" s="324">
        <v>0</v>
      </c>
      <c r="BX56" s="324">
        <v>0</v>
      </c>
      <c r="BY56" s="324">
        <v>0</v>
      </c>
      <c r="BZ56" s="324">
        <v>0</v>
      </c>
      <c r="CA56" s="324">
        <v>0</v>
      </c>
      <c r="CB56" s="324">
        <v>0</v>
      </c>
      <c r="CC56" s="324">
        <v>0</v>
      </c>
      <c r="CD56" s="298">
        <f t="shared" si="2"/>
        <v>0</v>
      </c>
      <c r="CE56" s="304">
        <v>0</v>
      </c>
      <c r="CF56" s="304">
        <v>0</v>
      </c>
      <c r="CG56" s="304">
        <v>0</v>
      </c>
      <c r="CH56" s="304">
        <v>0</v>
      </c>
      <c r="CI56" s="304">
        <v>0</v>
      </c>
      <c r="CJ56" s="304">
        <v>0</v>
      </c>
      <c r="CK56" s="304">
        <v>0</v>
      </c>
      <c r="CL56" s="304">
        <v>0</v>
      </c>
      <c r="CM56" s="292">
        <f t="shared" si="3"/>
        <v>0</v>
      </c>
      <c r="CN56" s="304">
        <v>0</v>
      </c>
      <c r="CO56" s="304">
        <v>0</v>
      </c>
      <c r="CP56" s="304">
        <v>0</v>
      </c>
      <c r="CQ56" s="304">
        <v>0</v>
      </c>
      <c r="CR56" s="304">
        <v>0</v>
      </c>
      <c r="CS56" s="304">
        <v>0</v>
      </c>
      <c r="CT56" s="304">
        <v>0</v>
      </c>
      <c r="CU56" s="304">
        <v>0</v>
      </c>
      <c r="CV56" s="292">
        <f t="shared" si="4"/>
        <v>0</v>
      </c>
      <c r="CW56" s="304">
        <v>0</v>
      </c>
      <c r="CX56" s="304">
        <v>0</v>
      </c>
      <c r="CY56" s="304">
        <v>0</v>
      </c>
      <c r="CZ56" s="304">
        <v>0</v>
      </c>
      <c r="DA56" s="304">
        <v>0</v>
      </c>
      <c r="DB56" s="304">
        <v>0</v>
      </c>
      <c r="DC56" s="304">
        <v>0</v>
      </c>
      <c r="DD56" s="304">
        <v>0</v>
      </c>
      <c r="DE56" s="292">
        <f t="shared" si="5"/>
        <v>0</v>
      </c>
      <c r="DF56" s="304">
        <v>0</v>
      </c>
      <c r="DG56" s="304">
        <v>0</v>
      </c>
      <c r="DH56" s="304">
        <v>0</v>
      </c>
      <c r="DI56" s="304">
        <v>0</v>
      </c>
      <c r="DJ56" s="304">
        <v>0</v>
      </c>
      <c r="DK56" s="304">
        <v>0</v>
      </c>
      <c r="DL56" s="304">
        <v>0</v>
      </c>
      <c r="DM56" s="304">
        <v>0</v>
      </c>
      <c r="DN56" s="320">
        <f t="shared" si="6"/>
        <v>0</v>
      </c>
      <c r="DO56" s="293">
        <f t="shared" si="7"/>
        <v>0</v>
      </c>
      <c r="DP56" s="333"/>
    </row>
    <row r="57" spans="2:120" ht="150" hidden="1" customHeight="1">
      <c r="B57" s="588" t="s">
        <v>161</v>
      </c>
      <c r="C57" s="590" t="s">
        <v>12</v>
      </c>
      <c r="D57" s="592" t="s">
        <v>235</v>
      </c>
      <c r="E57" s="593"/>
      <c r="F57" s="596" t="s">
        <v>236</v>
      </c>
      <c r="G57" s="590">
        <v>1</v>
      </c>
      <c r="H57" s="590" t="s">
        <v>235</v>
      </c>
      <c r="I57" s="600">
        <v>1</v>
      </c>
      <c r="J57" s="334" t="s">
        <v>65</v>
      </c>
      <c r="K57" s="581">
        <v>0</v>
      </c>
      <c r="L57" s="581"/>
      <c r="M57" s="581"/>
      <c r="N57" s="581"/>
      <c r="O57" s="581"/>
      <c r="P57" s="581"/>
      <c r="Q57" s="581"/>
      <c r="R57" s="581"/>
      <c r="S57" s="330">
        <f t="shared" si="0"/>
        <v>0</v>
      </c>
      <c r="T57" s="581">
        <v>1</v>
      </c>
      <c r="U57" s="581"/>
      <c r="V57" s="581"/>
      <c r="W57" s="581"/>
      <c r="X57" s="581"/>
      <c r="Y57" s="581"/>
      <c r="Z57" s="581"/>
      <c r="AA57" s="581"/>
      <c r="AB57" s="330">
        <f t="shared" si="1"/>
        <v>1</v>
      </c>
      <c r="AC57" s="581">
        <v>0</v>
      </c>
      <c r="AD57" s="581"/>
      <c r="AE57" s="581"/>
      <c r="AF57" s="581"/>
      <c r="AG57" s="581"/>
      <c r="AH57" s="581"/>
      <c r="AI57" s="581"/>
      <c r="AJ57" s="581"/>
      <c r="AK57" s="330">
        <f>SUM(AC57)</f>
        <v>0</v>
      </c>
      <c r="AL57" s="583">
        <v>0</v>
      </c>
      <c r="AM57" s="583"/>
      <c r="AN57" s="583"/>
      <c r="AO57" s="583"/>
      <c r="AP57" s="583"/>
      <c r="AQ57" s="583"/>
      <c r="AR57" s="583"/>
      <c r="AS57" s="583"/>
      <c r="AT57" s="331">
        <f t="shared" si="8"/>
        <v>0</v>
      </c>
      <c r="AU57" s="581">
        <v>0</v>
      </c>
      <c r="AV57" s="581"/>
      <c r="AW57" s="581"/>
      <c r="AX57" s="581"/>
      <c r="AY57" s="581"/>
      <c r="AZ57" s="581"/>
      <c r="BA57" s="581"/>
      <c r="BB57" s="581"/>
      <c r="BC57" s="330">
        <f t="shared" si="9"/>
        <v>0</v>
      </c>
      <c r="BD57" s="581">
        <v>0</v>
      </c>
      <c r="BE57" s="581"/>
      <c r="BF57" s="581"/>
      <c r="BG57" s="581"/>
      <c r="BH57" s="581"/>
      <c r="BI57" s="581"/>
      <c r="BJ57" s="581"/>
      <c r="BK57" s="581"/>
      <c r="BL57" s="330">
        <f t="shared" si="10"/>
        <v>0</v>
      </c>
      <c r="BM57" s="583">
        <v>0</v>
      </c>
      <c r="BN57" s="583"/>
      <c r="BO57" s="583"/>
      <c r="BP57" s="583"/>
      <c r="BQ57" s="583"/>
      <c r="BR57" s="583"/>
      <c r="BS57" s="583"/>
      <c r="BT57" s="583"/>
      <c r="BU57" s="331">
        <f t="shared" si="11"/>
        <v>0</v>
      </c>
      <c r="BV57" s="581">
        <v>0</v>
      </c>
      <c r="BW57" s="581"/>
      <c r="BX57" s="581"/>
      <c r="BY57" s="581"/>
      <c r="BZ57" s="581"/>
      <c r="CA57" s="581"/>
      <c r="CB57" s="581"/>
      <c r="CC57" s="581"/>
      <c r="CD57" s="298">
        <f t="shared" si="2"/>
        <v>0</v>
      </c>
      <c r="CE57" s="582">
        <v>0</v>
      </c>
      <c r="CF57" s="582"/>
      <c r="CG57" s="582"/>
      <c r="CH57" s="582"/>
      <c r="CI57" s="582"/>
      <c r="CJ57" s="582"/>
      <c r="CK57" s="582"/>
      <c r="CL57" s="582"/>
      <c r="CM57" s="292">
        <f t="shared" si="3"/>
        <v>0</v>
      </c>
      <c r="CN57" s="582">
        <v>0</v>
      </c>
      <c r="CO57" s="582"/>
      <c r="CP57" s="582"/>
      <c r="CQ57" s="582"/>
      <c r="CR57" s="582"/>
      <c r="CS57" s="582"/>
      <c r="CT57" s="582"/>
      <c r="CU57" s="582"/>
      <c r="CV57" s="292">
        <f t="shared" si="4"/>
        <v>0</v>
      </c>
      <c r="CW57" s="582">
        <v>0</v>
      </c>
      <c r="CX57" s="582"/>
      <c r="CY57" s="582"/>
      <c r="CZ57" s="582"/>
      <c r="DA57" s="582"/>
      <c r="DB57" s="582"/>
      <c r="DC57" s="582"/>
      <c r="DD57" s="582"/>
      <c r="DE57" s="292">
        <f t="shared" si="5"/>
        <v>0</v>
      </c>
      <c r="DF57" s="582">
        <v>0</v>
      </c>
      <c r="DG57" s="582"/>
      <c r="DH57" s="582"/>
      <c r="DI57" s="582"/>
      <c r="DJ57" s="582"/>
      <c r="DK57" s="582"/>
      <c r="DL57" s="582"/>
      <c r="DM57" s="582"/>
      <c r="DN57" s="320">
        <f t="shared" si="6"/>
        <v>0</v>
      </c>
      <c r="DO57" s="293">
        <f t="shared" si="7"/>
        <v>1</v>
      </c>
      <c r="DP57" s="303"/>
    </row>
    <row r="58" spans="2:120" ht="150" customHeight="1">
      <c r="B58" s="589"/>
      <c r="C58" s="591"/>
      <c r="D58" s="594"/>
      <c r="E58" s="595"/>
      <c r="F58" s="597"/>
      <c r="G58" s="591"/>
      <c r="H58" s="591"/>
      <c r="I58" s="601"/>
      <c r="J58" s="335" t="s">
        <v>66</v>
      </c>
      <c r="K58" s="581">
        <v>0</v>
      </c>
      <c r="L58" s="581"/>
      <c r="M58" s="581"/>
      <c r="N58" s="581"/>
      <c r="O58" s="581"/>
      <c r="P58" s="581"/>
      <c r="Q58" s="581"/>
      <c r="R58" s="581"/>
      <c r="S58" s="330">
        <f t="shared" si="0"/>
        <v>0</v>
      </c>
      <c r="T58" s="581">
        <v>1</v>
      </c>
      <c r="U58" s="581"/>
      <c r="V58" s="581"/>
      <c r="W58" s="581"/>
      <c r="X58" s="581"/>
      <c r="Y58" s="581"/>
      <c r="Z58" s="581"/>
      <c r="AA58" s="581"/>
      <c r="AB58" s="330">
        <f t="shared" si="1"/>
        <v>1</v>
      </c>
      <c r="AC58" s="581">
        <v>0</v>
      </c>
      <c r="AD58" s="581"/>
      <c r="AE58" s="581"/>
      <c r="AF58" s="581"/>
      <c r="AG58" s="581"/>
      <c r="AH58" s="581"/>
      <c r="AI58" s="581"/>
      <c r="AJ58" s="581"/>
      <c r="AK58" s="330">
        <f>SUM(AC58)</f>
        <v>0</v>
      </c>
      <c r="AL58" s="583">
        <v>0</v>
      </c>
      <c r="AM58" s="583"/>
      <c r="AN58" s="583"/>
      <c r="AO58" s="583"/>
      <c r="AP58" s="583"/>
      <c r="AQ58" s="583"/>
      <c r="AR58" s="583"/>
      <c r="AS58" s="583"/>
      <c r="AT58" s="331">
        <f t="shared" si="8"/>
        <v>0</v>
      </c>
      <c r="AU58" s="581">
        <v>0</v>
      </c>
      <c r="AV58" s="581"/>
      <c r="AW58" s="581"/>
      <c r="AX58" s="581"/>
      <c r="AY58" s="581"/>
      <c r="AZ58" s="581"/>
      <c r="BA58" s="581"/>
      <c r="BB58" s="581"/>
      <c r="BC58" s="330">
        <f t="shared" si="9"/>
        <v>0</v>
      </c>
      <c r="BD58" s="581">
        <v>0</v>
      </c>
      <c r="BE58" s="581"/>
      <c r="BF58" s="581"/>
      <c r="BG58" s="581"/>
      <c r="BH58" s="581"/>
      <c r="BI58" s="581"/>
      <c r="BJ58" s="581"/>
      <c r="BK58" s="581"/>
      <c r="BL58" s="330">
        <f t="shared" si="10"/>
        <v>0</v>
      </c>
      <c r="BM58" s="583">
        <v>0</v>
      </c>
      <c r="BN58" s="583"/>
      <c r="BO58" s="583"/>
      <c r="BP58" s="583"/>
      <c r="BQ58" s="583"/>
      <c r="BR58" s="583"/>
      <c r="BS58" s="583"/>
      <c r="BT58" s="583"/>
      <c r="BU58" s="331">
        <f t="shared" si="11"/>
        <v>0</v>
      </c>
      <c r="BV58" s="581">
        <v>0</v>
      </c>
      <c r="BW58" s="581"/>
      <c r="BX58" s="581"/>
      <c r="BY58" s="581"/>
      <c r="BZ58" s="581"/>
      <c r="CA58" s="581"/>
      <c r="CB58" s="581"/>
      <c r="CC58" s="581"/>
      <c r="CD58" s="298">
        <f t="shared" si="2"/>
        <v>0</v>
      </c>
      <c r="CE58" s="582">
        <v>0</v>
      </c>
      <c r="CF58" s="582"/>
      <c r="CG58" s="582"/>
      <c r="CH58" s="582"/>
      <c r="CI58" s="582"/>
      <c r="CJ58" s="582"/>
      <c r="CK58" s="582"/>
      <c r="CL58" s="582"/>
      <c r="CM58" s="292">
        <f t="shared" si="3"/>
        <v>0</v>
      </c>
      <c r="CN58" s="582">
        <v>0</v>
      </c>
      <c r="CO58" s="582"/>
      <c r="CP58" s="582"/>
      <c r="CQ58" s="582"/>
      <c r="CR58" s="582"/>
      <c r="CS58" s="582"/>
      <c r="CT58" s="582"/>
      <c r="CU58" s="582"/>
      <c r="CV58" s="292">
        <f t="shared" si="4"/>
        <v>0</v>
      </c>
      <c r="CW58" s="582">
        <v>0</v>
      </c>
      <c r="CX58" s="582"/>
      <c r="CY58" s="582"/>
      <c r="CZ58" s="582"/>
      <c r="DA58" s="582"/>
      <c r="DB58" s="582"/>
      <c r="DC58" s="582"/>
      <c r="DD58" s="582"/>
      <c r="DE58" s="292">
        <f t="shared" si="5"/>
        <v>0</v>
      </c>
      <c r="DF58" s="582">
        <v>0</v>
      </c>
      <c r="DG58" s="582"/>
      <c r="DH58" s="582"/>
      <c r="DI58" s="582"/>
      <c r="DJ58" s="582"/>
      <c r="DK58" s="582"/>
      <c r="DL58" s="582"/>
      <c r="DM58" s="582"/>
      <c r="DN58" s="320">
        <f t="shared" si="6"/>
        <v>0</v>
      </c>
      <c r="DO58" s="293">
        <f t="shared" si="7"/>
        <v>1</v>
      </c>
      <c r="DP58" s="333"/>
    </row>
    <row r="59" spans="2:120" ht="150" hidden="1" customHeight="1">
      <c r="B59" s="588" t="s">
        <v>163</v>
      </c>
      <c r="C59" s="590" t="s">
        <v>13</v>
      </c>
      <c r="D59" s="592" t="s">
        <v>237</v>
      </c>
      <c r="E59" s="593"/>
      <c r="F59" s="596" t="s">
        <v>238</v>
      </c>
      <c r="G59" s="598">
        <v>1</v>
      </c>
      <c r="H59" s="598" t="s">
        <v>239</v>
      </c>
      <c r="I59" s="599">
        <v>1</v>
      </c>
      <c r="J59" s="334" t="s">
        <v>65</v>
      </c>
      <c r="K59" s="581">
        <v>0</v>
      </c>
      <c r="L59" s="581"/>
      <c r="M59" s="581"/>
      <c r="N59" s="581"/>
      <c r="O59" s="581"/>
      <c r="P59" s="581"/>
      <c r="Q59" s="581"/>
      <c r="R59" s="581"/>
      <c r="S59" s="330">
        <f t="shared" si="0"/>
        <v>0</v>
      </c>
      <c r="T59" s="581">
        <v>0</v>
      </c>
      <c r="U59" s="581"/>
      <c r="V59" s="581"/>
      <c r="W59" s="581"/>
      <c r="X59" s="581"/>
      <c r="Y59" s="581"/>
      <c r="Z59" s="581"/>
      <c r="AA59" s="581"/>
      <c r="AB59" s="330">
        <f t="shared" si="1"/>
        <v>0</v>
      </c>
      <c r="AC59" s="581">
        <v>0</v>
      </c>
      <c r="AD59" s="581"/>
      <c r="AE59" s="581"/>
      <c r="AF59" s="581"/>
      <c r="AG59" s="581"/>
      <c r="AH59" s="581"/>
      <c r="AI59" s="581"/>
      <c r="AJ59" s="581"/>
      <c r="AK59" s="330">
        <f>SUM(AC59)</f>
        <v>0</v>
      </c>
      <c r="AL59" s="583">
        <v>0</v>
      </c>
      <c r="AM59" s="583"/>
      <c r="AN59" s="583"/>
      <c r="AO59" s="583"/>
      <c r="AP59" s="583"/>
      <c r="AQ59" s="583"/>
      <c r="AR59" s="583"/>
      <c r="AS59" s="583"/>
      <c r="AT59" s="331">
        <f t="shared" si="8"/>
        <v>0</v>
      </c>
      <c r="AU59" s="581">
        <v>0</v>
      </c>
      <c r="AV59" s="581"/>
      <c r="AW59" s="581"/>
      <c r="AX59" s="581"/>
      <c r="AY59" s="581"/>
      <c r="AZ59" s="581"/>
      <c r="BA59" s="581"/>
      <c r="BB59" s="581"/>
      <c r="BC59" s="330">
        <f t="shared" si="9"/>
        <v>0</v>
      </c>
      <c r="BD59" s="581">
        <v>0</v>
      </c>
      <c r="BE59" s="581"/>
      <c r="BF59" s="581"/>
      <c r="BG59" s="581"/>
      <c r="BH59" s="581"/>
      <c r="BI59" s="581"/>
      <c r="BJ59" s="581"/>
      <c r="BK59" s="581"/>
      <c r="BL59" s="330">
        <f t="shared" si="10"/>
        <v>0</v>
      </c>
      <c r="BM59" s="583">
        <v>0</v>
      </c>
      <c r="BN59" s="583"/>
      <c r="BO59" s="583"/>
      <c r="BP59" s="583"/>
      <c r="BQ59" s="583"/>
      <c r="BR59" s="583"/>
      <c r="BS59" s="583"/>
      <c r="BT59" s="583"/>
      <c r="BU59" s="331">
        <f t="shared" si="11"/>
        <v>0</v>
      </c>
      <c r="BV59" s="581">
        <v>660</v>
      </c>
      <c r="BW59" s="581"/>
      <c r="BX59" s="581"/>
      <c r="BY59" s="581"/>
      <c r="BZ59" s="581"/>
      <c r="CA59" s="581"/>
      <c r="CB59" s="581"/>
      <c r="CC59" s="581"/>
      <c r="CD59" s="298">
        <f t="shared" si="2"/>
        <v>660</v>
      </c>
      <c r="CE59" s="582">
        <v>0</v>
      </c>
      <c r="CF59" s="582"/>
      <c r="CG59" s="582"/>
      <c r="CH59" s="582"/>
      <c r="CI59" s="582"/>
      <c r="CJ59" s="582"/>
      <c r="CK59" s="582"/>
      <c r="CL59" s="582"/>
      <c r="CM59" s="292">
        <f t="shared" si="3"/>
        <v>0</v>
      </c>
      <c r="CN59" s="582">
        <v>0</v>
      </c>
      <c r="CO59" s="582"/>
      <c r="CP59" s="582"/>
      <c r="CQ59" s="582"/>
      <c r="CR59" s="582"/>
      <c r="CS59" s="582"/>
      <c r="CT59" s="582"/>
      <c r="CU59" s="582"/>
      <c r="CV59" s="292">
        <f t="shared" si="4"/>
        <v>0</v>
      </c>
      <c r="CW59" s="582">
        <v>0</v>
      </c>
      <c r="CX59" s="582"/>
      <c r="CY59" s="582"/>
      <c r="CZ59" s="582"/>
      <c r="DA59" s="582"/>
      <c r="DB59" s="582"/>
      <c r="DC59" s="582"/>
      <c r="DD59" s="582"/>
      <c r="DE59" s="292">
        <f t="shared" si="5"/>
        <v>0</v>
      </c>
      <c r="DF59" s="582">
        <v>0</v>
      </c>
      <c r="DG59" s="582"/>
      <c r="DH59" s="582"/>
      <c r="DI59" s="582"/>
      <c r="DJ59" s="582"/>
      <c r="DK59" s="582"/>
      <c r="DL59" s="582"/>
      <c r="DM59" s="582"/>
      <c r="DN59" s="320">
        <f t="shared" si="6"/>
        <v>0</v>
      </c>
      <c r="DO59" s="293">
        <f t="shared" si="7"/>
        <v>660</v>
      </c>
      <c r="DP59" s="303"/>
    </row>
    <row r="60" spans="2:120" ht="150" customHeight="1">
      <c r="B60" s="589"/>
      <c r="C60" s="591"/>
      <c r="D60" s="594"/>
      <c r="E60" s="595"/>
      <c r="F60" s="597"/>
      <c r="G60" s="598"/>
      <c r="H60" s="598"/>
      <c r="I60" s="599"/>
      <c r="J60" s="335" t="s">
        <v>66</v>
      </c>
      <c r="K60" s="581">
        <v>0</v>
      </c>
      <c r="L60" s="581"/>
      <c r="M60" s="581"/>
      <c r="N60" s="581"/>
      <c r="O60" s="581"/>
      <c r="P60" s="581"/>
      <c r="Q60" s="581"/>
      <c r="R60" s="581"/>
      <c r="S60" s="330">
        <f t="shared" si="0"/>
        <v>0</v>
      </c>
      <c r="T60" s="581">
        <v>0</v>
      </c>
      <c r="U60" s="581"/>
      <c r="V60" s="581"/>
      <c r="W60" s="581"/>
      <c r="X60" s="581"/>
      <c r="Y60" s="581"/>
      <c r="Z60" s="581"/>
      <c r="AA60" s="581"/>
      <c r="AB60" s="330">
        <f t="shared" si="1"/>
        <v>0</v>
      </c>
      <c r="AC60" s="581">
        <v>0</v>
      </c>
      <c r="AD60" s="581"/>
      <c r="AE60" s="581"/>
      <c r="AF60" s="581"/>
      <c r="AG60" s="581"/>
      <c r="AH60" s="581"/>
      <c r="AI60" s="581"/>
      <c r="AJ60" s="581"/>
      <c r="AK60" s="330">
        <f>SUM(AC60)</f>
        <v>0</v>
      </c>
      <c r="AL60" s="583">
        <v>0</v>
      </c>
      <c r="AM60" s="583"/>
      <c r="AN60" s="583"/>
      <c r="AO60" s="583"/>
      <c r="AP60" s="583"/>
      <c r="AQ60" s="583"/>
      <c r="AR60" s="583"/>
      <c r="AS60" s="583"/>
      <c r="AT60" s="331">
        <f t="shared" si="8"/>
        <v>0</v>
      </c>
      <c r="AU60" s="581">
        <v>0</v>
      </c>
      <c r="AV60" s="581"/>
      <c r="AW60" s="581"/>
      <c r="AX60" s="581"/>
      <c r="AY60" s="581"/>
      <c r="AZ60" s="581"/>
      <c r="BA60" s="581"/>
      <c r="BB60" s="581"/>
      <c r="BC60" s="330">
        <f t="shared" si="9"/>
        <v>0</v>
      </c>
      <c r="BD60" s="581">
        <v>0</v>
      </c>
      <c r="BE60" s="581"/>
      <c r="BF60" s="581"/>
      <c r="BG60" s="581"/>
      <c r="BH60" s="581"/>
      <c r="BI60" s="581"/>
      <c r="BJ60" s="581"/>
      <c r="BK60" s="581"/>
      <c r="BL60" s="330">
        <f t="shared" si="10"/>
        <v>0</v>
      </c>
      <c r="BM60" s="583">
        <v>0</v>
      </c>
      <c r="BN60" s="583"/>
      <c r="BO60" s="583"/>
      <c r="BP60" s="583"/>
      <c r="BQ60" s="583"/>
      <c r="BR60" s="583"/>
      <c r="BS60" s="583"/>
      <c r="BT60" s="583"/>
      <c r="BU60" s="331">
        <f t="shared" si="11"/>
        <v>0</v>
      </c>
      <c r="BV60" s="581">
        <v>0</v>
      </c>
      <c r="BW60" s="581"/>
      <c r="BX60" s="581"/>
      <c r="BY60" s="581"/>
      <c r="BZ60" s="581"/>
      <c r="CA60" s="581"/>
      <c r="CB60" s="581"/>
      <c r="CC60" s="581"/>
      <c r="CD60" s="298">
        <f t="shared" si="2"/>
        <v>0</v>
      </c>
      <c r="CE60" s="582">
        <v>0</v>
      </c>
      <c r="CF60" s="582"/>
      <c r="CG60" s="582"/>
      <c r="CH60" s="582"/>
      <c r="CI60" s="582"/>
      <c r="CJ60" s="582"/>
      <c r="CK60" s="582"/>
      <c r="CL60" s="582"/>
      <c r="CM60" s="292">
        <f t="shared" si="3"/>
        <v>0</v>
      </c>
      <c r="CN60" s="582">
        <v>0</v>
      </c>
      <c r="CO60" s="582"/>
      <c r="CP60" s="582"/>
      <c r="CQ60" s="582"/>
      <c r="CR60" s="582"/>
      <c r="CS60" s="582"/>
      <c r="CT60" s="582"/>
      <c r="CU60" s="582"/>
      <c r="CV60" s="292">
        <f t="shared" si="4"/>
        <v>0</v>
      </c>
      <c r="CW60" s="582">
        <v>0</v>
      </c>
      <c r="CX60" s="582"/>
      <c r="CY60" s="582"/>
      <c r="CZ60" s="582"/>
      <c r="DA60" s="582"/>
      <c r="DB60" s="582"/>
      <c r="DC60" s="582"/>
      <c r="DD60" s="582"/>
      <c r="DE60" s="292">
        <f t="shared" si="5"/>
        <v>0</v>
      </c>
      <c r="DF60" s="582">
        <v>0</v>
      </c>
      <c r="DG60" s="582"/>
      <c r="DH60" s="582"/>
      <c r="DI60" s="582"/>
      <c r="DJ60" s="582"/>
      <c r="DK60" s="582"/>
      <c r="DL60" s="582"/>
      <c r="DM60" s="582"/>
      <c r="DN60" s="320">
        <f t="shared" si="6"/>
        <v>0</v>
      </c>
      <c r="DO60" s="293">
        <f t="shared" si="7"/>
        <v>0</v>
      </c>
      <c r="DP60" s="333"/>
    </row>
    <row r="61" spans="2:120" ht="92.25">
      <c r="CD61" s="336"/>
      <c r="CM61" s="298">
        <f>SUM(CF61:CL61)</f>
        <v>0</v>
      </c>
    </row>
    <row r="66" spans="2:10">
      <c r="B66" s="584" t="s">
        <v>240</v>
      </c>
      <c r="C66" s="584"/>
      <c r="G66" s="584" t="s">
        <v>241</v>
      </c>
      <c r="H66" s="584"/>
      <c r="I66" s="584"/>
      <c r="J66" s="584"/>
    </row>
    <row r="67" spans="2:10">
      <c r="B67" s="584"/>
      <c r="C67" s="584"/>
      <c r="G67" s="584"/>
      <c r="H67" s="584"/>
      <c r="I67" s="584"/>
      <c r="J67" s="584"/>
    </row>
    <row r="68" spans="2:10">
      <c r="B68" s="584"/>
      <c r="C68" s="584"/>
      <c r="G68" s="584"/>
      <c r="H68" s="584"/>
      <c r="I68" s="584"/>
      <c r="J68" s="584"/>
    </row>
    <row r="69" spans="2:10">
      <c r="B69" s="584"/>
      <c r="C69" s="584"/>
      <c r="G69" s="584"/>
      <c r="H69" s="584"/>
      <c r="I69" s="584"/>
      <c r="J69" s="584"/>
    </row>
    <row r="70" spans="2:10">
      <c r="G70" s="585"/>
      <c r="H70" s="585"/>
      <c r="I70" s="585"/>
      <c r="J70" s="585"/>
    </row>
    <row r="71" spans="2:10" ht="78.75" customHeight="1">
      <c r="B71" s="586" t="s">
        <v>70</v>
      </c>
      <c r="C71" s="587"/>
      <c r="G71" s="586" t="s">
        <v>71</v>
      </c>
      <c r="H71" s="586"/>
      <c r="I71" s="586"/>
      <c r="J71" s="587"/>
    </row>
    <row r="72" spans="2:10" ht="33.75" customHeight="1"/>
  </sheetData>
  <mergeCells count="582">
    <mergeCell ref="B2:DP3"/>
    <mergeCell ref="B4:E4"/>
    <mergeCell ref="B5:E5"/>
    <mergeCell ref="B6:E6"/>
    <mergeCell ref="B7:E7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H11:H14"/>
    <mergeCell ref="DF11:DN13"/>
    <mergeCell ref="DO11:DO14"/>
    <mergeCell ref="DP11:DP14"/>
    <mergeCell ref="J13:J14"/>
    <mergeCell ref="CE11:CM13"/>
    <mergeCell ref="CN11:CV13"/>
    <mergeCell ref="CW11:DE13"/>
    <mergeCell ref="B15:B16"/>
    <mergeCell ref="C15:C16"/>
    <mergeCell ref="D15:E16"/>
    <mergeCell ref="F15:F16"/>
    <mergeCell ref="G15:G16"/>
    <mergeCell ref="H15:H16"/>
    <mergeCell ref="BD11:BL13"/>
    <mergeCell ref="BM11:BU13"/>
    <mergeCell ref="BV11:CD13"/>
    <mergeCell ref="I11:I14"/>
    <mergeCell ref="K11:S13"/>
    <mergeCell ref="T11:AB13"/>
    <mergeCell ref="AC11:AK13"/>
    <mergeCell ref="AL11:AT13"/>
    <mergeCell ref="AU11:BC13"/>
    <mergeCell ref="DF15:DM15"/>
    <mergeCell ref="B17:B18"/>
    <mergeCell ref="C17:C18"/>
    <mergeCell ref="D17:E18"/>
    <mergeCell ref="F17:F18"/>
    <mergeCell ref="G17:G18"/>
    <mergeCell ref="H17:H18"/>
    <mergeCell ref="I17:I18"/>
    <mergeCell ref="K17:R17"/>
    <mergeCell ref="T17:AA17"/>
    <mergeCell ref="BD15:BK15"/>
    <mergeCell ref="BM15:BT15"/>
    <mergeCell ref="BV15:CC15"/>
    <mergeCell ref="CE15:CL15"/>
    <mergeCell ref="CN15:CU15"/>
    <mergeCell ref="CW15:DD15"/>
    <mergeCell ref="I15:I16"/>
    <mergeCell ref="K15:R15"/>
    <mergeCell ref="T15:AA15"/>
    <mergeCell ref="AC15:AJ15"/>
    <mergeCell ref="AL15:AS15"/>
    <mergeCell ref="AU15:BB15"/>
    <mergeCell ref="CE17:CL17"/>
    <mergeCell ref="CN17:CU17"/>
    <mergeCell ref="CW17:DD17"/>
    <mergeCell ref="DF17:DM17"/>
    <mergeCell ref="B19:B20"/>
    <mergeCell ref="C19:C20"/>
    <mergeCell ref="D19:E20"/>
    <mergeCell ref="F19:F20"/>
    <mergeCell ref="G19:G20"/>
    <mergeCell ref="H19:H20"/>
    <mergeCell ref="AC17:AJ17"/>
    <mergeCell ref="AL17:AS17"/>
    <mergeCell ref="AU17:BB17"/>
    <mergeCell ref="BD17:BK17"/>
    <mergeCell ref="BM17:BT17"/>
    <mergeCell ref="BV17:CC17"/>
    <mergeCell ref="DF19:DM19"/>
    <mergeCell ref="BD19:BK19"/>
    <mergeCell ref="BM19:BT19"/>
    <mergeCell ref="BV19:CC19"/>
    <mergeCell ref="CE19:CL19"/>
    <mergeCell ref="CN19:CU19"/>
    <mergeCell ref="CW19:DD19"/>
    <mergeCell ref="I19:I20"/>
    <mergeCell ref="K19:R19"/>
    <mergeCell ref="T19:AA19"/>
    <mergeCell ref="B21:B22"/>
    <mergeCell ref="C21:C22"/>
    <mergeCell ref="D21:E22"/>
    <mergeCell ref="F21:F22"/>
    <mergeCell ref="G21:G22"/>
    <mergeCell ref="H21:H22"/>
    <mergeCell ref="I21:I22"/>
    <mergeCell ref="K21:R21"/>
    <mergeCell ref="T21:AA21"/>
    <mergeCell ref="AC19:AJ19"/>
    <mergeCell ref="AL19:AS19"/>
    <mergeCell ref="AU19:BB19"/>
    <mergeCell ref="CE21:CL21"/>
    <mergeCell ref="CN21:CU21"/>
    <mergeCell ref="CW21:DD21"/>
    <mergeCell ref="DF21:DM21"/>
    <mergeCell ref="B23:B24"/>
    <mergeCell ref="C23:C24"/>
    <mergeCell ref="D23:E24"/>
    <mergeCell ref="F23:F24"/>
    <mergeCell ref="G23:G24"/>
    <mergeCell ref="H23:H24"/>
    <mergeCell ref="AC21:AJ21"/>
    <mergeCell ref="AL21:AS21"/>
    <mergeCell ref="AU21:BB21"/>
    <mergeCell ref="BD21:BK21"/>
    <mergeCell ref="BM21:BT21"/>
    <mergeCell ref="BV21:CC21"/>
    <mergeCell ref="DF23:DM23"/>
    <mergeCell ref="BD23:BK23"/>
    <mergeCell ref="BM23:BT23"/>
    <mergeCell ref="BV23:CC23"/>
    <mergeCell ref="CE23:CL23"/>
    <mergeCell ref="B25:B26"/>
    <mergeCell ref="C25:C26"/>
    <mergeCell ref="D25:E26"/>
    <mergeCell ref="F25:F26"/>
    <mergeCell ref="G25:G26"/>
    <mergeCell ref="H25:H26"/>
    <mergeCell ref="I25:I26"/>
    <mergeCell ref="K25:R25"/>
    <mergeCell ref="T25:AA25"/>
    <mergeCell ref="CN23:CU23"/>
    <mergeCell ref="CW23:DD23"/>
    <mergeCell ref="I23:I24"/>
    <mergeCell ref="K23:R23"/>
    <mergeCell ref="T23:AA23"/>
    <mergeCell ref="AC23:AJ23"/>
    <mergeCell ref="AL23:AS23"/>
    <mergeCell ref="AU23:BB23"/>
    <mergeCell ref="CE25:CL25"/>
    <mergeCell ref="CN25:CU25"/>
    <mergeCell ref="CW25:DD25"/>
    <mergeCell ref="DF25:DM25"/>
    <mergeCell ref="B27:B28"/>
    <mergeCell ref="C27:C28"/>
    <mergeCell ref="D27:E28"/>
    <mergeCell ref="F27:F28"/>
    <mergeCell ref="G27:G28"/>
    <mergeCell ref="H27:H28"/>
    <mergeCell ref="AC25:AJ25"/>
    <mergeCell ref="AL25:AS25"/>
    <mergeCell ref="AU25:BB25"/>
    <mergeCell ref="BD25:BK25"/>
    <mergeCell ref="BM25:BT25"/>
    <mergeCell ref="BV25:CC25"/>
    <mergeCell ref="DF27:DM27"/>
    <mergeCell ref="BD27:BK27"/>
    <mergeCell ref="BM27:BT27"/>
    <mergeCell ref="BV27:CC27"/>
    <mergeCell ref="CE27:CL27"/>
    <mergeCell ref="CN27:CU27"/>
    <mergeCell ref="CW27:DD27"/>
    <mergeCell ref="I27:I28"/>
    <mergeCell ref="K27:R27"/>
    <mergeCell ref="T27:AA27"/>
    <mergeCell ref="AC27:AJ27"/>
    <mergeCell ref="B29:B30"/>
    <mergeCell ref="C29:C30"/>
    <mergeCell ref="D29:E30"/>
    <mergeCell ref="F29:F30"/>
    <mergeCell ref="G29:G30"/>
    <mergeCell ref="H29:H30"/>
    <mergeCell ref="I29:I30"/>
    <mergeCell ref="K29:R29"/>
    <mergeCell ref="T29:AA29"/>
    <mergeCell ref="AL27:AS27"/>
    <mergeCell ref="AU27:BB27"/>
    <mergeCell ref="CE29:CL29"/>
    <mergeCell ref="CN29:CU29"/>
    <mergeCell ref="CW29:DD29"/>
    <mergeCell ref="DF29:DM29"/>
    <mergeCell ref="BD30:BK30"/>
    <mergeCell ref="B31:B32"/>
    <mergeCell ref="C31:C32"/>
    <mergeCell ref="D31:E32"/>
    <mergeCell ref="F31:F32"/>
    <mergeCell ref="G31:G32"/>
    <mergeCell ref="AC29:AJ29"/>
    <mergeCell ref="AL29:AS29"/>
    <mergeCell ref="AU29:BB29"/>
    <mergeCell ref="BD29:BK29"/>
    <mergeCell ref="BM29:BT29"/>
    <mergeCell ref="BV29:CC29"/>
    <mergeCell ref="CW31:DD31"/>
    <mergeCell ref="DF31:DM31"/>
    <mergeCell ref="BD31:BK31"/>
    <mergeCell ref="BM31:BT31"/>
    <mergeCell ref="BV31:CC31"/>
    <mergeCell ref="CE31:CL31"/>
    <mergeCell ref="B33:B34"/>
    <mergeCell ref="C33:C34"/>
    <mergeCell ref="D33:E34"/>
    <mergeCell ref="F33:F34"/>
    <mergeCell ref="G33:G34"/>
    <mergeCell ref="H33:H34"/>
    <mergeCell ref="I33:I34"/>
    <mergeCell ref="K33:R33"/>
    <mergeCell ref="AU31:BB31"/>
    <mergeCell ref="CN31:CU31"/>
    <mergeCell ref="H31:H32"/>
    <mergeCell ref="I31:I32"/>
    <mergeCell ref="K31:R31"/>
    <mergeCell ref="T31:AA31"/>
    <mergeCell ref="AC31:AJ31"/>
    <mergeCell ref="AL31:AS31"/>
    <mergeCell ref="BV33:CC33"/>
    <mergeCell ref="CE33:CL33"/>
    <mergeCell ref="CN33:CU33"/>
    <mergeCell ref="CW33:DD33"/>
    <mergeCell ref="DF33:DM33"/>
    <mergeCell ref="K34:R34"/>
    <mergeCell ref="T34:AA34"/>
    <mergeCell ref="AC34:AJ34"/>
    <mergeCell ref="AL34:AS34"/>
    <mergeCell ref="AU34:BB34"/>
    <mergeCell ref="T33:AA33"/>
    <mergeCell ref="AC33:AJ33"/>
    <mergeCell ref="AL33:AS33"/>
    <mergeCell ref="AU33:BB33"/>
    <mergeCell ref="BD33:BK33"/>
    <mergeCell ref="BM33:BT33"/>
    <mergeCell ref="DF34:DM34"/>
    <mergeCell ref="BD34:BK34"/>
    <mergeCell ref="BM34:BT34"/>
    <mergeCell ref="BV34:CC34"/>
    <mergeCell ref="CE34:CL34"/>
    <mergeCell ref="CN34:CU34"/>
    <mergeCell ref="CW34:DD34"/>
    <mergeCell ref="B35:B36"/>
    <mergeCell ref="C35:C36"/>
    <mergeCell ref="D35:E36"/>
    <mergeCell ref="F35:F36"/>
    <mergeCell ref="G35:G36"/>
    <mergeCell ref="H35:H36"/>
    <mergeCell ref="I35:I36"/>
    <mergeCell ref="K35:R35"/>
    <mergeCell ref="T35:AA35"/>
    <mergeCell ref="K36:R36"/>
    <mergeCell ref="T36:AA36"/>
    <mergeCell ref="AC36:AJ36"/>
    <mergeCell ref="AL36:AS36"/>
    <mergeCell ref="AU36:BB36"/>
    <mergeCell ref="BD36:BK36"/>
    <mergeCell ref="AC35:AJ35"/>
    <mergeCell ref="AL35:AS35"/>
    <mergeCell ref="AU35:BB35"/>
    <mergeCell ref="BD35:BK35"/>
    <mergeCell ref="BM36:BT36"/>
    <mergeCell ref="BM35:BT35"/>
    <mergeCell ref="BV36:CC36"/>
    <mergeCell ref="CE36:CL36"/>
    <mergeCell ref="CN36:CU36"/>
    <mergeCell ref="CW36:DD36"/>
    <mergeCell ref="DF36:DM36"/>
    <mergeCell ref="CE35:CL35"/>
    <mergeCell ref="CN35:CU35"/>
    <mergeCell ref="CW35:DD35"/>
    <mergeCell ref="DF35:DM35"/>
    <mergeCell ref="BV35:CC35"/>
    <mergeCell ref="K37:R37"/>
    <mergeCell ref="T37:AA37"/>
    <mergeCell ref="AC37:AJ37"/>
    <mergeCell ref="AL37:AS37"/>
    <mergeCell ref="AU37:BB37"/>
    <mergeCell ref="B37:B38"/>
    <mergeCell ref="C37:C38"/>
    <mergeCell ref="D37:E38"/>
    <mergeCell ref="F37:F38"/>
    <mergeCell ref="G37:G38"/>
    <mergeCell ref="H37:H38"/>
    <mergeCell ref="B39:B40"/>
    <mergeCell ref="C39:C40"/>
    <mergeCell ref="D39:E40"/>
    <mergeCell ref="F39:F40"/>
    <mergeCell ref="G39:G40"/>
    <mergeCell ref="H39:H40"/>
    <mergeCell ref="I39:I40"/>
    <mergeCell ref="DF37:DM37"/>
    <mergeCell ref="K38:R38"/>
    <mergeCell ref="T38:AA38"/>
    <mergeCell ref="AC38:AJ38"/>
    <mergeCell ref="AL38:AS38"/>
    <mergeCell ref="AU38:BB38"/>
    <mergeCell ref="BD38:BK38"/>
    <mergeCell ref="BM38:BT38"/>
    <mergeCell ref="BV38:CC38"/>
    <mergeCell ref="CE38:CL38"/>
    <mergeCell ref="BD37:BK37"/>
    <mergeCell ref="BM37:BT37"/>
    <mergeCell ref="BV37:CC37"/>
    <mergeCell ref="CE37:CL37"/>
    <mergeCell ref="CN37:CU37"/>
    <mergeCell ref="CW37:DD37"/>
    <mergeCell ref="I37:I38"/>
    <mergeCell ref="DF39:DM39"/>
    <mergeCell ref="K39:R39"/>
    <mergeCell ref="T39:AA39"/>
    <mergeCell ref="AC39:AJ39"/>
    <mergeCell ref="AL39:AS39"/>
    <mergeCell ref="AU39:BB39"/>
    <mergeCell ref="BD39:BK39"/>
    <mergeCell ref="CN38:CU38"/>
    <mergeCell ref="CW38:DD38"/>
    <mergeCell ref="DF38:DM38"/>
    <mergeCell ref="D41:E42"/>
    <mergeCell ref="F41:F42"/>
    <mergeCell ref="G41:G42"/>
    <mergeCell ref="H41:H42"/>
    <mergeCell ref="BM39:BT39"/>
    <mergeCell ref="BV39:CC39"/>
    <mergeCell ref="CE39:CL39"/>
    <mergeCell ref="CN39:CU39"/>
    <mergeCell ref="CW39:DD39"/>
    <mergeCell ref="DF41:DM41"/>
    <mergeCell ref="B43:B44"/>
    <mergeCell ref="C43:C44"/>
    <mergeCell ref="D43:E44"/>
    <mergeCell ref="F43:F44"/>
    <mergeCell ref="G43:G44"/>
    <mergeCell ref="H43:H44"/>
    <mergeCell ref="I43:I44"/>
    <mergeCell ref="K43:R43"/>
    <mergeCell ref="T43:AA43"/>
    <mergeCell ref="BD41:BK41"/>
    <mergeCell ref="BM41:BT41"/>
    <mergeCell ref="BV41:CC41"/>
    <mergeCell ref="CE41:CL41"/>
    <mergeCell ref="CN41:CU41"/>
    <mergeCell ref="CW41:DD41"/>
    <mergeCell ref="I41:I42"/>
    <mergeCell ref="K41:R41"/>
    <mergeCell ref="T41:AA41"/>
    <mergeCell ref="AC41:AJ41"/>
    <mergeCell ref="AL41:AS41"/>
    <mergeCell ref="AU41:BB41"/>
    <mergeCell ref="B41:B42"/>
    <mergeCell ref="C41:C42"/>
    <mergeCell ref="CE43:CL43"/>
    <mergeCell ref="CN43:CU43"/>
    <mergeCell ref="CW43:DD43"/>
    <mergeCell ref="DF43:DM43"/>
    <mergeCell ref="B45:B46"/>
    <mergeCell ref="C45:C46"/>
    <mergeCell ref="D45:E46"/>
    <mergeCell ref="F45:F46"/>
    <mergeCell ref="G45:G46"/>
    <mergeCell ref="H45:H46"/>
    <mergeCell ref="AC43:AJ43"/>
    <mergeCell ref="AL43:AS43"/>
    <mergeCell ref="AU43:BB43"/>
    <mergeCell ref="BD43:BK43"/>
    <mergeCell ref="BM43:BT43"/>
    <mergeCell ref="BV43:CC43"/>
    <mergeCell ref="DF45:DM45"/>
    <mergeCell ref="K46:R46"/>
    <mergeCell ref="T46:AA46"/>
    <mergeCell ref="AC46:AJ46"/>
    <mergeCell ref="AL46:AS46"/>
    <mergeCell ref="AU46:BB46"/>
    <mergeCell ref="BD46:BK46"/>
    <mergeCell ref="BM46:BT46"/>
    <mergeCell ref="BV46:CC46"/>
    <mergeCell ref="CE46:CL46"/>
    <mergeCell ref="BD45:BK45"/>
    <mergeCell ref="BM45:BT45"/>
    <mergeCell ref="BV45:CC45"/>
    <mergeCell ref="CE45:CL45"/>
    <mergeCell ref="CN45:CU45"/>
    <mergeCell ref="CW45:DD45"/>
    <mergeCell ref="K45:R45"/>
    <mergeCell ref="T45:AA45"/>
    <mergeCell ref="AC45:AJ45"/>
    <mergeCell ref="AL45:AS45"/>
    <mergeCell ref="AU45:BB45"/>
    <mergeCell ref="CN46:CU46"/>
    <mergeCell ref="CW46:DD46"/>
    <mergeCell ref="DF46:DM46"/>
    <mergeCell ref="B47:B48"/>
    <mergeCell ref="C47:C48"/>
    <mergeCell ref="D47:E48"/>
    <mergeCell ref="F47:F48"/>
    <mergeCell ref="G47:G48"/>
    <mergeCell ref="H47:H48"/>
    <mergeCell ref="I47:I48"/>
    <mergeCell ref="I45:I46"/>
    <mergeCell ref="BM47:BT47"/>
    <mergeCell ref="BV47:CC47"/>
    <mergeCell ref="CE47:CL47"/>
    <mergeCell ref="CN47:CU47"/>
    <mergeCell ref="CW47:DD47"/>
    <mergeCell ref="DF47:DM47"/>
    <mergeCell ref="K47:R47"/>
    <mergeCell ref="T47:AA47"/>
    <mergeCell ref="AC47:AJ47"/>
    <mergeCell ref="AL47:AS47"/>
    <mergeCell ref="AU47:BB47"/>
    <mergeCell ref="BD47:BK47"/>
    <mergeCell ref="BM48:BT48"/>
    <mergeCell ref="BV48:CC48"/>
    <mergeCell ref="CE48:CL48"/>
    <mergeCell ref="CN48:CU48"/>
    <mergeCell ref="CW48:DD48"/>
    <mergeCell ref="DF48:DM48"/>
    <mergeCell ref="K48:R48"/>
    <mergeCell ref="T48:AA48"/>
    <mergeCell ref="AC48:AJ48"/>
    <mergeCell ref="AL48:AS48"/>
    <mergeCell ref="AU48:BB48"/>
    <mergeCell ref="BD48:BK48"/>
    <mergeCell ref="DF49:DM49"/>
    <mergeCell ref="K50:R50"/>
    <mergeCell ref="T50:AA50"/>
    <mergeCell ref="AC50:AJ50"/>
    <mergeCell ref="AL50:AS50"/>
    <mergeCell ref="AU50:BB50"/>
    <mergeCell ref="BD50:BK50"/>
    <mergeCell ref="BM50:BT50"/>
    <mergeCell ref="BV50:CC50"/>
    <mergeCell ref="CE50:CL50"/>
    <mergeCell ref="BD49:BK49"/>
    <mergeCell ref="BM49:BT49"/>
    <mergeCell ref="BV49:CC49"/>
    <mergeCell ref="CE49:CL49"/>
    <mergeCell ref="CN49:CU49"/>
    <mergeCell ref="CW49:DD49"/>
    <mergeCell ref="K49:R49"/>
    <mergeCell ref="T49:AA49"/>
    <mergeCell ref="AC49:AJ49"/>
    <mergeCell ref="AL49:AS49"/>
    <mergeCell ref="AU49:BB49"/>
    <mergeCell ref="CN50:CU50"/>
    <mergeCell ref="CW50:DD50"/>
    <mergeCell ref="DF50:DM50"/>
    <mergeCell ref="B51:B52"/>
    <mergeCell ref="C51:C52"/>
    <mergeCell ref="D51:E52"/>
    <mergeCell ref="F51:F52"/>
    <mergeCell ref="G51:G52"/>
    <mergeCell ref="H51:H52"/>
    <mergeCell ref="I51:I52"/>
    <mergeCell ref="I49:I50"/>
    <mergeCell ref="B49:B50"/>
    <mergeCell ref="C49:C50"/>
    <mergeCell ref="D49:E50"/>
    <mergeCell ref="F49:F50"/>
    <mergeCell ref="G49:G50"/>
    <mergeCell ref="H49:H50"/>
    <mergeCell ref="DF52:DM52"/>
    <mergeCell ref="K52:R52"/>
    <mergeCell ref="T52:AA52"/>
    <mergeCell ref="AC52:AJ52"/>
    <mergeCell ref="AL52:AS52"/>
    <mergeCell ref="AU52:BB52"/>
    <mergeCell ref="BD52:BK52"/>
    <mergeCell ref="BM51:BT51"/>
    <mergeCell ref="BV51:CC51"/>
    <mergeCell ref="CE51:CL51"/>
    <mergeCell ref="CN51:CU51"/>
    <mergeCell ref="CW51:DD51"/>
    <mergeCell ref="DF51:DM51"/>
    <mergeCell ref="K51:R51"/>
    <mergeCell ref="T51:AA51"/>
    <mergeCell ref="AC51:AJ51"/>
    <mergeCell ref="AL51:AS51"/>
    <mergeCell ref="AU51:BB51"/>
    <mergeCell ref="BD51:BK51"/>
    <mergeCell ref="D53:E54"/>
    <mergeCell ref="F53:F54"/>
    <mergeCell ref="G53:G54"/>
    <mergeCell ref="H53:H54"/>
    <mergeCell ref="BM52:BT52"/>
    <mergeCell ref="BV52:CC52"/>
    <mergeCell ref="CE52:CL52"/>
    <mergeCell ref="CN52:CU52"/>
    <mergeCell ref="CW52:DD52"/>
    <mergeCell ref="DF53:DM53"/>
    <mergeCell ref="B55:B56"/>
    <mergeCell ref="C55:C56"/>
    <mergeCell ref="D55:E56"/>
    <mergeCell ref="F55:F56"/>
    <mergeCell ref="G55:G56"/>
    <mergeCell ref="H55:H56"/>
    <mergeCell ref="I55:I56"/>
    <mergeCell ref="K55:R55"/>
    <mergeCell ref="T55:AA55"/>
    <mergeCell ref="BD53:BK53"/>
    <mergeCell ref="BM53:BT53"/>
    <mergeCell ref="BV53:CC53"/>
    <mergeCell ref="CE53:CL53"/>
    <mergeCell ref="CN53:CU53"/>
    <mergeCell ref="CW53:DD53"/>
    <mergeCell ref="I53:I54"/>
    <mergeCell ref="K53:R53"/>
    <mergeCell ref="T53:AA53"/>
    <mergeCell ref="AC53:AJ53"/>
    <mergeCell ref="AL53:AS53"/>
    <mergeCell ref="AU53:BB53"/>
    <mergeCell ref="B53:B54"/>
    <mergeCell ref="C53:C54"/>
    <mergeCell ref="CE55:CL55"/>
    <mergeCell ref="CN55:CU55"/>
    <mergeCell ref="CW55:DD55"/>
    <mergeCell ref="DF55:DM55"/>
    <mergeCell ref="B57:B58"/>
    <mergeCell ref="C57:C58"/>
    <mergeCell ref="D57:E58"/>
    <mergeCell ref="F57:F58"/>
    <mergeCell ref="G57:G58"/>
    <mergeCell ref="H57:H58"/>
    <mergeCell ref="AC55:AJ55"/>
    <mergeCell ref="AL55:AS55"/>
    <mergeCell ref="AU55:BB55"/>
    <mergeCell ref="BD55:BK55"/>
    <mergeCell ref="BM55:BT55"/>
    <mergeCell ref="BV55:CC55"/>
    <mergeCell ref="DF57:DM57"/>
    <mergeCell ref="K58:R58"/>
    <mergeCell ref="T58:AA58"/>
    <mergeCell ref="AC58:AJ58"/>
    <mergeCell ref="AL58:AS58"/>
    <mergeCell ref="AU58:BB58"/>
    <mergeCell ref="BD58:BK58"/>
    <mergeCell ref="BM58:BT58"/>
    <mergeCell ref="DF59:DM59"/>
    <mergeCell ref="K59:R59"/>
    <mergeCell ref="T59:AA59"/>
    <mergeCell ref="BV58:CC58"/>
    <mergeCell ref="CE58:CL58"/>
    <mergeCell ref="BD57:BK57"/>
    <mergeCell ref="BM57:BT57"/>
    <mergeCell ref="BV57:CC57"/>
    <mergeCell ref="CE57:CL57"/>
    <mergeCell ref="CN57:CU57"/>
    <mergeCell ref="CW57:DD57"/>
    <mergeCell ref="K57:R57"/>
    <mergeCell ref="T57:AA57"/>
    <mergeCell ref="AC57:AJ57"/>
    <mergeCell ref="AL57:AS57"/>
    <mergeCell ref="AU57:BB57"/>
    <mergeCell ref="CN58:CU58"/>
    <mergeCell ref="CW58:DD58"/>
    <mergeCell ref="B71:C71"/>
    <mergeCell ref="G71:J71"/>
    <mergeCell ref="BM60:BT60"/>
    <mergeCell ref="DF58:DM58"/>
    <mergeCell ref="B59:B60"/>
    <mergeCell ref="C59:C60"/>
    <mergeCell ref="D59:E60"/>
    <mergeCell ref="F59:F60"/>
    <mergeCell ref="G59:G60"/>
    <mergeCell ref="H59:H60"/>
    <mergeCell ref="I59:I60"/>
    <mergeCell ref="I57:I58"/>
    <mergeCell ref="DF60:DM60"/>
    <mergeCell ref="K60:R60"/>
    <mergeCell ref="T60:AA60"/>
    <mergeCell ref="AC60:AJ60"/>
    <mergeCell ref="AL60:AS60"/>
    <mergeCell ref="AU60:BB60"/>
    <mergeCell ref="BD60:BK60"/>
    <mergeCell ref="BM59:BT59"/>
    <mergeCell ref="BV59:CC59"/>
    <mergeCell ref="CE59:CL59"/>
    <mergeCell ref="CN59:CU59"/>
    <mergeCell ref="CW59:DD59"/>
    <mergeCell ref="BV60:CC60"/>
    <mergeCell ref="CE60:CL60"/>
    <mergeCell ref="CN60:CU60"/>
    <mergeCell ref="CW60:DD60"/>
    <mergeCell ref="AC59:AJ59"/>
    <mergeCell ref="AL59:AS59"/>
    <mergeCell ref="AU59:BB59"/>
    <mergeCell ref="BD59:BK59"/>
    <mergeCell ref="B66:C69"/>
    <mergeCell ref="G66:J70"/>
  </mergeCells>
  <pageMargins left="0.70866141732283472" right="0.70866141732283472" top="0.74803149606299213" bottom="0.74803149606299213" header="0.31496062992125984" footer="0.31496062992125984"/>
  <pageSetup paperSize="5" scale="10" orientation="landscape" r:id="rId1"/>
  <headerFooter>
    <oddFooter>&amp;RF-PEM-07-00 DIF GuadalajaraPág. &amp;P de &amp;N</oddFooter>
  </headerFooter>
  <rowBreaks count="3" manualBreakCount="3">
    <brk id="28" max="119" man="1"/>
    <brk id="50" max="119" man="1"/>
    <brk id="75" max="118" man="1"/>
  </rowBreaks>
  <colBreaks count="1" manualBreakCount="1">
    <brk id="121" max="37" man="1"/>
  </colBreaks>
  <ignoredErrors>
    <ignoredError sqref="DN15:DO15" unlockedFormula="1"/>
    <ignoredError sqref="DN16:DO61" formula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Q1000"/>
  <sheetViews>
    <sheetView zoomScale="15" zoomScaleNormal="15" workbookViewId="0">
      <selection activeCell="DH17" sqref="DH17"/>
    </sheetView>
  </sheetViews>
  <sheetFormatPr baseColWidth="10" defaultColWidth="14.42578125" defaultRowHeight="15" customHeight="1"/>
  <cols>
    <col min="1" max="1" width="10.7109375" style="58" customWidth="1"/>
    <col min="2" max="2" width="159.140625" style="58" customWidth="1"/>
    <col min="3" max="3" width="90.28515625" style="58" customWidth="1"/>
    <col min="4" max="4" width="90.42578125" style="58" customWidth="1"/>
    <col min="5" max="5" width="32.42578125" style="58" hidden="1" customWidth="1"/>
    <col min="6" max="10" width="80.5703125" style="58" customWidth="1"/>
    <col min="11" max="109" width="30.5703125" style="58" hidden="1" customWidth="1"/>
    <col min="110" max="118" width="30.5703125" style="58" customWidth="1"/>
    <col min="119" max="119" width="60" style="58" customWidth="1"/>
    <col min="120" max="120" width="89.28515625" style="58" customWidth="1"/>
    <col min="121" max="121" width="100.5703125" style="58" customWidth="1"/>
    <col min="122" max="16384" width="14.42578125" style="58"/>
  </cols>
  <sheetData>
    <row r="1" spans="2:121" ht="14.25">
      <c r="B1" s="709" t="s">
        <v>26</v>
      </c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  <c r="Q1" s="710"/>
      <c r="R1" s="710"/>
      <c r="S1" s="710"/>
      <c r="T1" s="710"/>
      <c r="U1" s="710"/>
      <c r="V1" s="710"/>
      <c r="W1" s="710"/>
      <c r="X1" s="710"/>
      <c r="Y1" s="710"/>
      <c r="Z1" s="710"/>
      <c r="AA1" s="710"/>
      <c r="AB1" s="710"/>
      <c r="AC1" s="710"/>
      <c r="AD1" s="710"/>
      <c r="AE1" s="710"/>
      <c r="AF1" s="710"/>
      <c r="AG1" s="710"/>
      <c r="AH1" s="710"/>
      <c r="AI1" s="710"/>
      <c r="AJ1" s="710"/>
      <c r="AK1" s="710"/>
      <c r="AL1" s="710"/>
      <c r="AM1" s="710"/>
      <c r="AN1" s="710"/>
      <c r="AO1" s="710"/>
      <c r="AP1" s="710"/>
      <c r="AQ1" s="710"/>
      <c r="AR1" s="710"/>
      <c r="AS1" s="710"/>
      <c r="AT1" s="710"/>
      <c r="AU1" s="710"/>
      <c r="AV1" s="710"/>
      <c r="AW1" s="710"/>
      <c r="AX1" s="710"/>
      <c r="AY1" s="710"/>
      <c r="AZ1" s="710"/>
      <c r="BA1" s="710"/>
      <c r="BB1" s="710"/>
      <c r="BC1" s="710"/>
      <c r="BD1" s="710"/>
      <c r="BE1" s="710"/>
      <c r="BF1" s="710"/>
      <c r="BG1" s="710"/>
      <c r="BH1" s="710"/>
      <c r="BI1" s="710"/>
      <c r="BJ1" s="710"/>
      <c r="BK1" s="710"/>
      <c r="BL1" s="710"/>
      <c r="BM1" s="710"/>
      <c r="BN1" s="710"/>
      <c r="BO1" s="710"/>
      <c r="BP1" s="710"/>
      <c r="BQ1" s="710"/>
      <c r="BR1" s="710"/>
      <c r="BS1" s="710"/>
      <c r="BT1" s="710"/>
      <c r="BU1" s="710"/>
      <c r="BV1" s="710"/>
      <c r="BW1" s="710"/>
      <c r="BX1" s="710"/>
      <c r="BY1" s="710"/>
      <c r="BZ1" s="710"/>
      <c r="CA1" s="710"/>
      <c r="CB1" s="710"/>
      <c r="CC1" s="710"/>
      <c r="CD1" s="710"/>
      <c r="CE1" s="710"/>
      <c r="CF1" s="710"/>
      <c r="CG1" s="710"/>
      <c r="CH1" s="710"/>
      <c r="CI1" s="710"/>
      <c r="CJ1" s="710"/>
      <c r="CK1" s="710"/>
      <c r="CL1" s="710"/>
      <c r="CM1" s="710"/>
      <c r="CN1" s="710"/>
      <c r="CO1" s="710"/>
      <c r="CP1" s="710"/>
      <c r="CQ1" s="710"/>
      <c r="CR1" s="710"/>
      <c r="CS1" s="710"/>
      <c r="CT1" s="710"/>
      <c r="CU1" s="710"/>
      <c r="CV1" s="710"/>
      <c r="CW1" s="710"/>
      <c r="CX1" s="710"/>
      <c r="CY1" s="710"/>
      <c r="CZ1" s="710"/>
      <c r="DA1" s="710"/>
      <c r="DB1" s="710"/>
      <c r="DC1" s="710"/>
      <c r="DD1" s="710"/>
      <c r="DE1" s="710"/>
      <c r="DF1" s="710"/>
      <c r="DG1" s="710"/>
      <c r="DH1" s="710"/>
      <c r="DI1" s="710"/>
      <c r="DJ1" s="710"/>
      <c r="DK1" s="710"/>
      <c r="DL1" s="710"/>
      <c r="DM1" s="710"/>
      <c r="DN1" s="710"/>
      <c r="DO1" s="710"/>
      <c r="DP1" s="710"/>
    </row>
    <row r="2" spans="2:121" ht="102.75" customHeight="1"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  <c r="O2" s="710"/>
      <c r="P2" s="710"/>
      <c r="Q2" s="710"/>
      <c r="R2" s="710"/>
      <c r="S2" s="710"/>
      <c r="T2" s="710"/>
      <c r="U2" s="710"/>
      <c r="V2" s="710"/>
      <c r="W2" s="710"/>
      <c r="X2" s="710"/>
      <c r="Y2" s="710"/>
      <c r="Z2" s="710"/>
      <c r="AA2" s="710"/>
      <c r="AB2" s="710"/>
      <c r="AC2" s="710"/>
      <c r="AD2" s="710"/>
      <c r="AE2" s="710"/>
      <c r="AF2" s="710"/>
      <c r="AG2" s="710"/>
      <c r="AH2" s="710"/>
      <c r="AI2" s="710"/>
      <c r="AJ2" s="710"/>
      <c r="AK2" s="710"/>
      <c r="AL2" s="710"/>
      <c r="AM2" s="710"/>
      <c r="AN2" s="710"/>
      <c r="AO2" s="710"/>
      <c r="AP2" s="710"/>
      <c r="AQ2" s="710"/>
      <c r="AR2" s="710"/>
      <c r="AS2" s="710"/>
      <c r="AT2" s="710"/>
      <c r="AU2" s="710"/>
      <c r="AV2" s="710"/>
      <c r="AW2" s="710"/>
      <c r="AX2" s="710"/>
      <c r="AY2" s="710"/>
      <c r="AZ2" s="710"/>
      <c r="BA2" s="710"/>
      <c r="BB2" s="710"/>
      <c r="BC2" s="710"/>
      <c r="BD2" s="710"/>
      <c r="BE2" s="710"/>
      <c r="BF2" s="710"/>
      <c r="BG2" s="710"/>
      <c r="BH2" s="710"/>
      <c r="BI2" s="710"/>
      <c r="BJ2" s="710"/>
      <c r="BK2" s="710"/>
      <c r="BL2" s="710"/>
      <c r="BM2" s="710"/>
      <c r="BN2" s="710"/>
      <c r="BO2" s="710"/>
      <c r="BP2" s="710"/>
      <c r="BQ2" s="710"/>
      <c r="BR2" s="710"/>
      <c r="BS2" s="710"/>
      <c r="BT2" s="710"/>
      <c r="BU2" s="710"/>
      <c r="BV2" s="710"/>
      <c r="BW2" s="710"/>
      <c r="BX2" s="710"/>
      <c r="BY2" s="710"/>
      <c r="BZ2" s="710"/>
      <c r="CA2" s="710"/>
      <c r="CB2" s="710"/>
      <c r="CC2" s="710"/>
      <c r="CD2" s="710"/>
      <c r="CE2" s="710"/>
      <c r="CF2" s="710"/>
      <c r="CG2" s="710"/>
      <c r="CH2" s="710"/>
      <c r="CI2" s="710"/>
      <c r="CJ2" s="710"/>
      <c r="CK2" s="710"/>
      <c r="CL2" s="710"/>
      <c r="CM2" s="710"/>
      <c r="CN2" s="710"/>
      <c r="CO2" s="710"/>
      <c r="CP2" s="710"/>
      <c r="CQ2" s="710"/>
      <c r="CR2" s="710"/>
      <c r="CS2" s="710"/>
      <c r="CT2" s="710"/>
      <c r="CU2" s="710"/>
      <c r="CV2" s="710"/>
      <c r="CW2" s="710"/>
      <c r="CX2" s="710"/>
      <c r="CY2" s="710"/>
      <c r="CZ2" s="710"/>
      <c r="DA2" s="710"/>
      <c r="DB2" s="710"/>
      <c r="DC2" s="710"/>
      <c r="DD2" s="710"/>
      <c r="DE2" s="710"/>
      <c r="DF2" s="710"/>
      <c r="DG2" s="710"/>
      <c r="DH2" s="710"/>
      <c r="DI2" s="710"/>
      <c r="DJ2" s="710"/>
      <c r="DK2" s="710"/>
      <c r="DL2" s="710"/>
      <c r="DM2" s="710"/>
      <c r="DN2" s="710"/>
      <c r="DO2" s="710"/>
      <c r="DP2" s="710"/>
    </row>
    <row r="3" spans="2:121" ht="135.75" customHeight="1">
      <c r="B3" s="711" t="s">
        <v>99</v>
      </c>
      <c r="C3" s="712"/>
      <c r="D3" s="712"/>
      <c r="E3" s="712"/>
      <c r="F3" s="4"/>
      <c r="G3" s="5"/>
      <c r="H3" s="5"/>
      <c r="I3" s="5"/>
      <c r="J3" s="5"/>
      <c r="K3" s="6"/>
      <c r="L3" s="6"/>
      <c r="M3" s="7"/>
      <c r="N3" s="7"/>
      <c r="O3" s="7"/>
      <c r="P3" s="7"/>
      <c r="Q3" s="7"/>
      <c r="R3" s="7"/>
      <c r="S3" s="7"/>
    </row>
    <row r="4" spans="2:121" ht="112.5" customHeight="1">
      <c r="B4" s="713" t="s">
        <v>27</v>
      </c>
      <c r="C4" s="714"/>
      <c r="D4" s="714"/>
      <c r="E4" s="714"/>
      <c r="F4" s="8"/>
      <c r="G4" s="5"/>
      <c r="H4" s="5"/>
      <c r="I4" s="5"/>
      <c r="J4" s="9"/>
      <c r="K4" s="10"/>
      <c r="L4" s="10"/>
      <c r="M4" s="7"/>
      <c r="N4" s="7"/>
      <c r="O4" s="7"/>
      <c r="P4" s="11"/>
      <c r="Q4" s="11"/>
      <c r="R4" s="11"/>
      <c r="S4" s="11"/>
      <c r="T4" s="12"/>
      <c r="U4" s="12"/>
    </row>
    <row r="5" spans="2:121" ht="120.75" customHeight="1">
      <c r="B5" s="711" t="s">
        <v>21</v>
      </c>
      <c r="C5" s="712"/>
      <c r="D5" s="712"/>
      <c r="E5" s="712"/>
      <c r="F5" s="4"/>
      <c r="G5" s="5"/>
      <c r="H5" s="5"/>
      <c r="I5" s="5"/>
      <c r="J5" s="10"/>
      <c r="K5" s="6"/>
      <c r="L5" s="6"/>
      <c r="M5" s="7"/>
      <c r="N5" s="7"/>
      <c r="O5" s="7"/>
      <c r="P5" s="11"/>
      <c r="Q5" s="11"/>
      <c r="R5" s="11"/>
      <c r="S5" s="11"/>
      <c r="T5" s="13"/>
      <c r="U5" s="13"/>
    </row>
    <row r="6" spans="2:121" ht="93.75" customHeight="1">
      <c r="B6" s="713" t="s">
        <v>28</v>
      </c>
      <c r="C6" s="714"/>
      <c r="D6" s="714"/>
      <c r="E6" s="714"/>
      <c r="F6" s="8"/>
      <c r="G6" s="5"/>
      <c r="H6" s="5"/>
      <c r="I6" s="5"/>
      <c r="J6" s="5"/>
      <c r="K6" s="6"/>
      <c r="L6" s="6"/>
      <c r="M6" s="7"/>
      <c r="N6" s="7"/>
      <c r="O6" s="7"/>
      <c r="P6" s="11"/>
      <c r="Q6" s="11"/>
      <c r="R6" s="11"/>
      <c r="S6" s="11"/>
      <c r="T6" s="12"/>
      <c r="U6" s="12"/>
    </row>
    <row r="7" spans="2:121" ht="98.25" customHeight="1">
      <c r="B7" s="711" t="s">
        <v>29</v>
      </c>
      <c r="C7" s="712"/>
      <c r="D7" s="712"/>
      <c r="E7" s="712"/>
      <c r="F7" s="4"/>
      <c r="G7" s="5"/>
      <c r="H7" s="5"/>
      <c r="I7" s="5"/>
      <c r="J7" s="5"/>
      <c r="K7" s="6"/>
      <c r="L7" s="6"/>
      <c r="M7" s="7"/>
      <c r="N7" s="7"/>
      <c r="O7" s="7"/>
      <c r="P7" s="11"/>
      <c r="Q7" s="11"/>
      <c r="R7" s="11"/>
      <c r="S7" s="11"/>
      <c r="T7" s="12"/>
      <c r="U7" s="12"/>
    </row>
    <row r="8" spans="2:121" ht="150" customHeight="1">
      <c r="B8" s="713" t="s">
        <v>30</v>
      </c>
      <c r="C8" s="714"/>
      <c r="D8" s="714"/>
      <c r="E8" s="714"/>
      <c r="F8" s="8"/>
      <c r="G8" s="5"/>
      <c r="H8" s="5"/>
      <c r="I8" s="5"/>
      <c r="J8" s="5"/>
      <c r="K8" s="715" t="s">
        <v>72</v>
      </c>
      <c r="L8" s="710"/>
      <c r="M8" s="710"/>
      <c r="N8" s="710"/>
      <c r="O8" s="710"/>
      <c r="P8" s="710"/>
      <c r="Q8" s="710"/>
      <c r="R8" s="710"/>
      <c r="S8" s="710"/>
      <c r="T8" s="710"/>
      <c r="U8" s="710"/>
      <c r="V8" s="710"/>
      <c r="W8" s="710"/>
      <c r="X8" s="710"/>
      <c r="Y8" s="710"/>
      <c r="Z8" s="710"/>
      <c r="AA8" s="710"/>
      <c r="AB8" s="710"/>
      <c r="AC8" s="710"/>
      <c r="AD8" s="710"/>
      <c r="AE8" s="710"/>
      <c r="AF8" s="710"/>
      <c r="AG8" s="710"/>
      <c r="AH8" s="710"/>
      <c r="AI8" s="710"/>
      <c r="AJ8" s="710"/>
      <c r="AK8" s="710"/>
      <c r="AL8" s="710"/>
      <c r="AM8" s="710"/>
      <c r="AN8" s="710"/>
      <c r="AO8" s="710"/>
      <c r="AP8" s="710"/>
      <c r="AQ8" s="710"/>
      <c r="AR8" s="710"/>
      <c r="AS8" s="710"/>
      <c r="AT8" s="710"/>
      <c r="AU8" s="710"/>
      <c r="AV8" s="710"/>
      <c r="AW8" s="710"/>
      <c r="AX8" s="710"/>
      <c r="AY8" s="710"/>
      <c r="AZ8" s="710"/>
      <c r="BA8" s="710"/>
      <c r="BB8" s="710"/>
      <c r="BC8" s="710"/>
      <c r="BD8" s="710"/>
      <c r="BE8" s="710"/>
      <c r="BF8" s="710"/>
      <c r="BG8" s="710"/>
      <c r="BH8" s="710"/>
      <c r="BI8" s="710"/>
      <c r="BJ8" s="710"/>
      <c r="BK8" s="710"/>
      <c r="BL8" s="710"/>
      <c r="BM8" s="710"/>
      <c r="BN8" s="710"/>
      <c r="BO8" s="710"/>
      <c r="BP8" s="710"/>
      <c r="BQ8" s="710"/>
      <c r="BR8" s="710"/>
      <c r="BS8" s="710"/>
      <c r="BT8" s="710"/>
      <c r="BU8" s="710"/>
      <c r="BV8" s="710"/>
      <c r="BW8" s="710"/>
      <c r="BX8" s="710"/>
      <c r="BY8" s="710"/>
      <c r="BZ8" s="710"/>
      <c r="CA8" s="710"/>
      <c r="CB8" s="710"/>
      <c r="CC8" s="710"/>
      <c r="CD8" s="710"/>
      <c r="CE8" s="710"/>
      <c r="CF8" s="710"/>
      <c r="CG8" s="710"/>
      <c r="CH8" s="710"/>
      <c r="CI8" s="710"/>
      <c r="CJ8" s="710"/>
      <c r="CK8" s="710"/>
      <c r="CL8" s="710"/>
      <c r="CM8" s="710"/>
      <c r="CN8" s="710"/>
      <c r="CO8" s="710"/>
      <c r="CP8" s="710"/>
      <c r="CQ8" s="710"/>
      <c r="CR8" s="710"/>
      <c r="CS8" s="710"/>
      <c r="CT8" s="710"/>
      <c r="CU8" s="710"/>
      <c r="CV8" s="710"/>
      <c r="CW8" s="710"/>
      <c r="CX8" s="710"/>
      <c r="CY8" s="710"/>
      <c r="CZ8" s="710"/>
      <c r="DA8" s="710"/>
      <c r="DB8" s="710"/>
      <c r="DC8" s="710"/>
      <c r="DD8" s="710"/>
      <c r="DE8" s="710"/>
      <c r="DF8" s="710"/>
      <c r="DG8" s="710"/>
      <c r="DH8" s="710"/>
      <c r="DI8" s="710"/>
      <c r="DJ8" s="710"/>
      <c r="DK8" s="710"/>
      <c r="DL8" s="710"/>
      <c r="DM8" s="710"/>
      <c r="DN8" s="710"/>
      <c r="DO8" s="710"/>
      <c r="DP8" s="710"/>
    </row>
    <row r="9" spans="2:121" ht="115.5" customHeight="1">
      <c r="B9" s="717" t="s">
        <v>32</v>
      </c>
      <c r="C9" s="717" t="s">
        <v>33</v>
      </c>
      <c r="D9" s="719" t="s">
        <v>34</v>
      </c>
      <c r="E9" s="720"/>
      <c r="F9" s="717" t="s">
        <v>35</v>
      </c>
      <c r="G9" s="717" t="s">
        <v>36</v>
      </c>
      <c r="H9" s="723" t="s">
        <v>37</v>
      </c>
      <c r="I9" s="724"/>
      <c r="J9" s="717" t="s">
        <v>38</v>
      </c>
      <c r="K9" s="716"/>
      <c r="L9" s="716"/>
      <c r="M9" s="716"/>
      <c r="N9" s="716"/>
      <c r="O9" s="716"/>
      <c r="P9" s="716"/>
      <c r="Q9" s="716"/>
      <c r="R9" s="716"/>
      <c r="S9" s="716"/>
      <c r="T9" s="716"/>
      <c r="U9" s="716"/>
      <c r="V9" s="716"/>
      <c r="W9" s="716"/>
      <c r="X9" s="716"/>
      <c r="Y9" s="716"/>
      <c r="Z9" s="716"/>
      <c r="AA9" s="716"/>
      <c r="AB9" s="716"/>
      <c r="AC9" s="716"/>
      <c r="AD9" s="716"/>
      <c r="AE9" s="716"/>
      <c r="AF9" s="716"/>
      <c r="AG9" s="716"/>
      <c r="AH9" s="716"/>
      <c r="AI9" s="716"/>
      <c r="AJ9" s="716"/>
      <c r="AK9" s="716"/>
      <c r="AL9" s="716"/>
      <c r="AM9" s="716"/>
      <c r="AN9" s="716"/>
      <c r="AO9" s="716"/>
      <c r="AP9" s="716"/>
      <c r="AQ9" s="716"/>
      <c r="AR9" s="716"/>
      <c r="AS9" s="716"/>
      <c r="AT9" s="716"/>
      <c r="AU9" s="716"/>
      <c r="AV9" s="716"/>
      <c r="AW9" s="716"/>
      <c r="AX9" s="716"/>
      <c r="AY9" s="716"/>
      <c r="AZ9" s="716"/>
      <c r="BA9" s="716"/>
      <c r="BB9" s="716"/>
      <c r="BC9" s="716"/>
      <c r="BD9" s="716"/>
      <c r="BE9" s="716"/>
      <c r="BF9" s="716"/>
      <c r="BG9" s="716"/>
      <c r="BH9" s="716"/>
      <c r="BI9" s="716"/>
      <c r="BJ9" s="716"/>
      <c r="BK9" s="716"/>
      <c r="BL9" s="716"/>
      <c r="BM9" s="716"/>
      <c r="BN9" s="716"/>
      <c r="BO9" s="716"/>
      <c r="BP9" s="716"/>
      <c r="BQ9" s="716"/>
      <c r="BR9" s="716"/>
      <c r="BS9" s="716"/>
      <c r="BT9" s="716"/>
      <c r="BU9" s="716"/>
      <c r="BV9" s="716"/>
      <c r="BW9" s="716"/>
      <c r="BX9" s="716"/>
      <c r="BY9" s="716"/>
      <c r="BZ9" s="716"/>
      <c r="CA9" s="716"/>
      <c r="CB9" s="716"/>
      <c r="CC9" s="716"/>
      <c r="CD9" s="716"/>
      <c r="CE9" s="716"/>
      <c r="CF9" s="716"/>
      <c r="CG9" s="716"/>
      <c r="CH9" s="716"/>
      <c r="CI9" s="716"/>
      <c r="CJ9" s="716"/>
      <c r="CK9" s="716"/>
      <c r="CL9" s="716"/>
      <c r="CM9" s="716"/>
      <c r="CN9" s="716"/>
      <c r="CO9" s="716"/>
      <c r="CP9" s="716"/>
      <c r="CQ9" s="716"/>
      <c r="CR9" s="716"/>
      <c r="CS9" s="716"/>
      <c r="CT9" s="716"/>
      <c r="CU9" s="716"/>
      <c r="CV9" s="716"/>
      <c r="CW9" s="716"/>
      <c r="CX9" s="716"/>
      <c r="CY9" s="716"/>
      <c r="CZ9" s="716"/>
      <c r="DA9" s="716"/>
      <c r="DB9" s="716"/>
      <c r="DC9" s="716"/>
      <c r="DD9" s="716"/>
      <c r="DE9" s="716"/>
      <c r="DF9" s="716"/>
      <c r="DG9" s="716"/>
      <c r="DH9" s="716"/>
      <c r="DI9" s="716"/>
      <c r="DJ9" s="716"/>
      <c r="DK9" s="716"/>
      <c r="DL9" s="716"/>
      <c r="DM9" s="716"/>
      <c r="DN9" s="716"/>
      <c r="DO9" s="716"/>
      <c r="DP9" s="716"/>
    </row>
    <row r="10" spans="2:121" ht="61.5" customHeight="1">
      <c r="B10" s="718"/>
      <c r="C10" s="718"/>
      <c r="D10" s="721"/>
      <c r="E10" s="722"/>
      <c r="F10" s="718"/>
      <c r="G10" s="718"/>
      <c r="H10" s="717" t="s">
        <v>39</v>
      </c>
      <c r="I10" s="717" t="s">
        <v>40</v>
      </c>
      <c r="J10" s="718"/>
      <c r="K10" s="729" t="s">
        <v>41</v>
      </c>
      <c r="L10" s="730"/>
      <c r="M10" s="730"/>
      <c r="N10" s="730"/>
      <c r="O10" s="730"/>
      <c r="P10" s="730"/>
      <c r="Q10" s="730"/>
      <c r="R10" s="730"/>
      <c r="S10" s="720"/>
      <c r="T10" s="729" t="s">
        <v>42</v>
      </c>
      <c r="U10" s="730"/>
      <c r="V10" s="730"/>
      <c r="W10" s="730"/>
      <c r="X10" s="730"/>
      <c r="Y10" s="730"/>
      <c r="Z10" s="730"/>
      <c r="AA10" s="730"/>
      <c r="AB10" s="720"/>
      <c r="AC10" s="729" t="s">
        <v>43</v>
      </c>
      <c r="AD10" s="730"/>
      <c r="AE10" s="730"/>
      <c r="AF10" s="730"/>
      <c r="AG10" s="730"/>
      <c r="AH10" s="730"/>
      <c r="AI10" s="730"/>
      <c r="AJ10" s="730"/>
      <c r="AK10" s="720"/>
      <c r="AL10" s="729" t="s">
        <v>44</v>
      </c>
      <c r="AM10" s="730"/>
      <c r="AN10" s="730"/>
      <c r="AO10" s="730"/>
      <c r="AP10" s="730"/>
      <c r="AQ10" s="730"/>
      <c r="AR10" s="730"/>
      <c r="AS10" s="730"/>
      <c r="AT10" s="720"/>
      <c r="AU10" s="729" t="s">
        <v>45</v>
      </c>
      <c r="AV10" s="730"/>
      <c r="AW10" s="730"/>
      <c r="AX10" s="730"/>
      <c r="AY10" s="730"/>
      <c r="AZ10" s="730"/>
      <c r="BA10" s="730"/>
      <c r="BB10" s="730"/>
      <c r="BC10" s="720"/>
      <c r="BD10" s="729" t="s">
        <v>46</v>
      </c>
      <c r="BE10" s="730"/>
      <c r="BF10" s="730"/>
      <c r="BG10" s="730"/>
      <c r="BH10" s="730"/>
      <c r="BI10" s="730"/>
      <c r="BJ10" s="730"/>
      <c r="BK10" s="730"/>
      <c r="BL10" s="720"/>
      <c r="BM10" s="729" t="s">
        <v>47</v>
      </c>
      <c r="BN10" s="730"/>
      <c r="BO10" s="730"/>
      <c r="BP10" s="730"/>
      <c r="BQ10" s="730"/>
      <c r="BR10" s="730"/>
      <c r="BS10" s="730"/>
      <c r="BT10" s="730"/>
      <c r="BU10" s="720"/>
      <c r="BV10" s="729" t="s">
        <v>48</v>
      </c>
      <c r="BW10" s="730"/>
      <c r="BX10" s="730"/>
      <c r="BY10" s="730"/>
      <c r="BZ10" s="730"/>
      <c r="CA10" s="730"/>
      <c r="CB10" s="730"/>
      <c r="CC10" s="730"/>
      <c r="CD10" s="720"/>
      <c r="CE10" s="729" t="s">
        <v>49</v>
      </c>
      <c r="CF10" s="730"/>
      <c r="CG10" s="730"/>
      <c r="CH10" s="730"/>
      <c r="CI10" s="730"/>
      <c r="CJ10" s="730"/>
      <c r="CK10" s="730"/>
      <c r="CL10" s="730"/>
      <c r="CM10" s="720"/>
      <c r="CN10" s="729" t="s">
        <v>50</v>
      </c>
      <c r="CO10" s="730"/>
      <c r="CP10" s="730"/>
      <c r="CQ10" s="730"/>
      <c r="CR10" s="730"/>
      <c r="CS10" s="730"/>
      <c r="CT10" s="730"/>
      <c r="CU10" s="730"/>
      <c r="CV10" s="720"/>
      <c r="CW10" s="729" t="s">
        <v>51</v>
      </c>
      <c r="CX10" s="730"/>
      <c r="CY10" s="730"/>
      <c r="CZ10" s="730"/>
      <c r="DA10" s="730"/>
      <c r="DB10" s="730"/>
      <c r="DC10" s="730"/>
      <c r="DD10" s="730"/>
      <c r="DE10" s="720"/>
      <c r="DF10" s="729" t="s">
        <v>52</v>
      </c>
      <c r="DG10" s="730"/>
      <c r="DH10" s="730"/>
      <c r="DI10" s="730"/>
      <c r="DJ10" s="730"/>
      <c r="DK10" s="730"/>
      <c r="DL10" s="730"/>
      <c r="DM10" s="730"/>
      <c r="DN10" s="720"/>
      <c r="DO10" s="726" t="s">
        <v>53</v>
      </c>
      <c r="DP10" s="728" t="s">
        <v>54</v>
      </c>
    </row>
    <row r="11" spans="2:121" ht="61.5" customHeight="1">
      <c r="B11" s="718"/>
      <c r="C11" s="718"/>
      <c r="D11" s="721"/>
      <c r="E11" s="722"/>
      <c r="F11" s="718"/>
      <c r="G11" s="718"/>
      <c r="H11" s="718"/>
      <c r="I11" s="718"/>
      <c r="J11" s="725"/>
      <c r="K11" s="721"/>
      <c r="L11" s="731"/>
      <c r="M11" s="731"/>
      <c r="N11" s="731"/>
      <c r="O11" s="731"/>
      <c r="P11" s="731"/>
      <c r="Q11" s="731"/>
      <c r="R11" s="731"/>
      <c r="S11" s="722"/>
      <c r="T11" s="721"/>
      <c r="U11" s="731"/>
      <c r="V11" s="731"/>
      <c r="W11" s="731"/>
      <c r="X11" s="731"/>
      <c r="Y11" s="731"/>
      <c r="Z11" s="731"/>
      <c r="AA11" s="731"/>
      <c r="AB11" s="722"/>
      <c r="AC11" s="721"/>
      <c r="AD11" s="731"/>
      <c r="AE11" s="731"/>
      <c r="AF11" s="731"/>
      <c r="AG11" s="731"/>
      <c r="AH11" s="731"/>
      <c r="AI11" s="731"/>
      <c r="AJ11" s="731"/>
      <c r="AK11" s="722"/>
      <c r="AL11" s="721"/>
      <c r="AM11" s="731"/>
      <c r="AN11" s="731"/>
      <c r="AO11" s="731"/>
      <c r="AP11" s="731"/>
      <c r="AQ11" s="731"/>
      <c r="AR11" s="731"/>
      <c r="AS11" s="731"/>
      <c r="AT11" s="722"/>
      <c r="AU11" s="721"/>
      <c r="AV11" s="731"/>
      <c r="AW11" s="731"/>
      <c r="AX11" s="731"/>
      <c r="AY11" s="731"/>
      <c r="AZ11" s="731"/>
      <c r="BA11" s="731"/>
      <c r="BB11" s="731"/>
      <c r="BC11" s="722"/>
      <c r="BD11" s="721"/>
      <c r="BE11" s="731"/>
      <c r="BF11" s="731"/>
      <c r="BG11" s="731"/>
      <c r="BH11" s="731"/>
      <c r="BI11" s="731"/>
      <c r="BJ11" s="731"/>
      <c r="BK11" s="731"/>
      <c r="BL11" s="722"/>
      <c r="BM11" s="721"/>
      <c r="BN11" s="731"/>
      <c r="BO11" s="731"/>
      <c r="BP11" s="731"/>
      <c r="BQ11" s="731"/>
      <c r="BR11" s="731"/>
      <c r="BS11" s="731"/>
      <c r="BT11" s="731"/>
      <c r="BU11" s="722"/>
      <c r="BV11" s="721"/>
      <c r="BW11" s="731"/>
      <c r="BX11" s="731"/>
      <c r="BY11" s="731"/>
      <c r="BZ11" s="731"/>
      <c r="CA11" s="731"/>
      <c r="CB11" s="731"/>
      <c r="CC11" s="731"/>
      <c r="CD11" s="722"/>
      <c r="CE11" s="721"/>
      <c r="CF11" s="731"/>
      <c r="CG11" s="731"/>
      <c r="CH11" s="731"/>
      <c r="CI11" s="731"/>
      <c r="CJ11" s="731"/>
      <c r="CK11" s="731"/>
      <c r="CL11" s="731"/>
      <c r="CM11" s="722"/>
      <c r="CN11" s="721"/>
      <c r="CO11" s="731"/>
      <c r="CP11" s="731"/>
      <c r="CQ11" s="731"/>
      <c r="CR11" s="731"/>
      <c r="CS11" s="731"/>
      <c r="CT11" s="731"/>
      <c r="CU11" s="731"/>
      <c r="CV11" s="722"/>
      <c r="CW11" s="721"/>
      <c r="CX11" s="731"/>
      <c r="CY11" s="731"/>
      <c r="CZ11" s="731"/>
      <c r="DA11" s="731"/>
      <c r="DB11" s="731"/>
      <c r="DC11" s="731"/>
      <c r="DD11" s="731"/>
      <c r="DE11" s="722"/>
      <c r="DF11" s="721"/>
      <c r="DG11" s="731"/>
      <c r="DH11" s="731"/>
      <c r="DI11" s="731"/>
      <c r="DJ11" s="731"/>
      <c r="DK11" s="731"/>
      <c r="DL11" s="731"/>
      <c r="DM11" s="731"/>
      <c r="DN11" s="722"/>
      <c r="DO11" s="727"/>
      <c r="DP11" s="718"/>
    </row>
    <row r="12" spans="2:121" ht="51.75" customHeight="1">
      <c r="B12" s="718"/>
      <c r="C12" s="718"/>
      <c r="D12" s="721"/>
      <c r="E12" s="722"/>
      <c r="F12" s="718"/>
      <c r="G12" s="718"/>
      <c r="H12" s="718"/>
      <c r="I12" s="718"/>
      <c r="J12" s="728" t="s">
        <v>55</v>
      </c>
      <c r="K12" s="732"/>
      <c r="L12" s="716"/>
      <c r="M12" s="716"/>
      <c r="N12" s="716"/>
      <c r="O12" s="716"/>
      <c r="P12" s="716"/>
      <c r="Q12" s="716"/>
      <c r="R12" s="716"/>
      <c r="S12" s="733"/>
      <c r="T12" s="732"/>
      <c r="U12" s="716"/>
      <c r="V12" s="716"/>
      <c r="W12" s="716"/>
      <c r="X12" s="716"/>
      <c r="Y12" s="716"/>
      <c r="Z12" s="716"/>
      <c r="AA12" s="716"/>
      <c r="AB12" s="733"/>
      <c r="AC12" s="732"/>
      <c r="AD12" s="716"/>
      <c r="AE12" s="716"/>
      <c r="AF12" s="716"/>
      <c r="AG12" s="716"/>
      <c r="AH12" s="716"/>
      <c r="AI12" s="716"/>
      <c r="AJ12" s="716"/>
      <c r="AK12" s="733"/>
      <c r="AL12" s="732"/>
      <c r="AM12" s="716"/>
      <c r="AN12" s="716"/>
      <c r="AO12" s="716"/>
      <c r="AP12" s="716"/>
      <c r="AQ12" s="716"/>
      <c r="AR12" s="716"/>
      <c r="AS12" s="716"/>
      <c r="AT12" s="733"/>
      <c r="AU12" s="732"/>
      <c r="AV12" s="716"/>
      <c r="AW12" s="716"/>
      <c r="AX12" s="716"/>
      <c r="AY12" s="716"/>
      <c r="AZ12" s="716"/>
      <c r="BA12" s="716"/>
      <c r="BB12" s="716"/>
      <c r="BC12" s="733"/>
      <c r="BD12" s="732"/>
      <c r="BE12" s="716"/>
      <c r="BF12" s="716"/>
      <c r="BG12" s="716"/>
      <c r="BH12" s="716"/>
      <c r="BI12" s="716"/>
      <c r="BJ12" s="716"/>
      <c r="BK12" s="716"/>
      <c r="BL12" s="733"/>
      <c r="BM12" s="732"/>
      <c r="BN12" s="716"/>
      <c r="BO12" s="716"/>
      <c r="BP12" s="716"/>
      <c r="BQ12" s="716"/>
      <c r="BR12" s="716"/>
      <c r="BS12" s="716"/>
      <c r="BT12" s="716"/>
      <c r="BU12" s="733"/>
      <c r="BV12" s="732"/>
      <c r="BW12" s="716"/>
      <c r="BX12" s="716"/>
      <c r="BY12" s="716"/>
      <c r="BZ12" s="716"/>
      <c r="CA12" s="716"/>
      <c r="CB12" s="716"/>
      <c r="CC12" s="716"/>
      <c r="CD12" s="733"/>
      <c r="CE12" s="732"/>
      <c r="CF12" s="716"/>
      <c r="CG12" s="716"/>
      <c r="CH12" s="716"/>
      <c r="CI12" s="716"/>
      <c r="CJ12" s="716"/>
      <c r="CK12" s="716"/>
      <c r="CL12" s="716"/>
      <c r="CM12" s="733"/>
      <c r="CN12" s="732"/>
      <c r="CO12" s="716"/>
      <c r="CP12" s="716"/>
      <c r="CQ12" s="716"/>
      <c r="CR12" s="716"/>
      <c r="CS12" s="716"/>
      <c r="CT12" s="716"/>
      <c r="CU12" s="716"/>
      <c r="CV12" s="733"/>
      <c r="CW12" s="732"/>
      <c r="CX12" s="716"/>
      <c r="CY12" s="716"/>
      <c r="CZ12" s="716"/>
      <c r="DA12" s="716"/>
      <c r="DB12" s="716"/>
      <c r="DC12" s="716"/>
      <c r="DD12" s="716"/>
      <c r="DE12" s="733"/>
      <c r="DF12" s="732"/>
      <c r="DG12" s="716"/>
      <c r="DH12" s="716"/>
      <c r="DI12" s="716"/>
      <c r="DJ12" s="716"/>
      <c r="DK12" s="716"/>
      <c r="DL12" s="716"/>
      <c r="DM12" s="716"/>
      <c r="DN12" s="733"/>
      <c r="DO12" s="727"/>
      <c r="DP12" s="718"/>
    </row>
    <row r="13" spans="2:121" ht="93">
      <c r="B13" s="718"/>
      <c r="C13" s="718"/>
      <c r="D13" s="721"/>
      <c r="E13" s="722"/>
      <c r="F13" s="718"/>
      <c r="G13" s="718"/>
      <c r="H13" s="718"/>
      <c r="I13" s="718"/>
      <c r="J13" s="718"/>
      <c r="K13" s="14" t="s">
        <v>56</v>
      </c>
      <c r="L13" s="14" t="s">
        <v>57</v>
      </c>
      <c r="M13" s="14" t="s">
        <v>58</v>
      </c>
      <c r="N13" s="14" t="s">
        <v>59</v>
      </c>
      <c r="O13" s="14" t="s">
        <v>60</v>
      </c>
      <c r="P13" s="14" t="s">
        <v>61</v>
      </c>
      <c r="Q13" s="14" t="s">
        <v>62</v>
      </c>
      <c r="R13" s="14" t="s">
        <v>63</v>
      </c>
      <c r="S13" s="14" t="s">
        <v>64</v>
      </c>
      <c r="T13" s="14" t="s">
        <v>56</v>
      </c>
      <c r="U13" s="14" t="s">
        <v>57</v>
      </c>
      <c r="V13" s="14" t="s">
        <v>58</v>
      </c>
      <c r="W13" s="14" t="s">
        <v>59</v>
      </c>
      <c r="X13" s="14" t="s">
        <v>60</v>
      </c>
      <c r="Y13" s="14" t="s">
        <v>61</v>
      </c>
      <c r="Z13" s="14" t="s">
        <v>62</v>
      </c>
      <c r="AA13" s="14" t="s">
        <v>63</v>
      </c>
      <c r="AB13" s="14" t="s">
        <v>64</v>
      </c>
      <c r="AC13" s="14" t="s">
        <v>56</v>
      </c>
      <c r="AD13" s="14" t="s">
        <v>57</v>
      </c>
      <c r="AE13" s="14" t="s">
        <v>58</v>
      </c>
      <c r="AF13" s="14" t="s">
        <v>59</v>
      </c>
      <c r="AG13" s="14" t="s">
        <v>60</v>
      </c>
      <c r="AH13" s="14" t="s">
        <v>61</v>
      </c>
      <c r="AI13" s="14" t="s">
        <v>62</v>
      </c>
      <c r="AJ13" s="14" t="s">
        <v>63</v>
      </c>
      <c r="AK13" s="14" t="s">
        <v>64</v>
      </c>
      <c r="AL13" s="14" t="s">
        <v>56</v>
      </c>
      <c r="AM13" s="14" t="s">
        <v>57</v>
      </c>
      <c r="AN13" s="14" t="s">
        <v>58</v>
      </c>
      <c r="AO13" s="14" t="s">
        <v>59</v>
      </c>
      <c r="AP13" s="14" t="s">
        <v>60</v>
      </c>
      <c r="AQ13" s="14" t="s">
        <v>61</v>
      </c>
      <c r="AR13" s="14" t="s">
        <v>62</v>
      </c>
      <c r="AS13" s="14" t="s">
        <v>63</v>
      </c>
      <c r="AT13" s="14" t="s">
        <v>64</v>
      </c>
      <c r="AU13" s="14" t="s">
        <v>56</v>
      </c>
      <c r="AV13" s="14" t="s">
        <v>57</v>
      </c>
      <c r="AW13" s="14" t="s">
        <v>58</v>
      </c>
      <c r="AX13" s="14" t="s">
        <v>59</v>
      </c>
      <c r="AY13" s="14" t="s">
        <v>60</v>
      </c>
      <c r="AZ13" s="14" t="s">
        <v>61</v>
      </c>
      <c r="BA13" s="14" t="s">
        <v>62</v>
      </c>
      <c r="BB13" s="14" t="s">
        <v>63</v>
      </c>
      <c r="BC13" s="14" t="s">
        <v>64</v>
      </c>
      <c r="BD13" s="14" t="s">
        <v>56</v>
      </c>
      <c r="BE13" s="14" t="s">
        <v>57</v>
      </c>
      <c r="BF13" s="14" t="s">
        <v>58</v>
      </c>
      <c r="BG13" s="14" t="s">
        <v>59</v>
      </c>
      <c r="BH13" s="14" t="s">
        <v>60</v>
      </c>
      <c r="BI13" s="14" t="s">
        <v>61</v>
      </c>
      <c r="BJ13" s="14" t="s">
        <v>62</v>
      </c>
      <c r="BK13" s="14" t="s">
        <v>63</v>
      </c>
      <c r="BL13" s="14" t="s">
        <v>64</v>
      </c>
      <c r="BM13" s="14" t="s">
        <v>56</v>
      </c>
      <c r="BN13" s="14" t="s">
        <v>57</v>
      </c>
      <c r="BO13" s="14" t="s">
        <v>58</v>
      </c>
      <c r="BP13" s="14" t="s">
        <v>59</v>
      </c>
      <c r="BQ13" s="14" t="s">
        <v>60</v>
      </c>
      <c r="BR13" s="14" t="s">
        <v>61</v>
      </c>
      <c r="BS13" s="14" t="s">
        <v>62</v>
      </c>
      <c r="BT13" s="14" t="s">
        <v>63</v>
      </c>
      <c r="BU13" s="14" t="s">
        <v>64</v>
      </c>
      <c r="BV13" s="14" t="s">
        <v>56</v>
      </c>
      <c r="BW13" s="14" t="s">
        <v>57</v>
      </c>
      <c r="BX13" s="14" t="s">
        <v>58</v>
      </c>
      <c r="BY13" s="14" t="s">
        <v>59</v>
      </c>
      <c r="BZ13" s="14" t="s">
        <v>60</v>
      </c>
      <c r="CA13" s="14" t="s">
        <v>61</v>
      </c>
      <c r="CB13" s="14" t="s">
        <v>62</v>
      </c>
      <c r="CC13" s="14" t="s">
        <v>63</v>
      </c>
      <c r="CD13" s="14" t="s">
        <v>64</v>
      </c>
      <c r="CE13" s="14" t="s">
        <v>56</v>
      </c>
      <c r="CF13" s="14" t="s">
        <v>57</v>
      </c>
      <c r="CG13" s="14" t="s">
        <v>58</v>
      </c>
      <c r="CH13" s="14" t="s">
        <v>59</v>
      </c>
      <c r="CI13" s="14" t="s">
        <v>60</v>
      </c>
      <c r="CJ13" s="14" t="s">
        <v>61</v>
      </c>
      <c r="CK13" s="14" t="s">
        <v>62</v>
      </c>
      <c r="CL13" s="14" t="s">
        <v>63</v>
      </c>
      <c r="CM13" s="14" t="s">
        <v>64</v>
      </c>
      <c r="CN13" s="14" t="s">
        <v>56</v>
      </c>
      <c r="CO13" s="14" t="s">
        <v>57</v>
      </c>
      <c r="CP13" s="14" t="s">
        <v>58</v>
      </c>
      <c r="CQ13" s="14" t="s">
        <v>59</v>
      </c>
      <c r="CR13" s="14" t="s">
        <v>60</v>
      </c>
      <c r="CS13" s="14" t="s">
        <v>61</v>
      </c>
      <c r="CT13" s="14" t="s">
        <v>62</v>
      </c>
      <c r="CU13" s="14" t="s">
        <v>63</v>
      </c>
      <c r="CV13" s="14" t="s">
        <v>64</v>
      </c>
      <c r="CW13" s="14" t="s">
        <v>56</v>
      </c>
      <c r="CX13" s="14" t="s">
        <v>57</v>
      </c>
      <c r="CY13" s="14" t="s">
        <v>58</v>
      </c>
      <c r="CZ13" s="14" t="s">
        <v>59</v>
      </c>
      <c r="DA13" s="14" t="s">
        <v>60</v>
      </c>
      <c r="DB13" s="14" t="s">
        <v>61</v>
      </c>
      <c r="DC13" s="14" t="s">
        <v>62</v>
      </c>
      <c r="DD13" s="14" t="s">
        <v>63</v>
      </c>
      <c r="DE13" s="14" t="s">
        <v>64</v>
      </c>
      <c r="DF13" s="14" t="s">
        <v>56</v>
      </c>
      <c r="DG13" s="14" t="s">
        <v>57</v>
      </c>
      <c r="DH13" s="14" t="s">
        <v>58</v>
      </c>
      <c r="DI13" s="14" t="s">
        <v>59</v>
      </c>
      <c r="DJ13" s="14" t="s">
        <v>60</v>
      </c>
      <c r="DK13" s="14" t="s">
        <v>61</v>
      </c>
      <c r="DL13" s="14" t="s">
        <v>62</v>
      </c>
      <c r="DM13" s="14" t="s">
        <v>63</v>
      </c>
      <c r="DN13" s="14" t="s">
        <v>64</v>
      </c>
      <c r="DO13" s="727"/>
      <c r="DP13" s="725"/>
    </row>
    <row r="14" spans="2:121" ht="192" hidden="1" customHeight="1">
      <c r="B14" s="734" t="s">
        <v>67</v>
      </c>
      <c r="C14" s="734" t="s">
        <v>100</v>
      </c>
      <c r="D14" s="736" t="s">
        <v>73</v>
      </c>
      <c r="E14" s="737"/>
      <c r="F14" s="740" t="s">
        <v>16</v>
      </c>
      <c r="G14" s="747">
        <v>3500</v>
      </c>
      <c r="H14" s="748" t="s">
        <v>101</v>
      </c>
      <c r="I14" s="707">
        <v>3500</v>
      </c>
      <c r="J14" s="15" t="s">
        <v>65</v>
      </c>
      <c r="K14" s="16">
        <v>35</v>
      </c>
      <c r="L14" s="17">
        <v>30</v>
      </c>
      <c r="M14" s="17">
        <v>0</v>
      </c>
      <c r="N14" s="17">
        <v>0</v>
      </c>
      <c r="O14" s="17">
        <v>15</v>
      </c>
      <c r="P14" s="17">
        <v>10</v>
      </c>
      <c r="Q14" s="17">
        <v>8</v>
      </c>
      <c r="R14" s="17">
        <v>5</v>
      </c>
      <c r="S14" s="18">
        <f t="shared" ref="S14:S37" si="0">SUM(K14:R14)</f>
        <v>103</v>
      </c>
      <c r="T14" s="16">
        <v>20</v>
      </c>
      <c r="U14" s="17">
        <v>15</v>
      </c>
      <c r="V14" s="17">
        <v>5</v>
      </c>
      <c r="W14" s="17">
        <v>0</v>
      </c>
      <c r="X14" s="17">
        <v>20</v>
      </c>
      <c r="Y14" s="17">
        <v>5</v>
      </c>
      <c r="Z14" s="17">
        <v>5</v>
      </c>
      <c r="AA14" s="17">
        <v>0</v>
      </c>
      <c r="AB14" s="18">
        <f t="shared" ref="AB14:AB37" si="1">SUM(T14:AA14)</f>
        <v>70</v>
      </c>
      <c r="AC14" s="18">
        <v>69</v>
      </c>
      <c r="AD14" s="18">
        <v>48</v>
      </c>
      <c r="AE14" s="18">
        <v>30</v>
      </c>
      <c r="AF14" s="18">
        <v>26</v>
      </c>
      <c r="AG14" s="18">
        <v>80</v>
      </c>
      <c r="AH14" s="18">
        <v>55</v>
      </c>
      <c r="AI14" s="18">
        <v>30</v>
      </c>
      <c r="AJ14" s="18">
        <v>21</v>
      </c>
      <c r="AK14" s="18">
        <f t="shared" ref="AK14:AK37" si="2">SUM(AC14:AJ14)</f>
        <v>359</v>
      </c>
      <c r="AL14" s="19">
        <v>58</v>
      </c>
      <c r="AM14" s="19">
        <v>41</v>
      </c>
      <c r="AN14" s="19">
        <v>22</v>
      </c>
      <c r="AO14" s="19">
        <v>15</v>
      </c>
      <c r="AP14" s="19">
        <v>65</v>
      </c>
      <c r="AQ14" s="19">
        <v>30</v>
      </c>
      <c r="AR14" s="19">
        <v>18</v>
      </c>
      <c r="AS14" s="19">
        <v>20</v>
      </c>
      <c r="AT14" s="19">
        <f t="shared" ref="AT14:AT37" si="3">SUM(AL14:AS14)</f>
        <v>269</v>
      </c>
      <c r="AU14" s="18">
        <v>71</v>
      </c>
      <c r="AV14" s="18">
        <v>58</v>
      </c>
      <c r="AW14" s="18">
        <v>30</v>
      </c>
      <c r="AX14" s="18">
        <v>22</v>
      </c>
      <c r="AY14" s="18">
        <v>72</v>
      </c>
      <c r="AZ14" s="18">
        <v>55</v>
      </c>
      <c r="BA14" s="18">
        <v>22</v>
      </c>
      <c r="BB14" s="18">
        <v>20</v>
      </c>
      <c r="BC14" s="18">
        <f t="shared" ref="BC14:BC37" si="4">SUM(AU14:BB14)</f>
        <v>350</v>
      </c>
      <c r="BD14" s="18">
        <v>72</v>
      </c>
      <c r="BE14" s="18">
        <v>55</v>
      </c>
      <c r="BF14" s="18">
        <v>25</v>
      </c>
      <c r="BG14" s="18">
        <v>20</v>
      </c>
      <c r="BH14" s="18">
        <v>76</v>
      </c>
      <c r="BI14" s="18">
        <v>60</v>
      </c>
      <c r="BJ14" s="18">
        <v>27</v>
      </c>
      <c r="BK14" s="18">
        <v>20</v>
      </c>
      <c r="BL14" s="18">
        <f t="shared" ref="BL14:BL37" si="5">SUM(BD14:BK14)</f>
        <v>355</v>
      </c>
      <c r="BM14" s="18">
        <v>74</v>
      </c>
      <c r="BN14" s="18">
        <v>58</v>
      </c>
      <c r="BO14" s="18">
        <v>22</v>
      </c>
      <c r="BP14" s="18">
        <v>17</v>
      </c>
      <c r="BQ14" s="18">
        <v>78</v>
      </c>
      <c r="BR14" s="18">
        <v>61</v>
      </c>
      <c r="BS14" s="18">
        <v>30</v>
      </c>
      <c r="BT14" s="18">
        <v>18</v>
      </c>
      <c r="BU14" s="18">
        <f t="shared" ref="BU14:BU37" si="6">SUM(BM14:BT14)</f>
        <v>358</v>
      </c>
      <c r="BV14" s="18">
        <v>73</v>
      </c>
      <c r="BW14" s="18">
        <v>55</v>
      </c>
      <c r="BX14" s="18">
        <v>25</v>
      </c>
      <c r="BY14" s="18">
        <v>15</v>
      </c>
      <c r="BZ14" s="18">
        <v>73</v>
      </c>
      <c r="CA14" s="18">
        <v>41</v>
      </c>
      <c r="CB14" s="18">
        <v>22</v>
      </c>
      <c r="CC14" s="18">
        <v>15</v>
      </c>
      <c r="CD14" s="18">
        <f t="shared" ref="CD14:CD37" si="7">SUM(BV14:CC14)</f>
        <v>319</v>
      </c>
      <c r="CE14" s="18">
        <v>74</v>
      </c>
      <c r="CF14" s="18">
        <v>52</v>
      </c>
      <c r="CG14" s="18">
        <v>20</v>
      </c>
      <c r="CH14" s="18">
        <v>14</v>
      </c>
      <c r="CI14" s="18">
        <v>74</v>
      </c>
      <c r="CJ14" s="18">
        <v>59</v>
      </c>
      <c r="CK14" s="18">
        <v>21</v>
      </c>
      <c r="CL14" s="18">
        <v>10</v>
      </c>
      <c r="CM14" s="18">
        <f t="shared" ref="CM14:CM37" si="8">SUM(CE14:CL14)</f>
        <v>324</v>
      </c>
      <c r="CN14" s="18">
        <v>70</v>
      </c>
      <c r="CO14" s="18">
        <v>55</v>
      </c>
      <c r="CP14" s="18">
        <v>20</v>
      </c>
      <c r="CQ14" s="18">
        <v>15</v>
      </c>
      <c r="CR14" s="18">
        <v>79</v>
      </c>
      <c r="CS14" s="18">
        <v>58</v>
      </c>
      <c r="CT14" s="18">
        <v>30</v>
      </c>
      <c r="CU14" s="18">
        <v>19</v>
      </c>
      <c r="CV14" s="18">
        <f t="shared" ref="CV14:CV37" si="9">SUM(CN14:CU14)</f>
        <v>346</v>
      </c>
      <c r="CW14" s="18">
        <v>75</v>
      </c>
      <c r="CX14" s="18">
        <v>55</v>
      </c>
      <c r="CY14" s="18">
        <v>20</v>
      </c>
      <c r="CZ14" s="18">
        <v>15</v>
      </c>
      <c r="DA14" s="18">
        <v>81</v>
      </c>
      <c r="DB14" s="18">
        <v>55</v>
      </c>
      <c r="DC14" s="18">
        <v>33</v>
      </c>
      <c r="DD14" s="18">
        <v>25</v>
      </c>
      <c r="DE14" s="18">
        <f t="shared" ref="DE14:DE37" si="10">SUM(CW14:DD14)</f>
        <v>359</v>
      </c>
      <c r="DF14" s="20">
        <v>55</v>
      </c>
      <c r="DG14" s="20">
        <v>40</v>
      </c>
      <c r="DH14" s="20">
        <v>25</v>
      </c>
      <c r="DI14" s="20">
        <v>20</v>
      </c>
      <c r="DJ14" s="20">
        <v>65</v>
      </c>
      <c r="DK14" s="20">
        <v>38</v>
      </c>
      <c r="DL14" s="20">
        <v>25</v>
      </c>
      <c r="DM14" s="20">
        <f t="shared" ref="DM14" si="11">AS14</f>
        <v>20</v>
      </c>
      <c r="DN14" s="20">
        <f t="shared" ref="DN14:DN37" si="12">SUM(DF14:DM14)</f>
        <v>288</v>
      </c>
      <c r="DO14" s="21">
        <f t="shared" ref="DO14:DO37" si="13">S14+AB14+AK14+AT14+BC14+BL14+BU14+CD14+CM14+CV14+DE14+DN14</f>
        <v>3500</v>
      </c>
      <c r="DP14" s="20"/>
      <c r="DQ14" s="22"/>
    </row>
    <row r="15" spans="2:121" ht="157.5" customHeight="1">
      <c r="B15" s="735"/>
      <c r="C15" s="735"/>
      <c r="D15" s="738"/>
      <c r="E15" s="739"/>
      <c r="F15" s="741"/>
      <c r="G15" s="743"/>
      <c r="H15" s="749"/>
      <c r="I15" s="708"/>
      <c r="J15" s="23" t="s">
        <v>66</v>
      </c>
      <c r="K15" s="16">
        <f>4+11+6+2+25</f>
        <v>48</v>
      </c>
      <c r="L15" s="17">
        <f>2+4+10+4+19</f>
        <v>39</v>
      </c>
      <c r="M15" s="17">
        <v>3</v>
      </c>
      <c r="N15" s="17">
        <v>2</v>
      </c>
      <c r="O15" s="17">
        <v>23</v>
      </c>
      <c r="P15" s="17">
        <v>15</v>
      </c>
      <c r="Q15" s="17">
        <f>4+12</f>
        <v>16</v>
      </c>
      <c r="R15" s="17">
        <v>10</v>
      </c>
      <c r="S15" s="24">
        <f>SUM(K15:R15)</f>
        <v>156</v>
      </c>
      <c r="T15" s="16">
        <v>29</v>
      </c>
      <c r="U15" s="17">
        <f>15+10+1+2+4</f>
        <v>32</v>
      </c>
      <c r="V15" s="17">
        <f>2+2+3+2</f>
        <v>9</v>
      </c>
      <c r="W15" s="17">
        <f>2+1</f>
        <v>3</v>
      </c>
      <c r="X15" s="17">
        <f>20+5+4</f>
        <v>29</v>
      </c>
      <c r="Y15" s="17">
        <v>10</v>
      </c>
      <c r="Z15" s="17">
        <f>5+4+2</f>
        <v>11</v>
      </c>
      <c r="AA15" s="17">
        <f>1+1+2</f>
        <v>4</v>
      </c>
      <c r="AB15" s="24">
        <f>SUM(T15:AA15)</f>
        <v>127</v>
      </c>
      <c r="AC15" s="18">
        <f>12+5+33+10</f>
        <v>60</v>
      </c>
      <c r="AD15" s="18">
        <f>48+8+3</f>
        <v>59</v>
      </c>
      <c r="AE15" s="18">
        <f>3+22+9+8</f>
        <v>42</v>
      </c>
      <c r="AF15" s="18">
        <f>4+9</f>
        <v>13</v>
      </c>
      <c r="AG15" s="18">
        <f>6+26</f>
        <v>32</v>
      </c>
      <c r="AH15" s="18">
        <f>2+19</f>
        <v>21</v>
      </c>
      <c r="AI15" s="18">
        <f>1+35</f>
        <v>36</v>
      </c>
      <c r="AJ15" s="18">
        <v>23</v>
      </c>
      <c r="AK15" s="24">
        <f>SUM(AC15:AJ15)</f>
        <v>286</v>
      </c>
      <c r="AL15" s="19">
        <v>20</v>
      </c>
      <c r="AM15" s="19">
        <v>15</v>
      </c>
      <c r="AN15" s="19">
        <v>8</v>
      </c>
      <c r="AO15" s="19">
        <v>5</v>
      </c>
      <c r="AP15" s="19">
        <v>23</v>
      </c>
      <c r="AQ15" s="19">
        <v>15</v>
      </c>
      <c r="AR15" s="19">
        <v>5</v>
      </c>
      <c r="AS15" s="19">
        <v>5</v>
      </c>
      <c r="AT15" s="19">
        <f t="shared" si="3"/>
        <v>96</v>
      </c>
      <c r="AU15" s="18">
        <f>15+7+6+4+3+6</f>
        <v>41</v>
      </c>
      <c r="AV15" s="18">
        <f>12+6+3+4+2+5</f>
        <v>32</v>
      </c>
      <c r="AW15" s="18">
        <f>2+2+2+2+2</f>
        <v>10</v>
      </c>
      <c r="AX15" s="18">
        <f>5+2+1+1+3+3</f>
        <v>15</v>
      </c>
      <c r="AY15" s="18">
        <f>5+2+5+3</f>
        <v>15</v>
      </c>
      <c r="AZ15" s="18">
        <v>0</v>
      </c>
      <c r="BA15" s="18">
        <f>2+1+2+3+3+2</f>
        <v>13</v>
      </c>
      <c r="BB15" s="18">
        <f>1+1+1+3+2</f>
        <v>8</v>
      </c>
      <c r="BC15" s="18">
        <f t="shared" si="4"/>
        <v>134</v>
      </c>
      <c r="BD15" s="18">
        <f>4+8+16+4+12</f>
        <v>44</v>
      </c>
      <c r="BE15" s="18">
        <v>32</v>
      </c>
      <c r="BF15" s="18">
        <v>25</v>
      </c>
      <c r="BG15" s="18">
        <v>19</v>
      </c>
      <c r="BH15" s="18">
        <v>20</v>
      </c>
      <c r="BI15" s="18">
        <v>17</v>
      </c>
      <c r="BJ15" s="18">
        <v>15</v>
      </c>
      <c r="BK15" s="18">
        <v>5</v>
      </c>
      <c r="BL15" s="18">
        <f t="shared" si="5"/>
        <v>177</v>
      </c>
      <c r="BM15" s="18">
        <f>4+6+6+2+3+1+10</f>
        <v>32</v>
      </c>
      <c r="BN15" s="18">
        <f>2+9+5+9+3+10</f>
        <v>38</v>
      </c>
      <c r="BO15" s="18">
        <v>15</v>
      </c>
      <c r="BP15" s="18">
        <v>12</v>
      </c>
      <c r="BQ15" s="18">
        <v>20</v>
      </c>
      <c r="BR15" s="18">
        <v>12</v>
      </c>
      <c r="BS15" s="18">
        <v>10</v>
      </c>
      <c r="BT15" s="18">
        <v>8</v>
      </c>
      <c r="BU15" s="18">
        <f t="shared" si="6"/>
        <v>147</v>
      </c>
      <c r="BV15" s="18">
        <v>41</v>
      </c>
      <c r="BW15" s="18">
        <v>35</v>
      </c>
      <c r="BX15" s="18">
        <v>10</v>
      </c>
      <c r="BY15" s="18">
        <v>8</v>
      </c>
      <c r="BZ15" s="18">
        <v>28</v>
      </c>
      <c r="CA15" s="18">
        <v>11</v>
      </c>
      <c r="CB15" s="18">
        <v>20</v>
      </c>
      <c r="CC15" s="18">
        <v>12</v>
      </c>
      <c r="CD15" s="18">
        <f t="shared" si="7"/>
        <v>165</v>
      </c>
      <c r="CE15" s="25">
        <v>21</v>
      </c>
      <c r="CF15" s="25">
        <v>15</v>
      </c>
      <c r="CG15" s="25">
        <v>5</v>
      </c>
      <c r="CH15" s="25">
        <v>3</v>
      </c>
      <c r="CI15" s="25">
        <v>35</v>
      </c>
      <c r="CJ15" s="25">
        <v>12</v>
      </c>
      <c r="CK15" s="25">
        <v>4</v>
      </c>
      <c r="CL15" s="25">
        <v>1</v>
      </c>
      <c r="CM15" s="25">
        <f t="shared" si="8"/>
        <v>96</v>
      </c>
      <c r="CN15" s="25">
        <f>16+7+6+7+2</f>
        <v>38</v>
      </c>
      <c r="CO15" s="25">
        <f>16+8+2+3+2</f>
        <v>31</v>
      </c>
      <c r="CP15" s="25">
        <f>3+3+2+3+1</f>
        <v>12</v>
      </c>
      <c r="CQ15" s="25">
        <f>1+4+2+4+2</f>
        <v>13</v>
      </c>
      <c r="CR15" s="25">
        <f>7+3+4+7+7+2</f>
        <v>30</v>
      </c>
      <c r="CS15" s="25">
        <f>5+2+3+1</f>
        <v>11</v>
      </c>
      <c r="CT15" s="25">
        <f>6+2+4+2</f>
        <v>14</v>
      </c>
      <c r="CU15" s="25">
        <f>2+1+1</f>
        <v>4</v>
      </c>
      <c r="CV15" s="25">
        <f t="shared" si="9"/>
        <v>153</v>
      </c>
      <c r="CW15" s="25">
        <f>5+7+8+7+21</f>
        <v>48</v>
      </c>
      <c r="CX15" s="25">
        <f>8+4+7+7+12</f>
        <v>38</v>
      </c>
      <c r="CY15" s="25">
        <f>1+2+1+2</f>
        <v>6</v>
      </c>
      <c r="CZ15" s="25">
        <f>1+1+1+3</f>
        <v>6</v>
      </c>
      <c r="DA15" s="25">
        <f>1+1+35+6</f>
        <v>43</v>
      </c>
      <c r="DB15" s="25">
        <v>15</v>
      </c>
      <c r="DC15" s="25">
        <f>7+2+2+9</f>
        <v>20</v>
      </c>
      <c r="DD15" s="25">
        <f>2+3+1</f>
        <v>6</v>
      </c>
      <c r="DE15" s="25">
        <f t="shared" si="10"/>
        <v>182</v>
      </c>
      <c r="DF15" s="26">
        <f>7+2+8+6+15</f>
        <v>38</v>
      </c>
      <c r="DG15" s="26">
        <f>4+6+12+15+6</f>
        <v>43</v>
      </c>
      <c r="DH15" s="26">
        <f>3+2+4+15</f>
        <v>24</v>
      </c>
      <c r="DI15" s="26">
        <v>3</v>
      </c>
      <c r="DJ15" s="26">
        <f>2+13+2+10+25</f>
        <v>52</v>
      </c>
      <c r="DK15" s="26">
        <f>2+2+2+7+18</f>
        <v>31</v>
      </c>
      <c r="DL15" s="26">
        <f>5+2+3+8</f>
        <v>18</v>
      </c>
      <c r="DM15" s="26">
        <f>2+1+2+1+3</f>
        <v>9</v>
      </c>
      <c r="DN15" s="20">
        <f t="shared" si="12"/>
        <v>218</v>
      </c>
      <c r="DO15" s="27">
        <f t="shared" si="13"/>
        <v>1937</v>
      </c>
      <c r="DP15" s="20"/>
      <c r="DQ15" s="22"/>
    </row>
    <row r="16" spans="2:121" ht="165" hidden="1" customHeight="1">
      <c r="B16" s="734" t="s">
        <v>67</v>
      </c>
      <c r="C16" s="734" t="s">
        <v>100</v>
      </c>
      <c r="D16" s="736" t="s">
        <v>73</v>
      </c>
      <c r="E16" s="737"/>
      <c r="F16" s="740" t="s">
        <v>16</v>
      </c>
      <c r="G16" s="742">
        <v>71</v>
      </c>
      <c r="H16" s="734" t="s">
        <v>102</v>
      </c>
      <c r="I16" s="744">
        <v>71</v>
      </c>
      <c r="J16" s="28" t="s">
        <v>65</v>
      </c>
      <c r="K16" s="16">
        <v>0</v>
      </c>
      <c r="L16" s="17">
        <v>0</v>
      </c>
      <c r="M16" s="17">
        <v>0</v>
      </c>
      <c r="N16" s="17">
        <v>0</v>
      </c>
      <c r="O16" s="17">
        <v>0</v>
      </c>
      <c r="P16" s="17">
        <v>2</v>
      </c>
      <c r="Q16" s="17">
        <v>5</v>
      </c>
      <c r="R16" s="17">
        <v>0</v>
      </c>
      <c r="S16" s="24">
        <f t="shared" si="0"/>
        <v>7</v>
      </c>
      <c r="T16" s="16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3</v>
      </c>
      <c r="AA16" s="17">
        <v>1</v>
      </c>
      <c r="AB16" s="24">
        <f t="shared" si="1"/>
        <v>4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8</v>
      </c>
      <c r="AJ16" s="18">
        <v>3</v>
      </c>
      <c r="AK16" s="24">
        <f>SUM(AC16:AJ16)</f>
        <v>11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1</v>
      </c>
      <c r="AS16" s="19">
        <v>0</v>
      </c>
      <c r="AT16" s="19">
        <f>SUM(AL16:AS16)</f>
        <v>1</v>
      </c>
      <c r="AU16" s="18">
        <v>0</v>
      </c>
      <c r="AV16" s="18">
        <v>0</v>
      </c>
      <c r="AW16" s="18">
        <v>0</v>
      </c>
      <c r="AX16" s="18">
        <v>0</v>
      </c>
      <c r="AY16" s="18">
        <v>0</v>
      </c>
      <c r="AZ16" s="18">
        <v>0</v>
      </c>
      <c r="BA16" s="18">
        <v>1</v>
      </c>
      <c r="BB16" s="18">
        <v>0</v>
      </c>
      <c r="BC16" s="18">
        <f>SUM(AU16:BB16)</f>
        <v>1</v>
      </c>
      <c r="BD16" s="18">
        <v>0</v>
      </c>
      <c r="BE16" s="18">
        <v>0</v>
      </c>
      <c r="BF16" s="18">
        <v>0</v>
      </c>
      <c r="BG16" s="18">
        <v>0</v>
      </c>
      <c r="BH16" s="18">
        <v>0</v>
      </c>
      <c r="BI16" s="18">
        <v>0</v>
      </c>
      <c r="BJ16" s="18">
        <v>2</v>
      </c>
      <c r="BK16" s="18">
        <v>2</v>
      </c>
      <c r="BL16" s="18">
        <f>SUM(BD16:BK16)</f>
        <v>4</v>
      </c>
      <c r="BM16" s="18">
        <v>0</v>
      </c>
      <c r="BN16" s="18">
        <v>0</v>
      </c>
      <c r="BO16" s="18">
        <v>0</v>
      </c>
      <c r="BP16" s="18">
        <v>0</v>
      </c>
      <c r="BQ16" s="18">
        <v>0</v>
      </c>
      <c r="BR16" s="18">
        <v>0</v>
      </c>
      <c r="BS16" s="18">
        <v>3</v>
      </c>
      <c r="BT16" s="18">
        <v>1</v>
      </c>
      <c r="BU16" s="18">
        <f>SUM(BM16:BT16)</f>
        <v>4</v>
      </c>
      <c r="BV16" s="18">
        <v>0</v>
      </c>
      <c r="BW16" s="18">
        <v>0</v>
      </c>
      <c r="BX16" s="18">
        <v>0</v>
      </c>
      <c r="BY16" s="18">
        <v>0</v>
      </c>
      <c r="BZ16" s="18">
        <v>0</v>
      </c>
      <c r="CA16" s="18">
        <v>0</v>
      </c>
      <c r="CB16" s="18">
        <v>2</v>
      </c>
      <c r="CC16" s="18">
        <v>1</v>
      </c>
      <c r="CD16" s="18">
        <f>SUM(BV16:CC16)</f>
        <v>3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2</v>
      </c>
      <c r="CL16" s="25">
        <v>1</v>
      </c>
      <c r="CM16" s="25">
        <f>SUM(CE16:CL16)</f>
        <v>3</v>
      </c>
      <c r="CN16" s="25">
        <v>0</v>
      </c>
      <c r="CO16" s="25">
        <v>0</v>
      </c>
      <c r="CP16" s="25">
        <v>0</v>
      </c>
      <c r="CQ16" s="25">
        <v>0</v>
      </c>
      <c r="CR16" s="25">
        <v>0</v>
      </c>
      <c r="CS16" s="25">
        <v>0</v>
      </c>
      <c r="CT16" s="25">
        <v>2</v>
      </c>
      <c r="CU16" s="25">
        <v>1</v>
      </c>
      <c r="CV16" s="25">
        <f>SUM(CN16:CU16)</f>
        <v>3</v>
      </c>
      <c r="CW16" s="25">
        <v>0</v>
      </c>
      <c r="CX16" s="25">
        <v>0</v>
      </c>
      <c r="CY16" s="25">
        <v>0</v>
      </c>
      <c r="CZ16" s="25">
        <v>0</v>
      </c>
      <c r="DA16" s="25">
        <v>0</v>
      </c>
      <c r="DB16" s="25">
        <v>0</v>
      </c>
      <c r="DC16" s="25">
        <v>2</v>
      </c>
      <c r="DD16" s="25">
        <v>2</v>
      </c>
      <c r="DE16" s="25">
        <f>SUM(CW16:DD16)</f>
        <v>4</v>
      </c>
      <c r="DF16" s="26">
        <v>0</v>
      </c>
      <c r="DG16" s="26">
        <v>0</v>
      </c>
      <c r="DH16" s="26">
        <v>0</v>
      </c>
      <c r="DI16" s="26">
        <v>0</v>
      </c>
      <c r="DJ16" s="26">
        <v>0</v>
      </c>
      <c r="DK16" s="26">
        <v>0</v>
      </c>
      <c r="DL16" s="26">
        <v>2</v>
      </c>
      <c r="DM16" s="26">
        <v>0</v>
      </c>
      <c r="DN16" s="20">
        <f t="shared" si="12"/>
        <v>2</v>
      </c>
      <c r="DO16" s="27">
        <f t="shared" si="13"/>
        <v>47</v>
      </c>
      <c r="DP16" s="20"/>
      <c r="DQ16" s="22"/>
    </row>
    <row r="17" spans="2:121" ht="204.75" customHeight="1">
      <c r="B17" s="735"/>
      <c r="C17" s="735"/>
      <c r="D17" s="738"/>
      <c r="E17" s="739"/>
      <c r="F17" s="741"/>
      <c r="G17" s="743"/>
      <c r="H17" s="735"/>
      <c r="I17" s="745"/>
      <c r="J17" s="23" t="s">
        <v>66</v>
      </c>
      <c r="K17" s="16">
        <v>0</v>
      </c>
      <c r="L17" s="17">
        <v>0</v>
      </c>
      <c r="M17" s="17">
        <v>0</v>
      </c>
      <c r="N17" s="17">
        <v>0</v>
      </c>
      <c r="O17" s="17">
        <v>0</v>
      </c>
      <c r="P17" s="17">
        <v>4</v>
      </c>
      <c r="Q17" s="17">
        <v>10</v>
      </c>
      <c r="R17" s="17">
        <v>10</v>
      </c>
      <c r="S17" s="24">
        <f>SUM(K17:R17)</f>
        <v>24</v>
      </c>
      <c r="T17" s="16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7</v>
      </c>
      <c r="AA17" s="17">
        <v>3</v>
      </c>
      <c r="AB17" s="24">
        <f>SUM(T17:AA17)</f>
        <v>10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16</v>
      </c>
      <c r="AK17" s="24">
        <f>SUM(AC17:AJ17)</f>
        <v>16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5</v>
      </c>
      <c r="AS17" s="19">
        <v>3</v>
      </c>
      <c r="AT17" s="19">
        <f t="shared" ref="AT17" si="14">SUM(AL17:AS17)</f>
        <v>8</v>
      </c>
      <c r="AU17" s="18">
        <v>0</v>
      </c>
      <c r="AV17" s="18">
        <v>0</v>
      </c>
      <c r="AW17" s="18">
        <v>0</v>
      </c>
      <c r="AX17" s="18">
        <v>0</v>
      </c>
      <c r="AY17" s="18">
        <v>0</v>
      </c>
      <c r="AZ17" s="18">
        <v>0</v>
      </c>
      <c r="BA17" s="18">
        <v>3</v>
      </c>
      <c r="BB17" s="18">
        <v>2</v>
      </c>
      <c r="BC17" s="18">
        <f t="shared" ref="BC17" si="15">SUM(AU17:BB17)</f>
        <v>5</v>
      </c>
      <c r="BD17" s="18">
        <v>0</v>
      </c>
      <c r="BE17" s="18">
        <v>0</v>
      </c>
      <c r="BF17" s="18">
        <v>0</v>
      </c>
      <c r="BG17" s="18">
        <v>0</v>
      </c>
      <c r="BH17" s="18">
        <v>0</v>
      </c>
      <c r="BI17" s="18">
        <v>0</v>
      </c>
      <c r="BJ17" s="18">
        <v>15</v>
      </c>
      <c r="BK17" s="18">
        <v>10</v>
      </c>
      <c r="BL17" s="18">
        <f t="shared" ref="BL17" si="16">SUM(BD17:BK17)</f>
        <v>25</v>
      </c>
      <c r="BM17" s="18">
        <v>0</v>
      </c>
      <c r="BN17" s="18">
        <v>0</v>
      </c>
      <c r="BO17" s="18">
        <v>0</v>
      </c>
      <c r="BP17" s="18">
        <v>0</v>
      </c>
      <c r="BQ17" s="18">
        <v>0</v>
      </c>
      <c r="BR17" s="18">
        <v>0</v>
      </c>
      <c r="BS17" s="18">
        <v>7</v>
      </c>
      <c r="BT17" s="18">
        <v>5</v>
      </c>
      <c r="BU17" s="18">
        <f t="shared" ref="BU17" si="17">SUM(BM17:BT17)</f>
        <v>12</v>
      </c>
      <c r="BV17" s="18">
        <v>0</v>
      </c>
      <c r="BW17" s="18">
        <v>0</v>
      </c>
      <c r="BX17" s="18">
        <v>0</v>
      </c>
      <c r="BY17" s="18">
        <v>0</v>
      </c>
      <c r="BZ17" s="18">
        <v>0</v>
      </c>
      <c r="CA17" s="18">
        <v>0</v>
      </c>
      <c r="CB17" s="18">
        <v>21</v>
      </c>
      <c r="CC17" s="18">
        <v>20</v>
      </c>
      <c r="CD17" s="18">
        <f t="shared" ref="CD17" si="18">SUM(BV17:CC17)</f>
        <v>41</v>
      </c>
      <c r="CE17" s="25">
        <v>0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4</v>
      </c>
      <c r="CL17" s="25">
        <v>1</v>
      </c>
      <c r="CM17" s="25">
        <f t="shared" ref="CM17" si="19">SUM(CE17:CL17)</f>
        <v>5</v>
      </c>
      <c r="CN17" s="25">
        <v>0</v>
      </c>
      <c r="CO17" s="25">
        <v>0</v>
      </c>
      <c r="CP17" s="25">
        <v>0</v>
      </c>
      <c r="CQ17" s="25">
        <v>0</v>
      </c>
      <c r="CR17" s="25">
        <v>0</v>
      </c>
      <c r="CS17" s="25">
        <v>0</v>
      </c>
      <c r="CT17" s="25">
        <f>6+8+12</f>
        <v>26</v>
      </c>
      <c r="CU17" s="25">
        <f>3+8</f>
        <v>11</v>
      </c>
      <c r="CV17" s="25">
        <f t="shared" ref="CV17" si="20">SUM(CN17:CU17)</f>
        <v>37</v>
      </c>
      <c r="CW17" s="25">
        <v>0</v>
      </c>
      <c r="CX17" s="25">
        <v>0</v>
      </c>
      <c r="CY17" s="25">
        <v>0</v>
      </c>
      <c r="CZ17" s="25">
        <v>0</v>
      </c>
      <c r="DA17" s="25">
        <v>0</v>
      </c>
      <c r="DB17" s="25">
        <v>0</v>
      </c>
      <c r="DC17" s="25">
        <f>2+6+5+9</f>
        <v>22</v>
      </c>
      <c r="DD17" s="25">
        <f>2+2+9+1+1+5</f>
        <v>20</v>
      </c>
      <c r="DE17" s="25">
        <f t="shared" ref="DE17" si="21">SUM(CW17:DD17)</f>
        <v>42</v>
      </c>
      <c r="DF17" s="26">
        <v>0</v>
      </c>
      <c r="DG17" s="26">
        <v>0</v>
      </c>
      <c r="DH17" s="26">
        <v>0</v>
      </c>
      <c r="DI17" s="26">
        <v>0</v>
      </c>
      <c r="DJ17" s="26">
        <v>0</v>
      </c>
      <c r="DK17" s="26">
        <v>0</v>
      </c>
      <c r="DL17" s="26">
        <v>12</v>
      </c>
      <c r="DM17" s="26">
        <v>5</v>
      </c>
      <c r="DN17" s="20">
        <f t="shared" si="12"/>
        <v>17</v>
      </c>
      <c r="DO17" s="27">
        <f t="shared" si="13"/>
        <v>242</v>
      </c>
      <c r="DP17" s="20"/>
      <c r="DQ17" s="22"/>
    </row>
    <row r="18" spans="2:121" ht="212.25" hidden="1" customHeight="1">
      <c r="B18" s="734" t="s">
        <v>67</v>
      </c>
      <c r="C18" s="734" t="s">
        <v>68</v>
      </c>
      <c r="D18" s="736" t="s">
        <v>69</v>
      </c>
      <c r="E18" s="737"/>
      <c r="F18" s="740" t="s">
        <v>103</v>
      </c>
      <c r="G18" s="753">
        <v>2766</v>
      </c>
      <c r="H18" s="734" t="s">
        <v>104</v>
      </c>
      <c r="I18" s="746">
        <v>2766</v>
      </c>
      <c r="J18" s="29" t="s">
        <v>65</v>
      </c>
      <c r="K18" s="16">
        <v>30</v>
      </c>
      <c r="L18" s="17">
        <v>25</v>
      </c>
      <c r="M18" s="17">
        <v>5</v>
      </c>
      <c r="N18" s="17">
        <v>0</v>
      </c>
      <c r="O18" s="17">
        <v>100</v>
      </c>
      <c r="P18" s="17">
        <v>70</v>
      </c>
      <c r="Q18" s="17">
        <v>5</v>
      </c>
      <c r="R18" s="17">
        <v>5</v>
      </c>
      <c r="S18" s="24">
        <f t="shared" si="0"/>
        <v>240</v>
      </c>
      <c r="T18" s="16">
        <v>35</v>
      </c>
      <c r="U18" s="17">
        <v>30</v>
      </c>
      <c r="V18" s="17">
        <v>5</v>
      </c>
      <c r="W18" s="17">
        <v>0</v>
      </c>
      <c r="X18" s="17">
        <v>110</v>
      </c>
      <c r="Y18" s="17">
        <v>30</v>
      </c>
      <c r="Z18" s="17">
        <v>0</v>
      </c>
      <c r="AA18" s="17">
        <v>0</v>
      </c>
      <c r="AB18" s="24">
        <f t="shared" si="1"/>
        <v>210</v>
      </c>
      <c r="AC18" s="16">
        <v>53</v>
      </c>
      <c r="AD18" s="17">
        <v>41</v>
      </c>
      <c r="AE18" s="17">
        <v>12</v>
      </c>
      <c r="AF18" s="17">
        <v>9</v>
      </c>
      <c r="AG18" s="17">
        <v>90</v>
      </c>
      <c r="AH18" s="17">
        <f>112-40</f>
        <v>72</v>
      </c>
      <c r="AI18" s="17">
        <v>15</v>
      </c>
      <c r="AJ18" s="17">
        <v>8</v>
      </c>
      <c r="AK18" s="24">
        <f t="shared" si="2"/>
        <v>300</v>
      </c>
      <c r="AL18" s="30">
        <v>43</v>
      </c>
      <c r="AM18" s="31">
        <v>35</v>
      </c>
      <c r="AN18" s="31">
        <v>15</v>
      </c>
      <c r="AO18" s="31">
        <v>9</v>
      </c>
      <c r="AP18" s="31">
        <v>68</v>
      </c>
      <c r="AQ18" s="31">
        <v>52</v>
      </c>
      <c r="AR18" s="31">
        <v>8</v>
      </c>
      <c r="AS18" s="31">
        <v>6</v>
      </c>
      <c r="AT18" s="19">
        <f t="shared" si="3"/>
        <v>236</v>
      </c>
      <c r="AU18" s="16">
        <v>55</v>
      </c>
      <c r="AV18" s="17">
        <v>41</v>
      </c>
      <c r="AW18" s="17">
        <v>10</v>
      </c>
      <c r="AX18" s="17">
        <v>6</v>
      </c>
      <c r="AY18" s="17">
        <v>70</v>
      </c>
      <c r="AZ18" s="17">
        <v>58</v>
      </c>
      <c r="BA18" s="17">
        <f>2+2+13</f>
        <v>17</v>
      </c>
      <c r="BB18" s="17">
        <f>3+2+7</f>
        <v>12</v>
      </c>
      <c r="BC18" s="18">
        <f t="shared" si="4"/>
        <v>269</v>
      </c>
      <c r="BD18" s="16">
        <v>50</v>
      </c>
      <c r="BE18" s="17">
        <v>45</v>
      </c>
      <c r="BF18" s="17">
        <v>12</v>
      </c>
      <c r="BG18" s="17">
        <v>9</v>
      </c>
      <c r="BH18" s="17">
        <v>52</v>
      </c>
      <c r="BI18" s="17">
        <v>33</v>
      </c>
      <c r="BJ18" s="17">
        <v>8</v>
      </c>
      <c r="BK18" s="17">
        <v>4</v>
      </c>
      <c r="BL18" s="18">
        <f t="shared" si="5"/>
        <v>213</v>
      </c>
      <c r="BM18" s="16">
        <v>41</v>
      </c>
      <c r="BN18" s="17">
        <v>25</v>
      </c>
      <c r="BO18" s="17">
        <v>8</v>
      </c>
      <c r="BP18" s="17">
        <v>4</v>
      </c>
      <c r="BQ18" s="17">
        <v>68</v>
      </c>
      <c r="BR18" s="17">
        <v>40</v>
      </c>
      <c r="BS18" s="17">
        <v>15</v>
      </c>
      <c r="BT18" s="17">
        <v>5</v>
      </c>
      <c r="BU18" s="18">
        <f t="shared" si="6"/>
        <v>206</v>
      </c>
      <c r="BV18" s="16">
        <v>48</v>
      </c>
      <c r="BW18" s="17">
        <v>25</v>
      </c>
      <c r="BX18" s="17">
        <v>7</v>
      </c>
      <c r="BY18" s="17">
        <v>3</v>
      </c>
      <c r="BZ18" s="17">
        <v>51</v>
      </c>
      <c r="CA18" s="17">
        <v>25</v>
      </c>
      <c r="CB18" s="17">
        <v>15</v>
      </c>
      <c r="CC18" s="17">
        <v>8</v>
      </c>
      <c r="CD18" s="18">
        <f t="shared" si="7"/>
        <v>182</v>
      </c>
      <c r="CE18" s="32">
        <v>55</v>
      </c>
      <c r="CF18" s="25">
        <v>35</v>
      </c>
      <c r="CG18" s="25">
        <v>6</v>
      </c>
      <c r="CH18" s="25">
        <v>4</v>
      </c>
      <c r="CI18" s="25">
        <v>60</v>
      </c>
      <c r="CJ18" s="25">
        <v>35</v>
      </c>
      <c r="CK18" s="25">
        <f>2+2+13</f>
        <v>17</v>
      </c>
      <c r="CL18" s="25">
        <f>3+2+7</f>
        <v>12</v>
      </c>
      <c r="CM18" s="25">
        <f t="shared" si="8"/>
        <v>224</v>
      </c>
      <c r="CN18" s="32">
        <v>56</v>
      </c>
      <c r="CO18" s="25">
        <v>42</v>
      </c>
      <c r="CP18" s="25">
        <v>8</v>
      </c>
      <c r="CQ18" s="25">
        <v>6</v>
      </c>
      <c r="CR18" s="25">
        <v>51</v>
      </c>
      <c r="CS18" s="25">
        <v>38</v>
      </c>
      <c r="CT18" s="25">
        <v>12</v>
      </c>
      <c r="CU18" s="25">
        <v>9</v>
      </c>
      <c r="CV18" s="25">
        <f t="shared" si="9"/>
        <v>222</v>
      </c>
      <c r="CW18" s="32">
        <v>53</v>
      </c>
      <c r="CX18" s="25">
        <v>38</v>
      </c>
      <c r="CY18" s="25">
        <v>12</v>
      </c>
      <c r="CZ18" s="25">
        <v>6</v>
      </c>
      <c r="DA18" s="25">
        <v>69</v>
      </c>
      <c r="DB18" s="25">
        <v>48</v>
      </c>
      <c r="DC18" s="25">
        <v>28</v>
      </c>
      <c r="DD18" s="25">
        <v>15</v>
      </c>
      <c r="DE18" s="25">
        <f t="shared" si="10"/>
        <v>269</v>
      </c>
      <c r="DF18" s="32">
        <v>35</v>
      </c>
      <c r="DG18" s="25">
        <v>25</v>
      </c>
      <c r="DH18" s="25">
        <v>10</v>
      </c>
      <c r="DI18" s="25">
        <v>8</v>
      </c>
      <c r="DJ18" s="25">
        <v>55</v>
      </c>
      <c r="DK18" s="25">
        <v>35</v>
      </c>
      <c r="DL18" s="25">
        <f>2+2+13</f>
        <v>17</v>
      </c>
      <c r="DM18" s="25">
        <v>10</v>
      </c>
      <c r="DN18" s="20">
        <f t="shared" si="12"/>
        <v>195</v>
      </c>
      <c r="DO18" s="27">
        <f t="shared" si="13"/>
        <v>2766</v>
      </c>
      <c r="DP18" s="20"/>
      <c r="DQ18" s="22"/>
    </row>
    <row r="19" spans="2:121" ht="232.5" customHeight="1">
      <c r="B19" s="735"/>
      <c r="C19" s="735"/>
      <c r="D19" s="738"/>
      <c r="E19" s="739"/>
      <c r="F19" s="741"/>
      <c r="G19" s="743"/>
      <c r="H19" s="735"/>
      <c r="I19" s="708"/>
      <c r="J19" s="23" t="s">
        <v>66</v>
      </c>
      <c r="K19" s="16">
        <v>46</v>
      </c>
      <c r="L19" s="17">
        <v>41</v>
      </c>
      <c r="M19" s="17">
        <v>10</v>
      </c>
      <c r="N19" s="17">
        <v>6</v>
      </c>
      <c r="O19" s="17">
        <v>104</v>
      </c>
      <c r="P19" s="17">
        <f>112-40</f>
        <v>72</v>
      </c>
      <c r="Q19" s="17">
        <f>2+2+13</f>
        <v>17</v>
      </c>
      <c r="R19" s="17">
        <f>3+2+7</f>
        <v>12</v>
      </c>
      <c r="S19" s="24">
        <f t="shared" si="0"/>
        <v>308</v>
      </c>
      <c r="T19" s="16">
        <f>8+10+4+19+2</f>
        <v>43</v>
      </c>
      <c r="U19" s="17">
        <f>16+12+8+4</f>
        <v>40</v>
      </c>
      <c r="V19" s="17">
        <v>9</v>
      </c>
      <c r="W19" s="17">
        <v>13</v>
      </c>
      <c r="X19" s="17">
        <v>146</v>
      </c>
      <c r="Y19" s="17">
        <f>45+1+10+2+2</f>
        <v>60</v>
      </c>
      <c r="Z19" s="17">
        <v>0</v>
      </c>
      <c r="AA19" s="17">
        <v>0</v>
      </c>
      <c r="AB19" s="24">
        <f t="shared" si="1"/>
        <v>311</v>
      </c>
      <c r="AC19" s="18">
        <f>2+7+33+22+15</f>
        <v>79</v>
      </c>
      <c r="AD19" s="18">
        <f>4+10+48+37</f>
        <v>99</v>
      </c>
      <c r="AE19" s="18">
        <f>2+3+12</f>
        <v>17</v>
      </c>
      <c r="AF19" s="18">
        <f>1+3+4+12</f>
        <v>20</v>
      </c>
      <c r="AG19" s="18">
        <f>40+6+6+27</f>
        <v>79</v>
      </c>
      <c r="AH19" s="18">
        <f>2+11</f>
        <v>13</v>
      </c>
      <c r="AI19" s="18">
        <f>1+15+33</f>
        <v>49</v>
      </c>
      <c r="AJ19" s="18">
        <f>4+25</f>
        <v>29</v>
      </c>
      <c r="AK19" s="24">
        <f t="shared" si="2"/>
        <v>385</v>
      </c>
      <c r="AL19" s="19">
        <v>25</v>
      </c>
      <c r="AM19" s="19">
        <v>16</v>
      </c>
      <c r="AN19" s="19">
        <v>5</v>
      </c>
      <c r="AO19" s="19">
        <v>3</v>
      </c>
      <c r="AP19" s="19">
        <v>21</v>
      </c>
      <c r="AQ19" s="19">
        <v>13</v>
      </c>
      <c r="AR19" s="19">
        <v>3</v>
      </c>
      <c r="AS19" s="19">
        <v>3</v>
      </c>
      <c r="AT19" s="19">
        <f t="shared" si="3"/>
        <v>89</v>
      </c>
      <c r="AU19" s="18">
        <f>30+12+12+7+10+8</f>
        <v>79</v>
      </c>
      <c r="AV19" s="18">
        <f>24+19+6+9+5+5</f>
        <v>68</v>
      </c>
      <c r="AW19" s="18">
        <f>4+10+10+8+5</f>
        <v>37</v>
      </c>
      <c r="AX19" s="18">
        <f>10+2+1+5+3</f>
        <v>21</v>
      </c>
      <c r="AY19" s="18">
        <f>10+4+10+5</f>
        <v>29</v>
      </c>
      <c r="AZ19" s="18">
        <f>2+1+1+1+5+3</f>
        <v>13</v>
      </c>
      <c r="BA19" s="18">
        <f>4+7+4+1+3+2</f>
        <v>21</v>
      </c>
      <c r="BB19" s="18">
        <f>1+3+2+1+2+2</f>
        <v>11</v>
      </c>
      <c r="BC19" s="18">
        <f t="shared" si="4"/>
        <v>279</v>
      </c>
      <c r="BD19" s="18">
        <f>8+15+12+14+8</f>
        <v>57</v>
      </c>
      <c r="BE19" s="18">
        <f>19+8+15+8+6</f>
        <v>56</v>
      </c>
      <c r="BF19" s="18">
        <f>6+13+12+5+6</f>
        <v>42</v>
      </c>
      <c r="BG19" s="18">
        <f>2+14+10+4+6</f>
        <v>36</v>
      </c>
      <c r="BH19" s="18">
        <f>7+16+6+26</f>
        <v>55</v>
      </c>
      <c r="BI19" s="18">
        <f>1+6+8+8</f>
        <v>23</v>
      </c>
      <c r="BJ19" s="18">
        <f>1+7+5+10</f>
        <v>23</v>
      </c>
      <c r="BK19" s="18">
        <f>1+3+8+6</f>
        <v>18</v>
      </c>
      <c r="BL19" s="18">
        <f t="shared" si="5"/>
        <v>310</v>
      </c>
      <c r="BM19" s="18">
        <f>13+20+28+23+4+7</f>
        <v>95</v>
      </c>
      <c r="BN19" s="18">
        <f>15+24+4+32+14</f>
        <v>89</v>
      </c>
      <c r="BO19" s="18">
        <f>6+9+15</f>
        <v>30</v>
      </c>
      <c r="BP19" s="18">
        <f>1+8+10</f>
        <v>19</v>
      </c>
      <c r="BQ19" s="18">
        <f>11+4+12+10</f>
        <v>37</v>
      </c>
      <c r="BR19" s="18">
        <f>2+2+5+1</f>
        <v>10</v>
      </c>
      <c r="BS19" s="18">
        <f>5+15+1+1</f>
        <v>22</v>
      </c>
      <c r="BT19" s="18">
        <f>3+4+2+6</f>
        <v>15</v>
      </c>
      <c r="BU19" s="18">
        <f t="shared" si="6"/>
        <v>317</v>
      </c>
      <c r="BV19" s="18">
        <f>15+15+18+5+30+4</f>
        <v>87</v>
      </c>
      <c r="BW19" s="18">
        <f>7+23+1+25+12</f>
        <v>68</v>
      </c>
      <c r="BX19" s="18">
        <f>1+3+5</f>
        <v>9</v>
      </c>
      <c r="BY19" s="18">
        <f>1+2+1+4</f>
        <v>8</v>
      </c>
      <c r="BZ19" s="18">
        <f>33+7+3+1+15+10</f>
        <v>69</v>
      </c>
      <c r="CA19" s="18">
        <f>4+3+5</f>
        <v>12</v>
      </c>
      <c r="CB19" s="18">
        <f>2+9+10+1+5</f>
        <v>27</v>
      </c>
      <c r="CC19" s="18">
        <f>1+19+1+3</f>
        <v>24</v>
      </c>
      <c r="CD19" s="18">
        <f t="shared" si="7"/>
        <v>304</v>
      </c>
      <c r="CE19" s="25">
        <v>27</v>
      </c>
      <c r="CF19" s="25">
        <v>19</v>
      </c>
      <c r="CG19" s="25">
        <v>2</v>
      </c>
      <c r="CH19" s="25">
        <v>0</v>
      </c>
      <c r="CI19" s="25">
        <v>29</v>
      </c>
      <c r="CJ19" s="25">
        <v>8</v>
      </c>
      <c r="CK19" s="25">
        <v>6</v>
      </c>
      <c r="CL19" s="25">
        <v>3</v>
      </c>
      <c r="CM19" s="25">
        <f t="shared" si="8"/>
        <v>94</v>
      </c>
      <c r="CN19" s="25">
        <f>15+7+52+35+6</f>
        <v>115</v>
      </c>
      <c r="CO19" s="25">
        <f>16+18+16+12+2</f>
        <v>64</v>
      </c>
      <c r="CP19" s="25">
        <f>3+3+18+12+1</f>
        <v>37</v>
      </c>
      <c r="CQ19" s="25">
        <f>2+16+8+11</f>
        <v>37</v>
      </c>
      <c r="CR19" s="25">
        <f>24+11+8+4+9</f>
        <v>56</v>
      </c>
      <c r="CS19" s="25">
        <f>8+3+7+1</f>
        <v>19</v>
      </c>
      <c r="CT19" s="25">
        <f>3+12+8+2</f>
        <v>25</v>
      </c>
      <c r="CU19" s="25">
        <f>3+2+8+1+4</f>
        <v>18</v>
      </c>
      <c r="CV19" s="25">
        <f t="shared" si="9"/>
        <v>371</v>
      </c>
      <c r="CW19" s="25">
        <f>18+14+24+17+9+12</f>
        <v>94</v>
      </c>
      <c r="CX19" s="25">
        <f>54+8+21+15+19</f>
        <v>117</v>
      </c>
      <c r="CY19" s="25">
        <f>5+5+3+3+4</f>
        <v>20</v>
      </c>
      <c r="CZ19" s="25">
        <f>5+2+3+4+3</f>
        <v>17</v>
      </c>
      <c r="DA19" s="25">
        <f>3+8+12+24+70</f>
        <v>117</v>
      </c>
      <c r="DB19" s="25">
        <f>1+2+2+25</f>
        <v>30</v>
      </c>
      <c r="DC19" s="25">
        <f>10+5+6+3+5</f>
        <v>29</v>
      </c>
      <c r="DD19" s="25">
        <f>12+2+9+4</f>
        <v>27</v>
      </c>
      <c r="DE19" s="25">
        <f t="shared" si="10"/>
        <v>451</v>
      </c>
      <c r="DF19" s="26">
        <v>66</v>
      </c>
      <c r="DG19" s="26">
        <v>99</v>
      </c>
      <c r="DH19" s="26">
        <v>13</v>
      </c>
      <c r="DI19" s="26">
        <v>4</v>
      </c>
      <c r="DJ19" s="26">
        <v>55</v>
      </c>
      <c r="DK19" s="26">
        <v>37</v>
      </c>
      <c r="DL19" s="26">
        <v>26</v>
      </c>
      <c r="DM19" s="26">
        <v>13</v>
      </c>
      <c r="DN19" s="20">
        <f t="shared" si="12"/>
        <v>313</v>
      </c>
      <c r="DO19" s="27">
        <f t="shared" si="13"/>
        <v>3532</v>
      </c>
      <c r="DP19" s="20"/>
      <c r="DQ19" s="22"/>
    </row>
    <row r="20" spans="2:121" ht="172.5" hidden="1" customHeight="1">
      <c r="B20" s="734" t="s">
        <v>67</v>
      </c>
      <c r="C20" s="734" t="s">
        <v>68</v>
      </c>
      <c r="D20" s="736" t="s">
        <v>69</v>
      </c>
      <c r="E20" s="750"/>
      <c r="F20" s="752" t="s">
        <v>103</v>
      </c>
      <c r="G20" s="734">
        <v>1737</v>
      </c>
      <c r="H20" s="734" t="s">
        <v>105</v>
      </c>
      <c r="I20" s="736">
        <v>1737</v>
      </c>
      <c r="J20" s="29" t="s">
        <v>65</v>
      </c>
      <c r="K20" s="16">
        <v>30</v>
      </c>
      <c r="L20" s="17">
        <v>25</v>
      </c>
      <c r="M20" s="17">
        <v>5</v>
      </c>
      <c r="N20" s="17">
        <v>0</v>
      </c>
      <c r="O20" s="17">
        <v>100</v>
      </c>
      <c r="P20" s="17">
        <v>70</v>
      </c>
      <c r="Q20" s="17">
        <v>5</v>
      </c>
      <c r="R20" s="17">
        <v>5</v>
      </c>
      <c r="S20" s="24">
        <f t="shared" si="0"/>
        <v>240</v>
      </c>
      <c r="T20" s="16">
        <v>35</v>
      </c>
      <c r="U20" s="17">
        <v>30</v>
      </c>
      <c r="V20" s="17">
        <v>5</v>
      </c>
      <c r="W20" s="17">
        <v>0</v>
      </c>
      <c r="X20" s="17">
        <v>110</v>
      </c>
      <c r="Y20" s="17">
        <v>30</v>
      </c>
      <c r="Z20" s="17">
        <v>0</v>
      </c>
      <c r="AA20" s="17">
        <v>0</v>
      </c>
      <c r="AB20" s="24">
        <f t="shared" si="1"/>
        <v>210</v>
      </c>
      <c r="AC20" s="16">
        <v>25</v>
      </c>
      <c r="AD20" s="17">
        <v>20</v>
      </c>
      <c r="AE20" s="17">
        <v>8</v>
      </c>
      <c r="AF20" s="17">
        <v>5</v>
      </c>
      <c r="AG20" s="17">
        <v>39</v>
      </c>
      <c r="AH20" s="17">
        <v>27</v>
      </c>
      <c r="AI20" s="17">
        <v>12</v>
      </c>
      <c r="AJ20" s="17">
        <v>8</v>
      </c>
      <c r="AK20" s="24">
        <f t="shared" si="2"/>
        <v>144</v>
      </c>
      <c r="AL20" s="30">
        <v>21</v>
      </c>
      <c r="AM20" s="31">
        <v>15</v>
      </c>
      <c r="AN20" s="31">
        <v>13</v>
      </c>
      <c r="AO20" s="31">
        <v>10</v>
      </c>
      <c r="AP20" s="31">
        <v>25</v>
      </c>
      <c r="AQ20" s="31">
        <v>8</v>
      </c>
      <c r="AR20" s="31">
        <v>5</v>
      </c>
      <c r="AS20" s="31">
        <v>2</v>
      </c>
      <c r="AT20" s="19">
        <f t="shared" si="3"/>
        <v>99</v>
      </c>
      <c r="AU20" s="16">
        <v>18</v>
      </c>
      <c r="AV20" s="17">
        <v>15</v>
      </c>
      <c r="AW20" s="17">
        <v>8</v>
      </c>
      <c r="AX20" s="17">
        <v>5</v>
      </c>
      <c r="AY20" s="17">
        <v>54</v>
      </c>
      <c r="AZ20" s="17">
        <v>28</v>
      </c>
      <c r="BA20" s="17">
        <v>13</v>
      </c>
      <c r="BB20" s="17">
        <v>5</v>
      </c>
      <c r="BC20" s="18">
        <f t="shared" si="4"/>
        <v>146</v>
      </c>
      <c r="BD20" s="16">
        <v>25</v>
      </c>
      <c r="BE20" s="17">
        <v>19</v>
      </c>
      <c r="BF20" s="17">
        <v>13</v>
      </c>
      <c r="BG20" s="17">
        <v>10</v>
      </c>
      <c r="BH20" s="17">
        <v>65</v>
      </c>
      <c r="BI20" s="17">
        <v>32</v>
      </c>
      <c r="BJ20" s="17">
        <v>22</v>
      </c>
      <c r="BK20" s="17">
        <v>9</v>
      </c>
      <c r="BL20" s="18">
        <f t="shared" si="5"/>
        <v>195</v>
      </c>
      <c r="BM20" s="16">
        <v>18</v>
      </c>
      <c r="BN20" s="17">
        <v>16</v>
      </c>
      <c r="BO20" s="17">
        <v>8</v>
      </c>
      <c r="BP20" s="17">
        <v>4</v>
      </c>
      <c r="BQ20" s="17">
        <v>48</v>
      </c>
      <c r="BR20" s="17">
        <v>20</v>
      </c>
      <c r="BS20" s="17">
        <v>15</v>
      </c>
      <c r="BT20" s="17">
        <v>10</v>
      </c>
      <c r="BU20" s="18">
        <f t="shared" si="6"/>
        <v>139</v>
      </c>
      <c r="BV20" s="16">
        <v>20</v>
      </c>
      <c r="BW20" s="17">
        <v>19</v>
      </c>
      <c r="BX20" s="17">
        <v>9</v>
      </c>
      <c r="BY20" s="17">
        <v>7</v>
      </c>
      <c r="BZ20" s="17">
        <v>35</v>
      </c>
      <c r="CA20" s="17">
        <v>15</v>
      </c>
      <c r="CB20" s="17">
        <v>9</v>
      </c>
      <c r="CC20" s="17">
        <v>5</v>
      </c>
      <c r="CD20" s="18">
        <f t="shared" si="7"/>
        <v>119</v>
      </c>
      <c r="CE20" s="32">
        <v>19</v>
      </c>
      <c r="CF20" s="25">
        <v>17</v>
      </c>
      <c r="CG20" s="25">
        <v>5</v>
      </c>
      <c r="CH20" s="25">
        <v>2</v>
      </c>
      <c r="CI20" s="25">
        <v>40</v>
      </c>
      <c r="CJ20" s="25">
        <v>23</v>
      </c>
      <c r="CK20" s="25">
        <v>14</v>
      </c>
      <c r="CL20" s="25">
        <v>7</v>
      </c>
      <c r="CM20" s="25">
        <f t="shared" si="8"/>
        <v>127</v>
      </c>
      <c r="CN20" s="32">
        <v>17</v>
      </c>
      <c r="CO20" s="25">
        <v>15</v>
      </c>
      <c r="CP20" s="25">
        <v>9</v>
      </c>
      <c r="CQ20" s="25">
        <v>8</v>
      </c>
      <c r="CR20" s="25">
        <v>41</v>
      </c>
      <c r="CS20" s="25">
        <v>12</v>
      </c>
      <c r="CT20" s="25">
        <v>8</v>
      </c>
      <c r="CU20" s="25">
        <v>5</v>
      </c>
      <c r="CV20" s="25">
        <f t="shared" si="9"/>
        <v>115</v>
      </c>
      <c r="CW20" s="32">
        <v>15</v>
      </c>
      <c r="CX20" s="25">
        <v>8</v>
      </c>
      <c r="CY20" s="25">
        <v>5</v>
      </c>
      <c r="CZ20" s="25">
        <v>2</v>
      </c>
      <c r="DA20" s="25">
        <v>40</v>
      </c>
      <c r="DB20" s="25">
        <v>16</v>
      </c>
      <c r="DC20" s="25">
        <v>12</v>
      </c>
      <c r="DD20" s="25">
        <v>8</v>
      </c>
      <c r="DE20" s="25">
        <f t="shared" si="10"/>
        <v>106</v>
      </c>
      <c r="DF20" s="32">
        <v>15</v>
      </c>
      <c r="DG20" s="25">
        <v>10</v>
      </c>
      <c r="DH20" s="25">
        <v>5</v>
      </c>
      <c r="DI20" s="25">
        <v>2</v>
      </c>
      <c r="DJ20" s="25">
        <v>35</v>
      </c>
      <c r="DK20" s="25">
        <v>15</v>
      </c>
      <c r="DL20" s="25">
        <v>10</v>
      </c>
      <c r="DM20" s="25">
        <v>5</v>
      </c>
      <c r="DN20" s="20">
        <f t="shared" si="12"/>
        <v>97</v>
      </c>
      <c r="DO20" s="27">
        <f t="shared" si="13"/>
        <v>1737</v>
      </c>
      <c r="DP20" s="20"/>
      <c r="DQ20" s="22"/>
    </row>
    <row r="21" spans="2:121" ht="177" customHeight="1">
      <c r="B21" s="735"/>
      <c r="C21" s="735"/>
      <c r="D21" s="738"/>
      <c r="E21" s="751"/>
      <c r="F21" s="749"/>
      <c r="G21" s="735"/>
      <c r="H21" s="735"/>
      <c r="I21" s="708"/>
      <c r="J21" s="23" t="s">
        <v>66</v>
      </c>
      <c r="K21" s="16">
        <v>28</v>
      </c>
      <c r="L21" s="17">
        <v>29</v>
      </c>
      <c r="M21" s="17">
        <v>13</v>
      </c>
      <c r="N21" s="17">
        <v>10</v>
      </c>
      <c r="O21" s="17">
        <f>221-92</f>
        <v>129</v>
      </c>
      <c r="P21" s="17">
        <v>35</v>
      </c>
      <c r="Q21" s="17">
        <v>24</v>
      </c>
      <c r="R21" s="17">
        <v>17</v>
      </c>
      <c r="S21" s="24">
        <f t="shared" si="0"/>
        <v>285</v>
      </c>
      <c r="T21" s="16">
        <v>46</v>
      </c>
      <c r="U21" s="17">
        <v>35</v>
      </c>
      <c r="V21" s="17">
        <v>11</v>
      </c>
      <c r="W21" s="17">
        <v>12</v>
      </c>
      <c r="X21" s="17">
        <f>92+33+8</f>
        <v>133</v>
      </c>
      <c r="Y21" s="17">
        <f>21+22+3</f>
        <v>46</v>
      </c>
      <c r="Z21" s="17">
        <f>10+21+2</f>
        <v>33</v>
      </c>
      <c r="AA21" s="17">
        <f>7+16+1</f>
        <v>24</v>
      </c>
      <c r="AB21" s="24">
        <f t="shared" si="1"/>
        <v>340</v>
      </c>
      <c r="AC21" s="18">
        <v>15</v>
      </c>
      <c r="AD21" s="18">
        <v>16</v>
      </c>
      <c r="AE21" s="18">
        <v>6</v>
      </c>
      <c r="AF21" s="18">
        <v>4</v>
      </c>
      <c r="AG21" s="18">
        <f>16+56+15</f>
        <v>87</v>
      </c>
      <c r="AH21" s="18">
        <f>3+19+8</f>
        <v>30</v>
      </c>
      <c r="AI21" s="18">
        <f>2+7+6</f>
        <v>15</v>
      </c>
      <c r="AJ21" s="18">
        <f>1+9+8</f>
        <v>18</v>
      </c>
      <c r="AK21" s="24">
        <f t="shared" si="2"/>
        <v>191</v>
      </c>
      <c r="AL21" s="19">
        <v>8</v>
      </c>
      <c r="AM21" s="19">
        <v>5</v>
      </c>
      <c r="AN21" s="19">
        <v>3</v>
      </c>
      <c r="AO21" s="19">
        <v>1</v>
      </c>
      <c r="AP21" s="19">
        <v>21</v>
      </c>
      <c r="AQ21" s="19">
        <v>18</v>
      </c>
      <c r="AR21" s="19">
        <v>8</v>
      </c>
      <c r="AS21" s="19">
        <v>5</v>
      </c>
      <c r="AT21" s="19">
        <f t="shared" si="3"/>
        <v>69</v>
      </c>
      <c r="AU21" s="18">
        <f>39+15</f>
        <v>54</v>
      </c>
      <c r="AV21" s="18">
        <f>50+15</f>
        <v>65</v>
      </c>
      <c r="AW21" s="18">
        <f>16+8</f>
        <v>24</v>
      </c>
      <c r="AX21" s="18">
        <f>14+7</f>
        <v>21</v>
      </c>
      <c r="AY21" s="18">
        <f>22+10</f>
        <v>32</v>
      </c>
      <c r="AZ21" s="18">
        <f>18+10</f>
        <v>28</v>
      </c>
      <c r="BA21" s="18">
        <f>14+8</f>
        <v>22</v>
      </c>
      <c r="BB21" s="18">
        <f>4+2</f>
        <v>6</v>
      </c>
      <c r="BC21" s="18">
        <f t="shared" si="4"/>
        <v>252</v>
      </c>
      <c r="BD21" s="18">
        <v>35</v>
      </c>
      <c r="BE21" s="18">
        <v>46</v>
      </c>
      <c r="BF21" s="18">
        <v>13</v>
      </c>
      <c r="BG21" s="18">
        <v>10</v>
      </c>
      <c r="BH21" s="18">
        <v>26</v>
      </c>
      <c r="BI21" s="18">
        <v>20</v>
      </c>
      <c r="BJ21" s="18">
        <v>47</v>
      </c>
      <c r="BK21" s="18">
        <v>25</v>
      </c>
      <c r="BL21" s="18">
        <f t="shared" si="5"/>
        <v>222</v>
      </c>
      <c r="BM21" s="18">
        <v>32</v>
      </c>
      <c r="BN21" s="18">
        <v>25</v>
      </c>
      <c r="BO21" s="18">
        <v>22</v>
      </c>
      <c r="BP21" s="18">
        <v>24</v>
      </c>
      <c r="BQ21" s="18">
        <v>50</v>
      </c>
      <c r="BR21" s="18">
        <v>20</v>
      </c>
      <c r="BS21" s="18">
        <v>18</v>
      </c>
      <c r="BT21" s="18">
        <v>10</v>
      </c>
      <c r="BU21" s="18">
        <f t="shared" si="6"/>
        <v>201</v>
      </c>
      <c r="BV21" s="18">
        <f>63+10+14</f>
        <v>87</v>
      </c>
      <c r="BW21" s="18">
        <f>10+48+7</f>
        <v>65</v>
      </c>
      <c r="BX21" s="18">
        <f>15+3+2</f>
        <v>20</v>
      </c>
      <c r="BY21" s="18">
        <v>14</v>
      </c>
      <c r="BZ21" s="18">
        <f>26+15+25</f>
        <v>66</v>
      </c>
      <c r="CA21" s="18">
        <v>16</v>
      </c>
      <c r="CB21" s="18">
        <v>28</v>
      </c>
      <c r="CC21" s="18">
        <v>19</v>
      </c>
      <c r="CD21" s="18">
        <f t="shared" si="7"/>
        <v>315</v>
      </c>
      <c r="CE21" s="25">
        <v>15</v>
      </c>
      <c r="CF21" s="25">
        <v>9</v>
      </c>
      <c r="CG21" s="25">
        <v>5</v>
      </c>
      <c r="CH21" s="25">
        <v>3</v>
      </c>
      <c r="CI21" s="25">
        <v>36</v>
      </c>
      <c r="CJ21" s="25">
        <v>18</v>
      </c>
      <c r="CK21" s="25">
        <v>8</v>
      </c>
      <c r="CL21" s="25">
        <v>5</v>
      </c>
      <c r="CM21" s="25">
        <f t="shared" si="8"/>
        <v>99</v>
      </c>
      <c r="CN21" s="25">
        <f>2+22</f>
        <v>24</v>
      </c>
      <c r="CO21" s="25">
        <f>5+12</f>
        <v>17</v>
      </c>
      <c r="CP21" s="25">
        <f>1+4</f>
        <v>5</v>
      </c>
      <c r="CQ21" s="25">
        <f>1+8</f>
        <v>9</v>
      </c>
      <c r="CR21" s="25">
        <f>60+16</f>
        <v>76</v>
      </c>
      <c r="CS21" s="25">
        <f>16+14</f>
        <v>30</v>
      </c>
      <c r="CT21" s="25">
        <f>12+19</f>
        <v>31</v>
      </c>
      <c r="CU21" s="25">
        <f>1+14</f>
        <v>15</v>
      </c>
      <c r="CV21" s="25">
        <f t="shared" si="9"/>
        <v>207</v>
      </c>
      <c r="CW21" s="25">
        <f>28+12</f>
        <v>40</v>
      </c>
      <c r="CX21" s="25">
        <f>40+14</f>
        <v>54</v>
      </c>
      <c r="CY21" s="25">
        <f>10+4</f>
        <v>14</v>
      </c>
      <c r="CZ21" s="25">
        <f>14+4</f>
        <v>18</v>
      </c>
      <c r="DA21" s="25">
        <f>12+14+89</f>
        <v>115</v>
      </c>
      <c r="DB21" s="25">
        <f>8+9+32</f>
        <v>49</v>
      </c>
      <c r="DC21" s="25">
        <f>10+16</f>
        <v>26</v>
      </c>
      <c r="DD21" s="25">
        <f>11+2</f>
        <v>13</v>
      </c>
      <c r="DE21" s="25">
        <f t="shared" si="10"/>
        <v>329</v>
      </c>
      <c r="DF21" s="26">
        <f>14+10+8</f>
        <v>32</v>
      </c>
      <c r="DG21" s="26">
        <f>18+10+8</f>
        <v>36</v>
      </c>
      <c r="DH21" s="26">
        <f>8+2+2</f>
        <v>12</v>
      </c>
      <c r="DI21" s="26">
        <f>14+5+4</f>
        <v>23</v>
      </c>
      <c r="DJ21" s="26">
        <f>24+41+15</f>
        <v>80</v>
      </c>
      <c r="DK21" s="26">
        <f>18+12</f>
        <v>30</v>
      </c>
      <c r="DL21" s="26">
        <f>19+10</f>
        <v>29</v>
      </c>
      <c r="DM21" s="26">
        <f>16+3</f>
        <v>19</v>
      </c>
      <c r="DN21" s="20">
        <f t="shared" si="12"/>
        <v>261</v>
      </c>
      <c r="DO21" s="27">
        <f t="shared" si="13"/>
        <v>2771</v>
      </c>
      <c r="DP21" s="20"/>
      <c r="DQ21" s="22"/>
    </row>
    <row r="22" spans="2:121" ht="187.5" hidden="1" customHeight="1">
      <c r="B22" s="734" t="s">
        <v>67</v>
      </c>
      <c r="C22" s="734" t="s">
        <v>68</v>
      </c>
      <c r="D22" s="736" t="s">
        <v>69</v>
      </c>
      <c r="E22" s="750"/>
      <c r="F22" s="754" t="s">
        <v>103</v>
      </c>
      <c r="G22" s="734">
        <v>353</v>
      </c>
      <c r="H22" s="734" t="s">
        <v>106</v>
      </c>
      <c r="I22" s="736">
        <v>353</v>
      </c>
      <c r="J22" s="29" t="s">
        <v>65</v>
      </c>
      <c r="K22" s="16">
        <v>0</v>
      </c>
      <c r="L22" s="17">
        <v>0</v>
      </c>
      <c r="M22" s="17">
        <v>0</v>
      </c>
      <c r="N22" s="17">
        <v>0</v>
      </c>
      <c r="O22" s="16">
        <v>0</v>
      </c>
      <c r="P22" s="17">
        <v>0</v>
      </c>
      <c r="Q22" s="17">
        <v>0</v>
      </c>
      <c r="R22" s="17">
        <v>0</v>
      </c>
      <c r="S22" s="24">
        <f t="shared" si="0"/>
        <v>0</v>
      </c>
      <c r="T22" s="16">
        <v>35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24">
        <f t="shared" si="1"/>
        <v>35</v>
      </c>
      <c r="AC22" s="16">
        <v>0</v>
      </c>
      <c r="AD22" s="17">
        <v>0</v>
      </c>
      <c r="AE22" s="17">
        <v>0</v>
      </c>
      <c r="AF22" s="17">
        <v>0</v>
      </c>
      <c r="AG22" s="17">
        <v>25</v>
      </c>
      <c r="AH22" s="17">
        <v>10</v>
      </c>
      <c r="AI22" s="17">
        <v>0</v>
      </c>
      <c r="AJ22" s="17">
        <v>0</v>
      </c>
      <c r="AK22" s="24">
        <f t="shared" ref="AK22" si="22">SUM(AC22:AJ22)</f>
        <v>35</v>
      </c>
      <c r="AL22" s="30">
        <v>0</v>
      </c>
      <c r="AM22" s="31">
        <v>0</v>
      </c>
      <c r="AN22" s="31">
        <v>0</v>
      </c>
      <c r="AO22" s="31">
        <v>0</v>
      </c>
      <c r="AP22" s="31">
        <v>15</v>
      </c>
      <c r="AQ22" s="31">
        <v>2</v>
      </c>
      <c r="AR22" s="31">
        <v>0</v>
      </c>
      <c r="AS22" s="31">
        <v>0</v>
      </c>
      <c r="AT22" s="19">
        <f>SUM(AL22:AS22)</f>
        <v>17</v>
      </c>
      <c r="AU22" s="16">
        <v>0</v>
      </c>
      <c r="AV22" s="17">
        <v>0</v>
      </c>
      <c r="AW22" s="17">
        <v>0</v>
      </c>
      <c r="AX22" s="17">
        <v>0</v>
      </c>
      <c r="AY22" s="17">
        <v>14</v>
      </c>
      <c r="AZ22" s="17">
        <v>3</v>
      </c>
      <c r="BA22" s="17">
        <v>0</v>
      </c>
      <c r="BB22" s="17">
        <v>0</v>
      </c>
      <c r="BC22" s="18">
        <f t="shared" si="4"/>
        <v>17</v>
      </c>
      <c r="BD22" s="16">
        <v>0</v>
      </c>
      <c r="BE22" s="17">
        <v>0</v>
      </c>
      <c r="BF22" s="17">
        <v>0</v>
      </c>
      <c r="BG22" s="17">
        <v>0</v>
      </c>
      <c r="BH22" s="17">
        <v>0</v>
      </c>
      <c r="BI22" s="17">
        <v>0</v>
      </c>
      <c r="BJ22" s="17">
        <v>0</v>
      </c>
      <c r="BK22" s="17">
        <v>0</v>
      </c>
      <c r="BL22" s="18">
        <f>SUM(BD22:BK22)</f>
        <v>0</v>
      </c>
      <c r="BM22" s="16">
        <v>0</v>
      </c>
      <c r="BN22" s="17">
        <v>0</v>
      </c>
      <c r="BO22" s="17">
        <v>0</v>
      </c>
      <c r="BP22" s="17">
        <v>0</v>
      </c>
      <c r="BQ22" s="17">
        <v>25</v>
      </c>
      <c r="BR22" s="17">
        <v>10</v>
      </c>
      <c r="BS22" s="17">
        <v>0</v>
      </c>
      <c r="BT22" s="17">
        <v>0</v>
      </c>
      <c r="BU22" s="18">
        <f t="shared" si="6"/>
        <v>35</v>
      </c>
      <c r="BV22" s="16">
        <v>0</v>
      </c>
      <c r="BW22" s="17">
        <v>0</v>
      </c>
      <c r="BX22" s="17">
        <v>0</v>
      </c>
      <c r="BY22" s="17">
        <v>0</v>
      </c>
      <c r="BZ22" s="17">
        <v>27</v>
      </c>
      <c r="CA22" s="17">
        <v>13</v>
      </c>
      <c r="CB22" s="17">
        <v>0</v>
      </c>
      <c r="CC22" s="17">
        <v>0</v>
      </c>
      <c r="CD22" s="18">
        <f>SUM(BV22:CC22)</f>
        <v>40</v>
      </c>
      <c r="CE22" s="32">
        <v>0</v>
      </c>
      <c r="CF22" s="25">
        <v>0</v>
      </c>
      <c r="CG22" s="25">
        <v>0</v>
      </c>
      <c r="CH22" s="25">
        <v>0</v>
      </c>
      <c r="CI22" s="25">
        <v>20</v>
      </c>
      <c r="CJ22" s="25">
        <v>6</v>
      </c>
      <c r="CK22" s="25">
        <v>0</v>
      </c>
      <c r="CL22" s="25">
        <v>0</v>
      </c>
      <c r="CM22" s="25">
        <f t="shared" si="8"/>
        <v>26</v>
      </c>
      <c r="CN22" s="32">
        <v>0</v>
      </c>
      <c r="CO22" s="25">
        <v>0</v>
      </c>
      <c r="CP22" s="25">
        <v>0</v>
      </c>
      <c r="CQ22" s="25">
        <v>0</v>
      </c>
      <c r="CR22" s="25">
        <v>19</v>
      </c>
      <c r="CS22" s="25">
        <v>7</v>
      </c>
      <c r="CT22" s="25">
        <v>0</v>
      </c>
      <c r="CU22" s="25">
        <v>0</v>
      </c>
      <c r="CV22" s="25">
        <f>SUM(CN22:CU22)</f>
        <v>26</v>
      </c>
      <c r="CW22" s="32">
        <v>0</v>
      </c>
      <c r="CX22" s="25">
        <v>0</v>
      </c>
      <c r="CY22" s="25">
        <v>0</v>
      </c>
      <c r="CZ22" s="25">
        <v>0</v>
      </c>
      <c r="DA22" s="25">
        <v>18</v>
      </c>
      <c r="DB22" s="25">
        <v>8</v>
      </c>
      <c r="DC22" s="25">
        <v>0</v>
      </c>
      <c r="DD22" s="25">
        <v>0</v>
      </c>
      <c r="DE22" s="25">
        <f t="shared" si="10"/>
        <v>26</v>
      </c>
      <c r="DF22" s="32">
        <v>0</v>
      </c>
      <c r="DG22" s="25">
        <v>0</v>
      </c>
      <c r="DH22" s="25">
        <v>0</v>
      </c>
      <c r="DI22" s="25">
        <v>0</v>
      </c>
      <c r="DJ22" s="25">
        <v>15</v>
      </c>
      <c r="DK22" s="25">
        <v>5</v>
      </c>
      <c r="DL22" s="25">
        <v>0</v>
      </c>
      <c r="DM22" s="25">
        <v>0</v>
      </c>
      <c r="DN22" s="20">
        <f t="shared" si="12"/>
        <v>20</v>
      </c>
      <c r="DO22" s="27">
        <f t="shared" si="13"/>
        <v>277</v>
      </c>
      <c r="DP22" s="33"/>
      <c r="DQ22" s="22"/>
    </row>
    <row r="23" spans="2:121" ht="174.75" customHeight="1">
      <c r="B23" s="735"/>
      <c r="C23" s="735"/>
      <c r="D23" s="738"/>
      <c r="E23" s="751"/>
      <c r="F23" s="749"/>
      <c r="G23" s="735"/>
      <c r="H23" s="735"/>
      <c r="I23" s="708"/>
      <c r="J23" s="23" t="s">
        <v>66</v>
      </c>
      <c r="K23" s="16">
        <v>0</v>
      </c>
      <c r="L23" s="17">
        <v>0</v>
      </c>
      <c r="M23" s="17">
        <v>0</v>
      </c>
      <c r="N23" s="17">
        <v>0</v>
      </c>
      <c r="O23" s="17">
        <v>25</v>
      </c>
      <c r="P23" s="17">
        <v>10</v>
      </c>
      <c r="Q23" s="17">
        <v>0</v>
      </c>
      <c r="R23" s="17">
        <v>0</v>
      </c>
      <c r="S23" s="24">
        <f t="shared" si="0"/>
        <v>35</v>
      </c>
      <c r="T23" s="16">
        <v>0</v>
      </c>
      <c r="U23" s="17">
        <v>0</v>
      </c>
      <c r="V23" s="17">
        <v>0</v>
      </c>
      <c r="W23" s="17">
        <v>0</v>
      </c>
      <c r="X23" s="17">
        <v>30</v>
      </c>
      <c r="Y23" s="17">
        <v>13</v>
      </c>
      <c r="Z23" s="17">
        <v>0</v>
      </c>
      <c r="AA23" s="17">
        <v>0</v>
      </c>
      <c r="AB23" s="34">
        <f>SUM(U23:AA23)</f>
        <v>43</v>
      </c>
      <c r="AC23" s="20">
        <v>0</v>
      </c>
      <c r="AD23" s="20">
        <v>0</v>
      </c>
      <c r="AE23" s="20">
        <v>0</v>
      </c>
      <c r="AF23" s="20">
        <v>0</v>
      </c>
      <c r="AG23" s="20">
        <v>19</v>
      </c>
      <c r="AH23" s="20">
        <v>13</v>
      </c>
      <c r="AI23" s="20">
        <v>0</v>
      </c>
      <c r="AJ23" s="20">
        <v>0</v>
      </c>
      <c r="AK23" s="24">
        <f t="shared" ref="AK23:AK24" si="23">SUM(AC23:AJ23)</f>
        <v>32</v>
      </c>
      <c r="AL23" s="35">
        <v>0</v>
      </c>
      <c r="AM23" s="35">
        <v>0</v>
      </c>
      <c r="AN23" s="35">
        <v>0</v>
      </c>
      <c r="AO23" s="35">
        <v>0</v>
      </c>
      <c r="AP23" s="35">
        <v>5</v>
      </c>
      <c r="AQ23" s="35">
        <v>5</v>
      </c>
      <c r="AR23" s="35">
        <v>0</v>
      </c>
      <c r="AS23" s="35">
        <v>0</v>
      </c>
      <c r="AT23" s="19">
        <f t="shared" ref="AT23" si="24">SUM(AL23:AS23)</f>
        <v>10</v>
      </c>
      <c r="AU23" s="36">
        <v>0</v>
      </c>
      <c r="AV23" s="36">
        <v>0</v>
      </c>
      <c r="AW23" s="36">
        <v>0</v>
      </c>
      <c r="AX23" s="36">
        <v>0</v>
      </c>
      <c r="AY23" s="36">
        <v>0</v>
      </c>
      <c r="AZ23" s="36">
        <v>0</v>
      </c>
      <c r="BA23" s="36">
        <v>0</v>
      </c>
      <c r="BB23" s="36">
        <v>0</v>
      </c>
      <c r="BC23" s="18">
        <f t="shared" si="4"/>
        <v>0</v>
      </c>
      <c r="BD23" s="36">
        <v>0</v>
      </c>
      <c r="BE23" s="36">
        <v>0</v>
      </c>
      <c r="BF23" s="36">
        <v>0</v>
      </c>
      <c r="BG23" s="36">
        <v>0</v>
      </c>
      <c r="BH23" s="36">
        <v>6</v>
      </c>
      <c r="BI23" s="36">
        <v>4</v>
      </c>
      <c r="BJ23" s="36">
        <v>0</v>
      </c>
      <c r="BK23" s="36">
        <v>0</v>
      </c>
      <c r="BL23" s="18">
        <f t="shared" ref="BL23" si="25">SUM(BD23:BK23)</f>
        <v>10</v>
      </c>
      <c r="BM23" s="36">
        <v>0</v>
      </c>
      <c r="BN23" s="36">
        <v>0</v>
      </c>
      <c r="BO23" s="36">
        <v>0</v>
      </c>
      <c r="BP23" s="36">
        <v>0</v>
      </c>
      <c r="BQ23" s="36">
        <v>27</v>
      </c>
      <c r="BR23" s="36">
        <v>2</v>
      </c>
      <c r="BS23" s="36">
        <v>0</v>
      </c>
      <c r="BT23" s="36">
        <v>0</v>
      </c>
      <c r="BU23" s="18">
        <f t="shared" si="6"/>
        <v>29</v>
      </c>
      <c r="BV23" s="36">
        <v>0</v>
      </c>
      <c r="BW23" s="36">
        <v>0</v>
      </c>
      <c r="BX23" s="36">
        <v>0</v>
      </c>
      <c r="BY23" s="36">
        <v>0</v>
      </c>
      <c r="BZ23" s="36">
        <v>12</v>
      </c>
      <c r="CA23" s="36">
        <v>3</v>
      </c>
      <c r="CB23" s="36">
        <v>0</v>
      </c>
      <c r="CC23" s="36">
        <v>0</v>
      </c>
      <c r="CD23" s="18">
        <f t="shared" ref="CD23" si="26">SUM(BV23:CC23)</f>
        <v>15</v>
      </c>
      <c r="CE23" s="37">
        <v>0</v>
      </c>
      <c r="CF23" s="37">
        <v>0</v>
      </c>
      <c r="CG23" s="37">
        <v>0</v>
      </c>
      <c r="CH23" s="37">
        <v>0</v>
      </c>
      <c r="CI23" s="37">
        <v>10</v>
      </c>
      <c r="CJ23" s="37">
        <v>0</v>
      </c>
      <c r="CK23" s="37">
        <v>2</v>
      </c>
      <c r="CL23" s="37">
        <v>0</v>
      </c>
      <c r="CM23" s="25">
        <f t="shared" si="8"/>
        <v>12</v>
      </c>
      <c r="CN23" s="37">
        <v>0</v>
      </c>
      <c r="CO23" s="37">
        <v>0</v>
      </c>
      <c r="CP23" s="37">
        <v>0</v>
      </c>
      <c r="CQ23" s="37">
        <v>0</v>
      </c>
      <c r="CR23" s="37">
        <v>20</v>
      </c>
      <c r="CS23" s="37">
        <v>5</v>
      </c>
      <c r="CT23" s="37">
        <v>0</v>
      </c>
      <c r="CU23" s="37">
        <v>0</v>
      </c>
      <c r="CV23" s="25">
        <f t="shared" ref="CV23" si="27">SUM(CN23:CU23)</f>
        <v>25</v>
      </c>
      <c r="CW23" s="37">
        <v>12</v>
      </c>
      <c r="CX23" s="37">
        <v>5</v>
      </c>
      <c r="CY23" s="37">
        <v>3</v>
      </c>
      <c r="CZ23" s="37">
        <v>2</v>
      </c>
      <c r="DA23" s="37">
        <v>35</v>
      </c>
      <c r="DB23" s="37">
        <v>10</v>
      </c>
      <c r="DC23" s="37">
        <v>2</v>
      </c>
      <c r="DD23" s="37">
        <v>1</v>
      </c>
      <c r="DE23" s="25">
        <f t="shared" si="10"/>
        <v>70</v>
      </c>
      <c r="DF23" s="37">
        <v>20</v>
      </c>
      <c r="DG23" s="37">
        <v>15</v>
      </c>
      <c r="DH23" s="37">
        <v>1</v>
      </c>
      <c r="DI23" s="37">
        <v>1</v>
      </c>
      <c r="DJ23" s="37">
        <v>25</v>
      </c>
      <c r="DK23" s="37">
        <v>15</v>
      </c>
      <c r="DL23" s="37">
        <v>1</v>
      </c>
      <c r="DM23" s="37">
        <v>1</v>
      </c>
      <c r="DN23" s="20">
        <f t="shared" si="12"/>
        <v>79</v>
      </c>
      <c r="DO23" s="27">
        <f t="shared" si="13"/>
        <v>360</v>
      </c>
      <c r="DP23" s="33"/>
      <c r="DQ23" s="22"/>
    </row>
    <row r="24" spans="2:121" ht="197.25" hidden="1" customHeight="1">
      <c r="B24" s="734" t="s">
        <v>67</v>
      </c>
      <c r="C24" s="734" t="s">
        <v>68</v>
      </c>
      <c r="D24" s="736" t="s">
        <v>69</v>
      </c>
      <c r="E24" s="750"/>
      <c r="F24" s="754" t="s">
        <v>103</v>
      </c>
      <c r="G24" s="734">
        <v>2380</v>
      </c>
      <c r="H24" s="734" t="s">
        <v>107</v>
      </c>
      <c r="I24" s="746">
        <v>2380</v>
      </c>
      <c r="J24" s="38" t="s">
        <v>65</v>
      </c>
      <c r="K24" s="16">
        <v>30</v>
      </c>
      <c r="L24" s="17">
        <v>25</v>
      </c>
      <c r="M24" s="17">
        <v>5</v>
      </c>
      <c r="N24" s="17">
        <v>0</v>
      </c>
      <c r="O24" s="17">
        <v>100</v>
      </c>
      <c r="P24" s="17">
        <v>70</v>
      </c>
      <c r="Q24" s="17">
        <v>5</v>
      </c>
      <c r="R24" s="17">
        <v>5</v>
      </c>
      <c r="S24" s="24">
        <f t="shared" si="0"/>
        <v>240</v>
      </c>
      <c r="T24" s="16">
        <v>35</v>
      </c>
      <c r="U24" s="17">
        <v>30</v>
      </c>
      <c r="V24" s="17">
        <v>5</v>
      </c>
      <c r="W24" s="17">
        <v>0</v>
      </c>
      <c r="X24" s="17">
        <v>110</v>
      </c>
      <c r="Y24" s="17">
        <v>30</v>
      </c>
      <c r="Z24" s="17">
        <v>0</v>
      </c>
      <c r="AA24" s="17">
        <v>0</v>
      </c>
      <c r="AB24" s="24">
        <f t="shared" si="1"/>
        <v>210</v>
      </c>
      <c r="AC24" s="16">
        <v>30</v>
      </c>
      <c r="AD24" s="17">
        <v>25</v>
      </c>
      <c r="AE24" s="17">
        <v>5</v>
      </c>
      <c r="AF24" s="17">
        <v>0</v>
      </c>
      <c r="AG24" s="17">
        <v>100</v>
      </c>
      <c r="AH24" s="17">
        <v>70</v>
      </c>
      <c r="AI24" s="17">
        <v>5</v>
      </c>
      <c r="AJ24" s="17">
        <v>5</v>
      </c>
      <c r="AK24" s="24">
        <f t="shared" si="23"/>
        <v>240</v>
      </c>
      <c r="AL24" s="30">
        <v>48</v>
      </c>
      <c r="AM24" s="31">
        <v>30</v>
      </c>
      <c r="AN24" s="31">
        <v>6</v>
      </c>
      <c r="AO24" s="31">
        <v>2</v>
      </c>
      <c r="AP24" s="31">
        <v>80</v>
      </c>
      <c r="AQ24" s="31">
        <v>28</v>
      </c>
      <c r="AR24" s="31">
        <v>1</v>
      </c>
      <c r="AS24" s="31">
        <v>2</v>
      </c>
      <c r="AT24" s="19">
        <f t="shared" si="3"/>
        <v>197</v>
      </c>
      <c r="AU24" s="16">
        <v>45</v>
      </c>
      <c r="AV24" s="17">
        <v>28</v>
      </c>
      <c r="AW24" s="17">
        <v>5</v>
      </c>
      <c r="AX24" s="17">
        <v>5</v>
      </c>
      <c r="AY24" s="17">
        <v>65</v>
      </c>
      <c r="AZ24" s="17">
        <v>38</v>
      </c>
      <c r="BA24" s="17">
        <v>2</v>
      </c>
      <c r="BB24" s="17">
        <v>5</v>
      </c>
      <c r="BC24" s="18">
        <f t="shared" si="4"/>
        <v>193</v>
      </c>
      <c r="BD24" s="16">
        <v>45</v>
      </c>
      <c r="BE24" s="17">
        <v>28</v>
      </c>
      <c r="BF24" s="17">
        <v>2</v>
      </c>
      <c r="BG24" s="17">
        <v>3</v>
      </c>
      <c r="BH24" s="17">
        <v>71</v>
      </c>
      <c r="BI24" s="17">
        <v>45</v>
      </c>
      <c r="BJ24" s="17">
        <v>6</v>
      </c>
      <c r="BK24" s="17">
        <v>1</v>
      </c>
      <c r="BL24" s="18">
        <f t="shared" si="5"/>
        <v>201</v>
      </c>
      <c r="BM24" s="16">
        <v>31</v>
      </c>
      <c r="BN24" s="17">
        <v>20</v>
      </c>
      <c r="BO24" s="17">
        <v>4</v>
      </c>
      <c r="BP24" s="17">
        <v>2</v>
      </c>
      <c r="BQ24" s="17">
        <v>52</v>
      </c>
      <c r="BR24" s="17">
        <v>35</v>
      </c>
      <c r="BS24" s="17">
        <v>3</v>
      </c>
      <c r="BT24" s="17">
        <v>1</v>
      </c>
      <c r="BU24" s="18">
        <f t="shared" si="6"/>
        <v>148</v>
      </c>
      <c r="BV24" s="16">
        <v>50</v>
      </c>
      <c r="BW24" s="17">
        <v>27</v>
      </c>
      <c r="BX24" s="17">
        <v>2</v>
      </c>
      <c r="BY24" s="17">
        <v>1</v>
      </c>
      <c r="BZ24" s="17">
        <v>62</v>
      </c>
      <c r="CA24" s="17">
        <v>30</v>
      </c>
      <c r="CB24" s="17">
        <v>6</v>
      </c>
      <c r="CC24" s="17">
        <v>1</v>
      </c>
      <c r="CD24" s="18">
        <f t="shared" si="7"/>
        <v>179</v>
      </c>
      <c r="CE24" s="32">
        <v>40</v>
      </c>
      <c r="CF24" s="25">
        <v>31</v>
      </c>
      <c r="CG24" s="25">
        <v>5</v>
      </c>
      <c r="CH24" s="25">
        <v>1</v>
      </c>
      <c r="CI24" s="25">
        <v>80</v>
      </c>
      <c r="CJ24" s="25">
        <v>50</v>
      </c>
      <c r="CK24" s="25">
        <v>4</v>
      </c>
      <c r="CL24" s="25">
        <v>2</v>
      </c>
      <c r="CM24" s="25">
        <f t="shared" si="8"/>
        <v>213</v>
      </c>
      <c r="CN24" s="32">
        <v>41</v>
      </c>
      <c r="CO24" s="25">
        <v>25</v>
      </c>
      <c r="CP24" s="25">
        <v>3</v>
      </c>
      <c r="CQ24" s="25">
        <v>2</v>
      </c>
      <c r="CR24" s="25">
        <v>78</v>
      </c>
      <c r="CS24" s="25">
        <v>29</v>
      </c>
      <c r="CT24" s="25">
        <v>4</v>
      </c>
      <c r="CU24" s="25">
        <v>2</v>
      </c>
      <c r="CV24" s="25">
        <f t="shared" si="9"/>
        <v>184</v>
      </c>
      <c r="CW24" s="32">
        <v>45</v>
      </c>
      <c r="CX24" s="25">
        <v>30</v>
      </c>
      <c r="CY24" s="25">
        <v>10</v>
      </c>
      <c r="CZ24" s="25">
        <v>4</v>
      </c>
      <c r="DA24" s="25">
        <v>91</v>
      </c>
      <c r="DB24" s="25">
        <v>70</v>
      </c>
      <c r="DC24" s="25">
        <v>5</v>
      </c>
      <c r="DD24" s="25">
        <v>9</v>
      </c>
      <c r="DE24" s="25">
        <f t="shared" si="10"/>
        <v>264</v>
      </c>
      <c r="DF24" s="32">
        <v>15</v>
      </c>
      <c r="DG24" s="25">
        <v>15</v>
      </c>
      <c r="DH24" s="25">
        <v>5</v>
      </c>
      <c r="DI24" s="25">
        <v>0</v>
      </c>
      <c r="DJ24" s="25">
        <v>45</v>
      </c>
      <c r="DK24" s="25">
        <v>30</v>
      </c>
      <c r="DL24" s="25">
        <v>0</v>
      </c>
      <c r="DM24" s="25">
        <v>1</v>
      </c>
      <c r="DN24" s="20">
        <f t="shared" si="12"/>
        <v>111</v>
      </c>
      <c r="DO24" s="27">
        <f t="shared" si="13"/>
        <v>2380</v>
      </c>
      <c r="DP24" s="33"/>
      <c r="DQ24" s="22"/>
    </row>
    <row r="25" spans="2:121" ht="199.5" customHeight="1">
      <c r="B25" s="735"/>
      <c r="C25" s="735"/>
      <c r="D25" s="738"/>
      <c r="E25" s="751"/>
      <c r="F25" s="749"/>
      <c r="G25" s="735"/>
      <c r="H25" s="735"/>
      <c r="I25" s="708"/>
      <c r="J25" s="23" t="s">
        <v>66</v>
      </c>
      <c r="K25" s="16">
        <v>30</v>
      </c>
      <c r="L25" s="17">
        <v>17</v>
      </c>
      <c r="M25" s="17">
        <v>18</v>
      </c>
      <c r="N25" s="17">
        <v>17</v>
      </c>
      <c r="O25" s="16">
        <v>234</v>
      </c>
      <c r="P25" s="17">
        <v>48</v>
      </c>
      <c r="Q25" s="17">
        <v>37</v>
      </c>
      <c r="R25" s="17">
        <v>19</v>
      </c>
      <c r="S25" s="24">
        <f t="shared" si="0"/>
        <v>420</v>
      </c>
      <c r="T25" s="16">
        <v>16</v>
      </c>
      <c r="U25" s="17">
        <v>10</v>
      </c>
      <c r="V25" s="17">
        <v>9</v>
      </c>
      <c r="W25" s="17">
        <v>10</v>
      </c>
      <c r="X25" s="17">
        <f>47+41+40</f>
        <v>128</v>
      </c>
      <c r="Y25" s="17">
        <v>17</v>
      </c>
      <c r="Z25" s="17">
        <v>16</v>
      </c>
      <c r="AA25" s="17">
        <v>7</v>
      </c>
      <c r="AB25" s="24">
        <f t="shared" si="1"/>
        <v>213</v>
      </c>
      <c r="AC25" s="20">
        <f>1+2+2+15</f>
        <v>20</v>
      </c>
      <c r="AD25" s="20">
        <f>3+16</f>
        <v>19</v>
      </c>
      <c r="AE25" s="20">
        <f>2+10</f>
        <v>12</v>
      </c>
      <c r="AF25" s="20">
        <f>1+11</f>
        <v>12</v>
      </c>
      <c r="AG25" s="20">
        <f>27+19+30+50</f>
        <v>126</v>
      </c>
      <c r="AH25" s="20">
        <v>29</v>
      </c>
      <c r="AI25" s="20">
        <f>3+2+9</f>
        <v>14</v>
      </c>
      <c r="AJ25" s="20">
        <f>1+1+6</f>
        <v>8</v>
      </c>
      <c r="AK25" s="24">
        <f t="shared" si="2"/>
        <v>240</v>
      </c>
      <c r="AL25" s="35">
        <v>25</v>
      </c>
      <c r="AM25" s="35">
        <v>18</v>
      </c>
      <c r="AN25" s="35">
        <v>7</v>
      </c>
      <c r="AO25" s="35">
        <v>5</v>
      </c>
      <c r="AP25" s="35">
        <v>32</v>
      </c>
      <c r="AQ25" s="35">
        <v>17</v>
      </c>
      <c r="AR25" s="35">
        <v>5</v>
      </c>
      <c r="AS25" s="35">
        <v>5</v>
      </c>
      <c r="AT25" s="19">
        <f t="shared" si="3"/>
        <v>114</v>
      </c>
      <c r="AU25" s="36">
        <v>20</v>
      </c>
      <c r="AV25" s="36">
        <v>12</v>
      </c>
      <c r="AW25" s="36">
        <v>5</v>
      </c>
      <c r="AX25" s="36">
        <v>4</v>
      </c>
      <c r="AY25" s="36">
        <f>36+35+12+62+30</f>
        <v>175</v>
      </c>
      <c r="AZ25" s="36">
        <v>30</v>
      </c>
      <c r="BA25" s="36">
        <v>15</v>
      </c>
      <c r="BB25" s="36">
        <v>6</v>
      </c>
      <c r="BC25" s="18">
        <f t="shared" si="4"/>
        <v>267</v>
      </c>
      <c r="BD25" s="36">
        <f>4+5+6+8+3</f>
        <v>26</v>
      </c>
      <c r="BE25" s="36">
        <v>12</v>
      </c>
      <c r="BF25" s="36">
        <v>9</v>
      </c>
      <c r="BG25" s="36">
        <v>6</v>
      </c>
      <c r="BH25" s="36">
        <f>65+14+60+34+15</f>
        <v>188</v>
      </c>
      <c r="BI25" s="36">
        <f>10+4+15+12+3</f>
        <v>44</v>
      </c>
      <c r="BJ25" s="36">
        <v>25</v>
      </c>
      <c r="BK25" s="36">
        <v>15</v>
      </c>
      <c r="BL25" s="18">
        <f t="shared" si="5"/>
        <v>325</v>
      </c>
      <c r="BM25" s="36">
        <f>1+12</f>
        <v>13</v>
      </c>
      <c r="BN25" s="36">
        <v>10</v>
      </c>
      <c r="BO25" s="36">
        <v>12</v>
      </c>
      <c r="BP25" s="36">
        <v>0</v>
      </c>
      <c r="BQ25" s="36">
        <f>95+20+25+20+74</f>
        <v>234</v>
      </c>
      <c r="BR25" s="36">
        <f>6+5+5+6+10</f>
        <v>32</v>
      </c>
      <c r="BS25" s="36">
        <f>4+5+5</f>
        <v>14</v>
      </c>
      <c r="BT25" s="36">
        <f>8</f>
        <v>8</v>
      </c>
      <c r="BU25" s="18">
        <f t="shared" si="6"/>
        <v>323</v>
      </c>
      <c r="BV25" s="36">
        <v>32</v>
      </c>
      <c r="BW25" s="36">
        <v>39</v>
      </c>
      <c r="BX25" s="36">
        <v>14</v>
      </c>
      <c r="BY25" s="36">
        <v>7</v>
      </c>
      <c r="BZ25" s="36">
        <v>276</v>
      </c>
      <c r="CA25" s="36">
        <v>32</v>
      </c>
      <c r="CB25" s="36">
        <v>15</v>
      </c>
      <c r="CC25" s="36">
        <v>10</v>
      </c>
      <c r="CD25" s="18">
        <f t="shared" si="7"/>
        <v>425</v>
      </c>
      <c r="CE25" s="37">
        <v>10</v>
      </c>
      <c r="CF25" s="37">
        <v>6</v>
      </c>
      <c r="CG25" s="37">
        <v>2</v>
      </c>
      <c r="CH25" s="37">
        <v>1</v>
      </c>
      <c r="CI25" s="37">
        <v>35</v>
      </c>
      <c r="CJ25" s="37">
        <v>8</v>
      </c>
      <c r="CK25" s="37">
        <v>1</v>
      </c>
      <c r="CL25" s="37">
        <v>1</v>
      </c>
      <c r="CM25" s="25">
        <f t="shared" si="8"/>
        <v>64</v>
      </c>
      <c r="CN25" s="37">
        <f>2+3+8+9+4</f>
        <v>26</v>
      </c>
      <c r="CO25" s="37">
        <f>1+12+8+3</f>
        <v>24</v>
      </c>
      <c r="CP25" s="37">
        <f>1+10+3</f>
        <v>14</v>
      </c>
      <c r="CQ25" s="37">
        <f>1+3</f>
        <v>4</v>
      </c>
      <c r="CR25" s="37">
        <f>6+66+35+22+98+14</f>
        <v>241</v>
      </c>
      <c r="CS25" s="37">
        <f>3+32+6+5+15+2</f>
        <v>63</v>
      </c>
      <c r="CT25" s="37">
        <f>3+5+3</f>
        <v>11</v>
      </c>
      <c r="CU25" s="37">
        <f>4+2</f>
        <v>6</v>
      </c>
      <c r="CV25" s="25">
        <f t="shared" si="9"/>
        <v>389</v>
      </c>
      <c r="CW25" s="37">
        <f>2+6+14+9</f>
        <v>31</v>
      </c>
      <c r="CX25" s="37">
        <f>1+8+13</f>
        <v>22</v>
      </c>
      <c r="CY25" s="37">
        <v>13</v>
      </c>
      <c r="CZ25" s="37">
        <f>1+10</f>
        <v>11</v>
      </c>
      <c r="DA25" s="37">
        <f>96+64+40+41+25</f>
        <v>266</v>
      </c>
      <c r="DB25" s="37">
        <f>38+22+12+22</f>
        <v>94</v>
      </c>
      <c r="DC25" s="37">
        <f>2+6+3+5</f>
        <v>16</v>
      </c>
      <c r="DD25" s="37">
        <f>1+3+2+2</f>
        <v>8</v>
      </c>
      <c r="DE25" s="25">
        <f t="shared" si="10"/>
        <v>461</v>
      </c>
      <c r="DF25" s="37">
        <v>21</v>
      </c>
      <c r="DG25" s="37">
        <v>18</v>
      </c>
      <c r="DH25" s="37">
        <v>10</v>
      </c>
      <c r="DI25" s="37">
        <v>8</v>
      </c>
      <c r="DJ25" s="37">
        <f>56+29+14+15</f>
        <v>114</v>
      </c>
      <c r="DK25" s="37">
        <f>13+18</f>
        <v>31</v>
      </c>
      <c r="DL25" s="37">
        <v>5</v>
      </c>
      <c r="DM25" s="37">
        <v>3</v>
      </c>
      <c r="DN25" s="20">
        <f t="shared" si="12"/>
        <v>210</v>
      </c>
      <c r="DO25" s="27">
        <f t="shared" si="13"/>
        <v>3451</v>
      </c>
      <c r="DP25" s="33"/>
      <c r="DQ25" s="22"/>
    </row>
    <row r="26" spans="2:121" ht="219.75" hidden="1" customHeight="1">
      <c r="B26" s="734" t="s">
        <v>67</v>
      </c>
      <c r="C26" s="734" t="s">
        <v>68</v>
      </c>
      <c r="D26" s="736" t="s">
        <v>69</v>
      </c>
      <c r="E26" s="750"/>
      <c r="F26" s="754" t="s">
        <v>103</v>
      </c>
      <c r="G26" s="734">
        <v>77</v>
      </c>
      <c r="H26" s="734" t="s">
        <v>108</v>
      </c>
      <c r="I26" s="736">
        <v>77</v>
      </c>
      <c r="J26" s="38" t="s">
        <v>65</v>
      </c>
      <c r="K26" s="16">
        <v>0</v>
      </c>
      <c r="L26" s="17">
        <v>0</v>
      </c>
      <c r="M26" s="17">
        <v>3</v>
      </c>
      <c r="N26" s="17">
        <v>5</v>
      </c>
      <c r="O26" s="16">
        <v>15</v>
      </c>
      <c r="P26" s="17">
        <v>2</v>
      </c>
      <c r="Q26" s="17">
        <v>0</v>
      </c>
      <c r="R26" s="17">
        <v>0</v>
      </c>
      <c r="S26" s="24">
        <f t="shared" si="0"/>
        <v>25</v>
      </c>
      <c r="T26" s="16">
        <v>0</v>
      </c>
      <c r="U26" s="17">
        <v>0</v>
      </c>
      <c r="V26" s="17">
        <v>3</v>
      </c>
      <c r="W26" s="17">
        <v>5</v>
      </c>
      <c r="X26" s="17">
        <v>10</v>
      </c>
      <c r="Y26" s="17">
        <v>2</v>
      </c>
      <c r="Z26" s="17">
        <v>0</v>
      </c>
      <c r="AA26" s="17">
        <v>0</v>
      </c>
      <c r="AB26" s="24">
        <f t="shared" si="1"/>
        <v>20</v>
      </c>
      <c r="AC26" s="16">
        <v>0</v>
      </c>
      <c r="AD26" s="17">
        <v>0</v>
      </c>
      <c r="AE26" s="17">
        <v>0</v>
      </c>
      <c r="AF26" s="17">
        <v>0</v>
      </c>
      <c r="AG26" s="16">
        <v>4</v>
      </c>
      <c r="AH26" s="17">
        <v>0</v>
      </c>
      <c r="AI26" s="17">
        <v>0</v>
      </c>
      <c r="AJ26" s="17">
        <v>0</v>
      </c>
      <c r="AK26" s="24">
        <f t="shared" si="2"/>
        <v>4</v>
      </c>
      <c r="AL26" s="30">
        <v>0</v>
      </c>
      <c r="AM26" s="31">
        <v>0</v>
      </c>
      <c r="AN26" s="31">
        <v>0</v>
      </c>
      <c r="AO26" s="31">
        <v>0</v>
      </c>
      <c r="AP26" s="31">
        <v>3</v>
      </c>
      <c r="AQ26" s="31">
        <v>0</v>
      </c>
      <c r="AR26" s="31">
        <v>0</v>
      </c>
      <c r="AS26" s="31">
        <v>0</v>
      </c>
      <c r="AT26" s="19">
        <f t="shared" si="3"/>
        <v>3</v>
      </c>
      <c r="AU26" s="16">
        <v>0</v>
      </c>
      <c r="AV26" s="17">
        <v>0</v>
      </c>
      <c r="AW26" s="17">
        <v>0</v>
      </c>
      <c r="AX26" s="17">
        <v>0</v>
      </c>
      <c r="AY26" s="16">
        <v>5</v>
      </c>
      <c r="AZ26" s="17">
        <v>0</v>
      </c>
      <c r="BA26" s="17">
        <v>0</v>
      </c>
      <c r="BB26" s="17">
        <v>0</v>
      </c>
      <c r="BC26" s="18">
        <f t="shared" si="4"/>
        <v>5</v>
      </c>
      <c r="BD26" s="16">
        <v>0</v>
      </c>
      <c r="BE26" s="17">
        <v>0</v>
      </c>
      <c r="BF26" s="17">
        <v>0</v>
      </c>
      <c r="BG26" s="17">
        <v>0</v>
      </c>
      <c r="BH26" s="17">
        <v>4</v>
      </c>
      <c r="BI26" s="17">
        <v>0</v>
      </c>
      <c r="BJ26" s="17">
        <v>0</v>
      </c>
      <c r="BK26" s="17">
        <v>0</v>
      </c>
      <c r="BL26" s="18">
        <f>SUM(BD26:BK26)</f>
        <v>4</v>
      </c>
      <c r="BM26" s="16">
        <v>0</v>
      </c>
      <c r="BN26" s="17">
        <v>0</v>
      </c>
      <c r="BO26" s="17">
        <v>0</v>
      </c>
      <c r="BP26" s="17">
        <v>0</v>
      </c>
      <c r="BQ26" s="16">
        <v>5</v>
      </c>
      <c r="BR26" s="17">
        <v>0</v>
      </c>
      <c r="BS26" s="17">
        <v>0</v>
      </c>
      <c r="BT26" s="17">
        <v>0</v>
      </c>
      <c r="BU26" s="18">
        <f t="shared" si="6"/>
        <v>5</v>
      </c>
      <c r="BV26" s="16">
        <v>0</v>
      </c>
      <c r="BW26" s="17">
        <v>0</v>
      </c>
      <c r="BX26" s="17">
        <v>0</v>
      </c>
      <c r="BY26" s="17">
        <v>0</v>
      </c>
      <c r="BZ26" s="17">
        <v>2</v>
      </c>
      <c r="CA26" s="17">
        <v>0</v>
      </c>
      <c r="CB26" s="17">
        <v>0</v>
      </c>
      <c r="CC26" s="17">
        <v>0</v>
      </c>
      <c r="CD26" s="18">
        <f t="shared" si="7"/>
        <v>2</v>
      </c>
      <c r="CE26" s="32">
        <v>0</v>
      </c>
      <c r="CF26" s="25">
        <v>0</v>
      </c>
      <c r="CG26" s="25">
        <v>0</v>
      </c>
      <c r="CH26" s="25">
        <v>0</v>
      </c>
      <c r="CI26" s="32">
        <v>3</v>
      </c>
      <c r="CJ26" s="25">
        <v>0</v>
      </c>
      <c r="CK26" s="25">
        <v>0</v>
      </c>
      <c r="CL26" s="25">
        <v>0</v>
      </c>
      <c r="CM26" s="25">
        <f t="shared" si="8"/>
        <v>3</v>
      </c>
      <c r="CN26" s="32">
        <v>0</v>
      </c>
      <c r="CO26" s="25">
        <v>0</v>
      </c>
      <c r="CP26" s="25">
        <v>0</v>
      </c>
      <c r="CQ26" s="25">
        <v>0</v>
      </c>
      <c r="CR26" s="25">
        <v>3</v>
      </c>
      <c r="CS26" s="25">
        <v>0</v>
      </c>
      <c r="CT26" s="25">
        <v>0</v>
      </c>
      <c r="CU26" s="25">
        <v>0</v>
      </c>
      <c r="CV26" s="25">
        <f t="shared" si="9"/>
        <v>3</v>
      </c>
      <c r="CW26" s="32">
        <v>0</v>
      </c>
      <c r="CX26" s="25">
        <v>0</v>
      </c>
      <c r="CY26" s="25">
        <v>0</v>
      </c>
      <c r="CZ26" s="25">
        <v>0</v>
      </c>
      <c r="DA26" s="32">
        <v>2</v>
      </c>
      <c r="DB26" s="25">
        <v>1</v>
      </c>
      <c r="DC26" s="25">
        <v>0</v>
      </c>
      <c r="DD26" s="25">
        <v>0</v>
      </c>
      <c r="DE26" s="25">
        <f t="shared" si="10"/>
        <v>3</v>
      </c>
      <c r="DF26" s="32">
        <v>0</v>
      </c>
      <c r="DG26" s="25">
        <v>0</v>
      </c>
      <c r="DH26" s="25">
        <v>0</v>
      </c>
      <c r="DI26" s="25">
        <v>0</v>
      </c>
      <c r="DJ26" s="25">
        <v>0</v>
      </c>
      <c r="DK26" s="25">
        <v>0</v>
      </c>
      <c r="DL26" s="25">
        <v>0</v>
      </c>
      <c r="DM26" s="25">
        <v>0</v>
      </c>
      <c r="DN26" s="20">
        <f t="shared" si="12"/>
        <v>0</v>
      </c>
      <c r="DO26" s="27">
        <f t="shared" si="13"/>
        <v>77</v>
      </c>
      <c r="DP26" s="33"/>
      <c r="DQ26" s="22"/>
    </row>
    <row r="27" spans="2:121" ht="210" customHeight="1">
      <c r="B27" s="735"/>
      <c r="C27" s="735"/>
      <c r="D27" s="738"/>
      <c r="E27" s="751"/>
      <c r="F27" s="749"/>
      <c r="G27" s="735"/>
      <c r="H27" s="735"/>
      <c r="I27" s="708"/>
      <c r="J27" s="23" t="s">
        <v>66</v>
      </c>
      <c r="K27" s="16">
        <v>0</v>
      </c>
      <c r="L27" s="17">
        <v>0</v>
      </c>
      <c r="M27" s="17">
        <v>0</v>
      </c>
      <c r="N27" s="17">
        <v>0</v>
      </c>
      <c r="O27" s="17">
        <v>30</v>
      </c>
      <c r="P27" s="17">
        <v>0</v>
      </c>
      <c r="Q27" s="17">
        <v>0</v>
      </c>
      <c r="R27" s="17">
        <v>0</v>
      </c>
      <c r="S27" s="24">
        <f t="shared" si="0"/>
        <v>30</v>
      </c>
      <c r="T27" s="16">
        <v>0</v>
      </c>
      <c r="U27" s="17">
        <v>0</v>
      </c>
      <c r="V27" s="17">
        <v>0</v>
      </c>
      <c r="W27" s="17">
        <v>0</v>
      </c>
      <c r="X27" s="17">
        <v>15</v>
      </c>
      <c r="Y27" s="17">
        <v>0</v>
      </c>
      <c r="Z27" s="17">
        <v>0</v>
      </c>
      <c r="AA27" s="17">
        <v>0</v>
      </c>
      <c r="AB27" s="24">
        <f t="shared" si="1"/>
        <v>15</v>
      </c>
      <c r="AC27" s="39">
        <v>0</v>
      </c>
      <c r="AD27" s="20">
        <v>0</v>
      </c>
      <c r="AE27" s="20">
        <v>0</v>
      </c>
      <c r="AF27" s="20">
        <v>0</v>
      </c>
      <c r="AG27" s="20">
        <v>35</v>
      </c>
      <c r="AH27" s="20">
        <v>5</v>
      </c>
      <c r="AI27" s="20">
        <v>0</v>
      </c>
      <c r="AJ27" s="20">
        <v>0</v>
      </c>
      <c r="AK27" s="24">
        <f t="shared" si="2"/>
        <v>40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0</v>
      </c>
      <c r="AR27" s="35">
        <v>0</v>
      </c>
      <c r="AS27" s="35">
        <v>0</v>
      </c>
      <c r="AT27" s="19">
        <f t="shared" si="3"/>
        <v>0</v>
      </c>
      <c r="AU27" s="36">
        <v>0</v>
      </c>
      <c r="AV27" s="36">
        <v>0</v>
      </c>
      <c r="AW27" s="36">
        <v>0</v>
      </c>
      <c r="AX27" s="36">
        <v>0</v>
      </c>
      <c r="AY27" s="36">
        <v>0</v>
      </c>
      <c r="AZ27" s="36">
        <v>0</v>
      </c>
      <c r="BA27" s="36">
        <v>0</v>
      </c>
      <c r="BB27" s="36">
        <v>0</v>
      </c>
      <c r="BC27" s="18">
        <f t="shared" si="4"/>
        <v>0</v>
      </c>
      <c r="BD27" s="36">
        <v>0</v>
      </c>
      <c r="BE27" s="36">
        <v>0</v>
      </c>
      <c r="BF27" s="36">
        <v>0</v>
      </c>
      <c r="BG27" s="36">
        <v>0</v>
      </c>
      <c r="BH27" s="36">
        <v>0</v>
      </c>
      <c r="BI27" s="36">
        <v>0</v>
      </c>
      <c r="BJ27" s="36">
        <v>0</v>
      </c>
      <c r="BK27" s="36">
        <v>0</v>
      </c>
      <c r="BL27" s="18">
        <f t="shared" si="5"/>
        <v>0</v>
      </c>
      <c r="BM27" s="36">
        <v>0</v>
      </c>
      <c r="BN27" s="36">
        <v>0</v>
      </c>
      <c r="BO27" s="36">
        <v>0</v>
      </c>
      <c r="BP27" s="36">
        <v>0</v>
      </c>
      <c r="BQ27" s="36">
        <v>0</v>
      </c>
      <c r="BR27" s="36">
        <v>0</v>
      </c>
      <c r="BS27" s="36">
        <v>0</v>
      </c>
      <c r="BT27" s="36">
        <v>0</v>
      </c>
      <c r="BU27" s="18">
        <f t="shared" si="6"/>
        <v>0</v>
      </c>
      <c r="BV27" s="36">
        <v>0</v>
      </c>
      <c r="BW27" s="36">
        <v>0</v>
      </c>
      <c r="BX27" s="36">
        <v>0</v>
      </c>
      <c r="BY27" s="36">
        <v>0</v>
      </c>
      <c r="BZ27" s="36">
        <v>60</v>
      </c>
      <c r="CA27" s="36">
        <v>0</v>
      </c>
      <c r="CB27" s="36">
        <v>0</v>
      </c>
      <c r="CC27" s="36">
        <v>0</v>
      </c>
      <c r="CD27" s="18">
        <f t="shared" si="7"/>
        <v>60</v>
      </c>
      <c r="CE27" s="37">
        <v>0</v>
      </c>
      <c r="CF27" s="37">
        <v>0</v>
      </c>
      <c r="CG27" s="37">
        <v>0</v>
      </c>
      <c r="CH27" s="37">
        <v>0</v>
      </c>
      <c r="CI27" s="37">
        <v>15</v>
      </c>
      <c r="CJ27" s="37">
        <v>0</v>
      </c>
      <c r="CK27" s="37">
        <v>0</v>
      </c>
      <c r="CL27" s="37">
        <v>0</v>
      </c>
      <c r="CM27" s="25">
        <f t="shared" si="8"/>
        <v>15</v>
      </c>
      <c r="CN27" s="37">
        <v>0</v>
      </c>
      <c r="CO27" s="37">
        <v>0</v>
      </c>
      <c r="CP27" s="37">
        <v>0</v>
      </c>
      <c r="CQ27" s="37">
        <v>0</v>
      </c>
      <c r="CR27" s="37">
        <v>40</v>
      </c>
      <c r="CS27" s="37">
        <v>15</v>
      </c>
      <c r="CT27" s="37">
        <v>0</v>
      </c>
      <c r="CU27" s="37">
        <v>0</v>
      </c>
      <c r="CV27" s="25">
        <f t="shared" si="9"/>
        <v>55</v>
      </c>
      <c r="CW27" s="37">
        <v>0</v>
      </c>
      <c r="CX27" s="37">
        <v>0</v>
      </c>
      <c r="CY27" s="37">
        <v>0</v>
      </c>
      <c r="CZ27" s="37">
        <v>0</v>
      </c>
      <c r="DA27" s="37">
        <v>42</v>
      </c>
      <c r="DB27" s="37">
        <v>25</v>
      </c>
      <c r="DC27" s="37">
        <v>0</v>
      </c>
      <c r="DD27" s="37">
        <v>0</v>
      </c>
      <c r="DE27" s="25">
        <f t="shared" si="10"/>
        <v>67</v>
      </c>
      <c r="DF27" s="37">
        <v>0</v>
      </c>
      <c r="DG27" s="37">
        <v>0</v>
      </c>
      <c r="DH27" s="37">
        <v>0</v>
      </c>
      <c r="DI27" s="37">
        <v>0</v>
      </c>
      <c r="DJ27" s="37">
        <v>0</v>
      </c>
      <c r="DK27" s="37">
        <v>0</v>
      </c>
      <c r="DL27" s="37">
        <v>0</v>
      </c>
      <c r="DM27" s="37">
        <v>0</v>
      </c>
      <c r="DN27" s="20">
        <f t="shared" si="12"/>
        <v>0</v>
      </c>
      <c r="DO27" s="27">
        <f t="shared" si="13"/>
        <v>282</v>
      </c>
      <c r="DP27" s="33"/>
      <c r="DQ27" s="22"/>
    </row>
    <row r="28" spans="2:121" ht="267" hidden="1" customHeight="1">
      <c r="B28" s="734" t="s">
        <v>67</v>
      </c>
      <c r="C28" s="734" t="s">
        <v>68</v>
      </c>
      <c r="D28" s="736" t="s">
        <v>69</v>
      </c>
      <c r="E28" s="750"/>
      <c r="F28" s="754" t="s">
        <v>103</v>
      </c>
      <c r="G28" s="734">
        <v>394</v>
      </c>
      <c r="H28" s="734" t="s">
        <v>109</v>
      </c>
      <c r="I28" s="736">
        <v>394</v>
      </c>
      <c r="J28" s="38" t="s">
        <v>65</v>
      </c>
      <c r="K28" s="16">
        <v>2</v>
      </c>
      <c r="L28" s="17">
        <v>1</v>
      </c>
      <c r="M28" s="17">
        <v>0</v>
      </c>
      <c r="N28" s="17">
        <v>0</v>
      </c>
      <c r="O28" s="16">
        <v>5</v>
      </c>
      <c r="P28" s="17">
        <v>2</v>
      </c>
      <c r="Q28" s="17">
        <v>0</v>
      </c>
      <c r="R28" s="17">
        <v>0</v>
      </c>
      <c r="S28" s="24">
        <f t="shared" si="0"/>
        <v>10</v>
      </c>
      <c r="T28" s="16">
        <v>5</v>
      </c>
      <c r="U28" s="17">
        <v>4</v>
      </c>
      <c r="V28" s="17">
        <v>1</v>
      </c>
      <c r="W28" s="17">
        <v>1</v>
      </c>
      <c r="X28" s="17">
        <v>10</v>
      </c>
      <c r="Y28" s="17">
        <v>5</v>
      </c>
      <c r="Z28" s="17">
        <v>0</v>
      </c>
      <c r="AA28" s="17">
        <v>0</v>
      </c>
      <c r="AB28" s="24">
        <f t="shared" si="1"/>
        <v>26</v>
      </c>
      <c r="AC28" s="16">
        <v>6</v>
      </c>
      <c r="AD28" s="17">
        <v>4</v>
      </c>
      <c r="AE28" s="17">
        <v>2</v>
      </c>
      <c r="AF28" s="17">
        <v>1</v>
      </c>
      <c r="AG28" s="17">
        <v>11</v>
      </c>
      <c r="AH28" s="17">
        <v>5</v>
      </c>
      <c r="AI28" s="17">
        <v>1</v>
      </c>
      <c r="AJ28" s="17">
        <v>0</v>
      </c>
      <c r="AK28" s="24">
        <f t="shared" si="2"/>
        <v>30</v>
      </c>
      <c r="AL28" s="30">
        <v>4</v>
      </c>
      <c r="AM28" s="31">
        <v>2</v>
      </c>
      <c r="AN28" s="31">
        <v>1</v>
      </c>
      <c r="AO28" s="31">
        <v>0</v>
      </c>
      <c r="AP28" s="31">
        <v>15</v>
      </c>
      <c r="AQ28" s="31">
        <v>6</v>
      </c>
      <c r="AR28" s="31">
        <v>2</v>
      </c>
      <c r="AS28" s="31">
        <v>3</v>
      </c>
      <c r="AT28" s="19">
        <f t="shared" si="3"/>
        <v>33</v>
      </c>
      <c r="AU28" s="16">
        <v>7</v>
      </c>
      <c r="AV28" s="17">
        <v>5</v>
      </c>
      <c r="AW28" s="17">
        <v>1</v>
      </c>
      <c r="AX28" s="17">
        <v>2</v>
      </c>
      <c r="AY28" s="17">
        <v>12</v>
      </c>
      <c r="AZ28" s="17">
        <v>6</v>
      </c>
      <c r="BA28" s="17">
        <v>0</v>
      </c>
      <c r="BB28" s="17">
        <v>1</v>
      </c>
      <c r="BC28" s="18">
        <f t="shared" si="4"/>
        <v>34</v>
      </c>
      <c r="BD28" s="16">
        <v>6</v>
      </c>
      <c r="BE28" s="17">
        <v>3</v>
      </c>
      <c r="BF28" s="17">
        <v>0</v>
      </c>
      <c r="BG28" s="17">
        <v>2</v>
      </c>
      <c r="BH28" s="17">
        <v>9</v>
      </c>
      <c r="BI28" s="17">
        <v>7</v>
      </c>
      <c r="BJ28" s="17">
        <v>1</v>
      </c>
      <c r="BK28" s="17">
        <v>3</v>
      </c>
      <c r="BL28" s="18">
        <f t="shared" si="5"/>
        <v>31</v>
      </c>
      <c r="BM28" s="16">
        <v>7</v>
      </c>
      <c r="BN28" s="17">
        <v>6</v>
      </c>
      <c r="BO28" s="17">
        <v>2</v>
      </c>
      <c r="BP28" s="17">
        <v>1</v>
      </c>
      <c r="BQ28" s="17">
        <v>15</v>
      </c>
      <c r="BR28" s="17">
        <v>6</v>
      </c>
      <c r="BS28" s="17">
        <v>0</v>
      </c>
      <c r="BT28" s="17">
        <v>0</v>
      </c>
      <c r="BU28" s="18">
        <f t="shared" si="6"/>
        <v>37</v>
      </c>
      <c r="BV28" s="16">
        <v>8</v>
      </c>
      <c r="BW28" s="17">
        <v>4</v>
      </c>
      <c r="BX28" s="17">
        <v>2</v>
      </c>
      <c r="BY28" s="17">
        <v>1</v>
      </c>
      <c r="BZ28" s="17">
        <v>15</v>
      </c>
      <c r="CA28" s="17">
        <v>6</v>
      </c>
      <c r="CB28" s="17">
        <v>1</v>
      </c>
      <c r="CC28" s="17">
        <v>0</v>
      </c>
      <c r="CD28" s="18">
        <f t="shared" si="7"/>
        <v>37</v>
      </c>
      <c r="CE28" s="32">
        <v>7</v>
      </c>
      <c r="CF28" s="25">
        <v>5</v>
      </c>
      <c r="CG28" s="25">
        <v>2</v>
      </c>
      <c r="CH28" s="25">
        <v>1</v>
      </c>
      <c r="CI28" s="25">
        <v>11</v>
      </c>
      <c r="CJ28" s="25">
        <v>5</v>
      </c>
      <c r="CK28" s="25">
        <v>1</v>
      </c>
      <c r="CL28" s="25">
        <v>0</v>
      </c>
      <c r="CM28" s="25">
        <f t="shared" si="8"/>
        <v>32</v>
      </c>
      <c r="CN28" s="32">
        <v>9</v>
      </c>
      <c r="CO28" s="25">
        <v>5</v>
      </c>
      <c r="CP28" s="25">
        <v>5</v>
      </c>
      <c r="CQ28" s="25">
        <v>1</v>
      </c>
      <c r="CR28" s="25">
        <v>13</v>
      </c>
      <c r="CS28" s="25">
        <v>5</v>
      </c>
      <c r="CT28" s="25">
        <v>0</v>
      </c>
      <c r="CU28" s="25">
        <v>0</v>
      </c>
      <c r="CV28" s="25">
        <f t="shared" si="9"/>
        <v>38</v>
      </c>
      <c r="CW28" s="32">
        <v>8</v>
      </c>
      <c r="CX28" s="25">
        <v>5</v>
      </c>
      <c r="CY28" s="25">
        <v>1</v>
      </c>
      <c r="CZ28" s="25">
        <v>2</v>
      </c>
      <c r="DA28" s="25">
        <v>16</v>
      </c>
      <c r="DB28" s="25">
        <v>6</v>
      </c>
      <c r="DC28" s="25">
        <v>3</v>
      </c>
      <c r="DD28" s="25">
        <v>2</v>
      </c>
      <c r="DE28" s="25">
        <f t="shared" si="10"/>
        <v>43</v>
      </c>
      <c r="DF28" s="32">
        <v>8</v>
      </c>
      <c r="DG28" s="25">
        <v>5</v>
      </c>
      <c r="DH28" s="25">
        <v>2</v>
      </c>
      <c r="DI28" s="25">
        <v>2</v>
      </c>
      <c r="DJ28" s="25">
        <v>20</v>
      </c>
      <c r="DK28" s="25">
        <v>6</v>
      </c>
      <c r="DL28" s="25">
        <v>0</v>
      </c>
      <c r="DM28" s="25">
        <v>0</v>
      </c>
      <c r="DN28" s="20">
        <f t="shared" si="12"/>
        <v>43</v>
      </c>
      <c r="DO28" s="27">
        <f t="shared" si="13"/>
        <v>394</v>
      </c>
      <c r="DP28" s="33"/>
      <c r="DQ28" s="22"/>
    </row>
    <row r="29" spans="2:121" ht="212.25" customHeight="1">
      <c r="B29" s="735"/>
      <c r="C29" s="735"/>
      <c r="D29" s="738"/>
      <c r="E29" s="751"/>
      <c r="F29" s="749"/>
      <c r="G29" s="735"/>
      <c r="H29" s="735"/>
      <c r="I29" s="708"/>
      <c r="J29" s="23" t="s">
        <v>66</v>
      </c>
      <c r="K29" s="16">
        <v>0</v>
      </c>
      <c r="L29" s="17">
        <v>0</v>
      </c>
      <c r="M29" s="17">
        <v>0</v>
      </c>
      <c r="N29" s="17">
        <v>0</v>
      </c>
      <c r="O29" s="16">
        <v>15</v>
      </c>
      <c r="P29" s="17">
        <v>9</v>
      </c>
      <c r="Q29" s="17">
        <v>0</v>
      </c>
      <c r="R29" s="17">
        <v>0</v>
      </c>
      <c r="S29" s="24">
        <f t="shared" si="0"/>
        <v>24</v>
      </c>
      <c r="T29" s="16">
        <v>15</v>
      </c>
      <c r="U29" s="17">
        <v>9</v>
      </c>
      <c r="V29" s="17">
        <v>3</v>
      </c>
      <c r="W29" s="17">
        <v>3</v>
      </c>
      <c r="X29" s="17">
        <v>39</v>
      </c>
      <c r="Y29" s="17">
        <v>15</v>
      </c>
      <c r="Z29" s="17">
        <v>7</v>
      </c>
      <c r="AA29" s="17">
        <v>5</v>
      </c>
      <c r="AB29" s="24">
        <f t="shared" si="1"/>
        <v>96</v>
      </c>
      <c r="AC29" s="20">
        <v>10</v>
      </c>
      <c r="AD29" s="20">
        <v>6</v>
      </c>
      <c r="AE29" s="20">
        <v>6</v>
      </c>
      <c r="AF29" s="20">
        <v>2</v>
      </c>
      <c r="AG29" s="20">
        <v>25</v>
      </c>
      <c r="AH29" s="20">
        <v>18</v>
      </c>
      <c r="AI29" s="20">
        <v>4</v>
      </c>
      <c r="AJ29" s="20">
        <v>2</v>
      </c>
      <c r="AK29" s="24">
        <f t="shared" si="2"/>
        <v>73</v>
      </c>
      <c r="AL29" s="35">
        <v>15</v>
      </c>
      <c r="AM29" s="35">
        <v>18</v>
      </c>
      <c r="AN29" s="35">
        <v>8</v>
      </c>
      <c r="AO29" s="35">
        <v>5</v>
      </c>
      <c r="AP29" s="35">
        <v>36</v>
      </c>
      <c r="AQ29" s="35">
        <v>10</v>
      </c>
      <c r="AR29" s="35">
        <v>15</v>
      </c>
      <c r="AS29" s="35">
        <v>14</v>
      </c>
      <c r="AT29" s="19">
        <f t="shared" si="3"/>
        <v>121</v>
      </c>
      <c r="AU29" s="36">
        <v>18</v>
      </c>
      <c r="AV29" s="36">
        <v>13</v>
      </c>
      <c r="AW29" s="36">
        <v>5</v>
      </c>
      <c r="AX29" s="36">
        <v>3</v>
      </c>
      <c r="AY29" s="36">
        <v>15</v>
      </c>
      <c r="AZ29" s="36">
        <v>7</v>
      </c>
      <c r="BA29" s="36">
        <v>32</v>
      </c>
      <c r="BB29" s="36">
        <v>12</v>
      </c>
      <c r="BC29" s="18">
        <f t="shared" si="4"/>
        <v>105</v>
      </c>
      <c r="BD29" s="36">
        <v>18</v>
      </c>
      <c r="BE29" s="36">
        <v>22</v>
      </c>
      <c r="BF29" s="36">
        <v>6</v>
      </c>
      <c r="BG29" s="36">
        <v>12</v>
      </c>
      <c r="BH29" s="36">
        <v>24</v>
      </c>
      <c r="BI29" s="36">
        <v>28</v>
      </c>
      <c r="BJ29" s="36">
        <v>43</v>
      </c>
      <c r="BK29" s="36">
        <v>19</v>
      </c>
      <c r="BL29" s="18">
        <f t="shared" si="5"/>
        <v>172</v>
      </c>
      <c r="BM29" s="36">
        <v>18</v>
      </c>
      <c r="BN29" s="36">
        <v>22</v>
      </c>
      <c r="BO29" s="36">
        <v>12</v>
      </c>
      <c r="BP29" s="36">
        <v>18</v>
      </c>
      <c r="BQ29" s="36">
        <v>35</v>
      </c>
      <c r="BR29" s="36">
        <v>20</v>
      </c>
      <c r="BS29" s="36">
        <v>15</v>
      </c>
      <c r="BT29" s="36">
        <v>8</v>
      </c>
      <c r="BU29" s="18">
        <f t="shared" si="6"/>
        <v>148</v>
      </c>
      <c r="BV29" s="36">
        <v>28</v>
      </c>
      <c r="BW29" s="36">
        <v>21</v>
      </c>
      <c r="BX29" s="36">
        <v>12</v>
      </c>
      <c r="BY29" s="36">
        <v>8</v>
      </c>
      <c r="BZ29" s="36">
        <v>20</v>
      </c>
      <c r="CA29" s="36">
        <v>16</v>
      </c>
      <c r="CB29" s="36">
        <v>22</v>
      </c>
      <c r="CC29" s="36">
        <v>28</v>
      </c>
      <c r="CD29" s="18">
        <f t="shared" si="7"/>
        <v>155</v>
      </c>
      <c r="CE29" s="37">
        <v>5</v>
      </c>
      <c r="CF29" s="37">
        <v>2</v>
      </c>
      <c r="CG29" s="37">
        <v>1</v>
      </c>
      <c r="CH29" s="37">
        <v>0</v>
      </c>
      <c r="CI29" s="37">
        <v>15</v>
      </c>
      <c r="CJ29" s="37">
        <v>8</v>
      </c>
      <c r="CK29" s="37">
        <v>0</v>
      </c>
      <c r="CL29" s="37">
        <v>1</v>
      </c>
      <c r="CM29" s="25">
        <f t="shared" si="8"/>
        <v>32</v>
      </c>
      <c r="CN29" s="37">
        <f>14+2+4</f>
        <v>20</v>
      </c>
      <c r="CO29" s="37">
        <v>18</v>
      </c>
      <c r="CP29" s="37">
        <v>5</v>
      </c>
      <c r="CQ29" s="37">
        <v>4</v>
      </c>
      <c r="CR29" s="37">
        <v>20</v>
      </c>
      <c r="CS29" s="37">
        <v>11</v>
      </c>
      <c r="CT29" s="37">
        <v>19</v>
      </c>
      <c r="CU29" s="37">
        <v>9</v>
      </c>
      <c r="CV29" s="25">
        <f t="shared" si="9"/>
        <v>106</v>
      </c>
      <c r="CW29" s="37">
        <f>18+1+1+2</f>
        <v>22</v>
      </c>
      <c r="CX29" s="37">
        <f>24+1+1+1</f>
        <v>27</v>
      </c>
      <c r="CY29" s="37">
        <v>4</v>
      </c>
      <c r="CZ29" s="37">
        <f>8+1+2</f>
        <v>11</v>
      </c>
      <c r="DA29" s="37">
        <f>15+3+1+1</f>
        <v>20</v>
      </c>
      <c r="DB29" s="37">
        <v>3</v>
      </c>
      <c r="DC29" s="37">
        <f>10+2</f>
        <v>12</v>
      </c>
      <c r="DD29" s="37">
        <v>12</v>
      </c>
      <c r="DE29" s="25">
        <f t="shared" si="10"/>
        <v>111</v>
      </c>
      <c r="DF29" s="37">
        <v>15</v>
      </c>
      <c r="DG29" s="37">
        <v>25</v>
      </c>
      <c r="DH29" s="37">
        <v>12</v>
      </c>
      <c r="DI29" s="37">
        <v>18</v>
      </c>
      <c r="DJ29" s="37">
        <v>40</v>
      </c>
      <c r="DK29" s="37">
        <v>22</v>
      </c>
      <c r="DL29" s="37">
        <v>15</v>
      </c>
      <c r="DM29" s="37">
        <v>18</v>
      </c>
      <c r="DN29" s="20">
        <f t="shared" si="12"/>
        <v>165</v>
      </c>
      <c r="DO29" s="27">
        <f t="shared" si="13"/>
        <v>1308</v>
      </c>
      <c r="DP29" s="33"/>
      <c r="DQ29" s="22"/>
    </row>
    <row r="30" spans="2:121" ht="172.5" hidden="1" customHeight="1">
      <c r="B30" s="734" t="s">
        <v>67</v>
      </c>
      <c r="C30" s="734" t="s">
        <v>68</v>
      </c>
      <c r="D30" s="736" t="s">
        <v>69</v>
      </c>
      <c r="E30" s="750"/>
      <c r="F30" s="754" t="s">
        <v>103</v>
      </c>
      <c r="G30" s="734">
        <v>48</v>
      </c>
      <c r="H30" s="734" t="s">
        <v>110</v>
      </c>
      <c r="I30" s="736">
        <v>48</v>
      </c>
      <c r="J30" s="38" t="s">
        <v>65</v>
      </c>
      <c r="K30" s="16">
        <v>5</v>
      </c>
      <c r="L30" s="17">
        <v>5</v>
      </c>
      <c r="M30" s="17">
        <v>2</v>
      </c>
      <c r="N30" s="17">
        <v>2</v>
      </c>
      <c r="O30" s="16">
        <v>10</v>
      </c>
      <c r="P30" s="17">
        <v>2</v>
      </c>
      <c r="Q30" s="17">
        <v>0</v>
      </c>
      <c r="R30" s="17">
        <v>1</v>
      </c>
      <c r="S30" s="24">
        <f t="shared" si="0"/>
        <v>27</v>
      </c>
      <c r="T30" s="16">
        <v>5</v>
      </c>
      <c r="U30" s="17">
        <v>5</v>
      </c>
      <c r="V30" s="17">
        <v>2</v>
      </c>
      <c r="W30" s="17">
        <v>1</v>
      </c>
      <c r="X30" s="16">
        <v>2</v>
      </c>
      <c r="Y30" s="17">
        <v>1</v>
      </c>
      <c r="Z30" s="17">
        <v>0</v>
      </c>
      <c r="AA30" s="17">
        <v>0</v>
      </c>
      <c r="AB30" s="24">
        <f t="shared" si="1"/>
        <v>16</v>
      </c>
      <c r="AC30" s="16">
        <v>0</v>
      </c>
      <c r="AD30" s="17">
        <v>0</v>
      </c>
      <c r="AE30" s="17">
        <v>0</v>
      </c>
      <c r="AF30" s="17">
        <v>0</v>
      </c>
      <c r="AG30" s="16">
        <v>1</v>
      </c>
      <c r="AH30" s="17">
        <v>0</v>
      </c>
      <c r="AI30" s="17">
        <v>0</v>
      </c>
      <c r="AJ30" s="17">
        <v>0</v>
      </c>
      <c r="AK30" s="24">
        <f t="shared" si="2"/>
        <v>1</v>
      </c>
      <c r="AL30" s="30">
        <v>0</v>
      </c>
      <c r="AM30" s="31">
        <v>0</v>
      </c>
      <c r="AN30" s="31">
        <v>0</v>
      </c>
      <c r="AO30" s="31">
        <v>0</v>
      </c>
      <c r="AP30" s="30">
        <v>0</v>
      </c>
      <c r="AQ30" s="31">
        <v>0</v>
      </c>
      <c r="AR30" s="31">
        <v>0</v>
      </c>
      <c r="AS30" s="31">
        <v>1</v>
      </c>
      <c r="AT30" s="19">
        <f t="shared" si="3"/>
        <v>1</v>
      </c>
      <c r="AU30" s="16">
        <v>0</v>
      </c>
      <c r="AV30" s="17">
        <v>0</v>
      </c>
      <c r="AW30" s="17">
        <v>0</v>
      </c>
      <c r="AX30" s="17">
        <v>0</v>
      </c>
      <c r="AY30" s="16">
        <v>1</v>
      </c>
      <c r="AZ30" s="17">
        <v>0</v>
      </c>
      <c r="BA30" s="17">
        <v>0</v>
      </c>
      <c r="BB30" s="17">
        <v>0</v>
      </c>
      <c r="BC30" s="18">
        <f t="shared" si="4"/>
        <v>1</v>
      </c>
      <c r="BD30" s="16">
        <v>0</v>
      </c>
      <c r="BE30" s="17">
        <v>0</v>
      </c>
      <c r="BF30" s="17">
        <v>0</v>
      </c>
      <c r="BG30" s="17">
        <v>0</v>
      </c>
      <c r="BH30" s="16">
        <v>1</v>
      </c>
      <c r="BI30" s="17">
        <v>0</v>
      </c>
      <c r="BJ30" s="17">
        <v>0</v>
      </c>
      <c r="BK30" s="17">
        <v>0</v>
      </c>
      <c r="BL30" s="18">
        <f t="shared" si="5"/>
        <v>1</v>
      </c>
      <c r="BM30" s="16">
        <v>0</v>
      </c>
      <c r="BN30" s="17">
        <v>0</v>
      </c>
      <c r="BO30" s="17">
        <v>0</v>
      </c>
      <c r="BP30" s="17">
        <v>0</v>
      </c>
      <c r="BQ30" s="16">
        <v>1</v>
      </c>
      <c r="BR30" s="17">
        <v>0</v>
      </c>
      <c r="BS30" s="17">
        <v>0</v>
      </c>
      <c r="BT30" s="17">
        <v>0</v>
      </c>
      <c r="BU30" s="18">
        <f t="shared" si="6"/>
        <v>1</v>
      </c>
      <c r="BV30" s="16">
        <v>0</v>
      </c>
      <c r="BW30" s="17">
        <v>0</v>
      </c>
      <c r="BX30" s="17">
        <v>0</v>
      </c>
      <c r="BY30" s="17">
        <v>0</v>
      </c>
      <c r="BZ30" s="16">
        <v>0</v>
      </c>
      <c r="CA30" s="17">
        <v>0</v>
      </c>
      <c r="CB30" s="17">
        <v>0</v>
      </c>
      <c r="CC30" s="17">
        <v>0</v>
      </c>
      <c r="CD30" s="18">
        <v>0</v>
      </c>
      <c r="CE30" s="32">
        <v>0</v>
      </c>
      <c r="CF30" s="25">
        <v>0</v>
      </c>
      <c r="CG30" s="25">
        <v>0</v>
      </c>
      <c r="CH30" s="25">
        <v>0</v>
      </c>
      <c r="CI30" s="32">
        <v>0</v>
      </c>
      <c r="CJ30" s="25">
        <v>0</v>
      </c>
      <c r="CK30" s="25">
        <v>0</v>
      </c>
      <c r="CL30" s="25">
        <v>0</v>
      </c>
      <c r="CM30" s="25">
        <f t="shared" si="8"/>
        <v>0</v>
      </c>
      <c r="CN30" s="32">
        <v>0</v>
      </c>
      <c r="CO30" s="25">
        <v>0</v>
      </c>
      <c r="CP30" s="25">
        <v>0</v>
      </c>
      <c r="CQ30" s="25">
        <v>0</v>
      </c>
      <c r="CR30" s="32">
        <v>0</v>
      </c>
      <c r="CS30" s="25">
        <v>0</v>
      </c>
      <c r="CT30" s="25">
        <v>0</v>
      </c>
      <c r="CU30" s="25">
        <v>0</v>
      </c>
      <c r="CV30" s="25">
        <f t="shared" si="9"/>
        <v>0</v>
      </c>
      <c r="CW30" s="32">
        <v>0</v>
      </c>
      <c r="CX30" s="25">
        <v>0</v>
      </c>
      <c r="CY30" s="25">
        <v>0</v>
      </c>
      <c r="CZ30" s="25">
        <v>0</v>
      </c>
      <c r="DA30" s="32">
        <v>0</v>
      </c>
      <c r="DB30" s="25">
        <v>0</v>
      </c>
      <c r="DC30" s="25">
        <v>0</v>
      </c>
      <c r="DD30" s="25">
        <v>0</v>
      </c>
      <c r="DE30" s="25">
        <f t="shared" si="10"/>
        <v>0</v>
      </c>
      <c r="DF30" s="32">
        <v>0</v>
      </c>
      <c r="DG30" s="25">
        <v>0</v>
      </c>
      <c r="DH30" s="25">
        <v>0</v>
      </c>
      <c r="DI30" s="25">
        <v>0</v>
      </c>
      <c r="DJ30" s="32">
        <v>0</v>
      </c>
      <c r="DK30" s="25">
        <v>0</v>
      </c>
      <c r="DL30" s="25">
        <v>0</v>
      </c>
      <c r="DM30" s="25">
        <v>0</v>
      </c>
      <c r="DN30" s="20">
        <f t="shared" si="12"/>
        <v>0</v>
      </c>
      <c r="DO30" s="27">
        <f t="shared" si="13"/>
        <v>48</v>
      </c>
      <c r="DP30" s="33"/>
      <c r="DQ30" s="22"/>
    </row>
    <row r="31" spans="2:121" ht="187.5" customHeight="1">
      <c r="B31" s="735"/>
      <c r="C31" s="735"/>
      <c r="D31" s="738"/>
      <c r="E31" s="751"/>
      <c r="F31" s="749"/>
      <c r="G31" s="735"/>
      <c r="H31" s="735"/>
      <c r="I31" s="708"/>
      <c r="J31" s="23" t="s">
        <v>66</v>
      </c>
      <c r="K31" s="16">
        <v>19</v>
      </c>
      <c r="L31" s="17">
        <v>20</v>
      </c>
      <c r="M31" s="17">
        <v>2</v>
      </c>
      <c r="N31" s="17">
        <v>3</v>
      </c>
      <c r="O31" s="16">
        <f>6+9</f>
        <v>15</v>
      </c>
      <c r="P31" s="17">
        <v>5</v>
      </c>
      <c r="Q31" s="17">
        <v>0</v>
      </c>
      <c r="R31" s="17">
        <v>2</v>
      </c>
      <c r="S31" s="24">
        <f t="shared" si="0"/>
        <v>66</v>
      </c>
      <c r="T31" s="16">
        <v>24</v>
      </c>
      <c r="U31" s="17">
        <v>26</v>
      </c>
      <c r="V31" s="17">
        <v>3</v>
      </c>
      <c r="W31" s="17">
        <v>0</v>
      </c>
      <c r="X31" s="16">
        <v>7</v>
      </c>
      <c r="Y31" s="17">
        <v>0</v>
      </c>
      <c r="Z31" s="17">
        <v>0</v>
      </c>
      <c r="AA31" s="17">
        <v>0</v>
      </c>
      <c r="AB31" s="24">
        <f t="shared" si="1"/>
        <v>60</v>
      </c>
      <c r="AC31" s="20">
        <v>15</v>
      </c>
      <c r="AD31" s="20">
        <v>10</v>
      </c>
      <c r="AE31" s="20">
        <v>0</v>
      </c>
      <c r="AF31" s="20">
        <v>0</v>
      </c>
      <c r="AG31" s="20">
        <v>13</v>
      </c>
      <c r="AH31" s="20">
        <v>5</v>
      </c>
      <c r="AI31" s="20">
        <v>5</v>
      </c>
      <c r="AJ31" s="20">
        <v>6</v>
      </c>
      <c r="AK31" s="24">
        <f t="shared" si="2"/>
        <v>54</v>
      </c>
      <c r="AL31" s="35">
        <v>0</v>
      </c>
      <c r="AM31" s="35">
        <v>0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3</v>
      </c>
      <c r="AT31" s="19">
        <f t="shared" si="3"/>
        <v>3</v>
      </c>
      <c r="AU31" s="36">
        <v>30</v>
      </c>
      <c r="AV31" s="36">
        <v>22</v>
      </c>
      <c r="AW31" s="36">
        <v>3</v>
      </c>
      <c r="AX31" s="36">
        <v>3</v>
      </c>
      <c r="AY31" s="36">
        <v>15</v>
      </c>
      <c r="AZ31" s="36">
        <v>2</v>
      </c>
      <c r="BA31" s="36">
        <v>9</v>
      </c>
      <c r="BB31" s="36">
        <v>15</v>
      </c>
      <c r="BC31" s="18">
        <f t="shared" si="4"/>
        <v>99</v>
      </c>
      <c r="BD31" s="36">
        <v>20</v>
      </c>
      <c r="BE31" s="36">
        <v>16</v>
      </c>
      <c r="BF31" s="36">
        <v>4</v>
      </c>
      <c r="BG31" s="36">
        <v>4</v>
      </c>
      <c r="BH31" s="36">
        <v>15</v>
      </c>
      <c r="BI31" s="36">
        <v>5</v>
      </c>
      <c r="BJ31" s="36">
        <v>8</v>
      </c>
      <c r="BK31" s="36">
        <v>12</v>
      </c>
      <c r="BL31" s="18">
        <f t="shared" si="5"/>
        <v>84</v>
      </c>
      <c r="BM31" s="36">
        <v>25</v>
      </c>
      <c r="BN31" s="36">
        <v>32</v>
      </c>
      <c r="BO31" s="36">
        <v>15</v>
      </c>
      <c r="BP31" s="36">
        <v>18</v>
      </c>
      <c r="BQ31" s="36">
        <v>18</v>
      </c>
      <c r="BR31" s="36">
        <v>0</v>
      </c>
      <c r="BS31" s="36">
        <v>12</v>
      </c>
      <c r="BT31" s="36">
        <v>12</v>
      </c>
      <c r="BU31" s="18">
        <f t="shared" si="6"/>
        <v>132</v>
      </c>
      <c r="BV31" s="36">
        <v>33</v>
      </c>
      <c r="BW31" s="36">
        <v>31</v>
      </c>
      <c r="BX31" s="36">
        <v>4</v>
      </c>
      <c r="BY31" s="36">
        <v>2</v>
      </c>
      <c r="BZ31" s="36">
        <v>20</v>
      </c>
      <c r="CA31" s="36">
        <v>1</v>
      </c>
      <c r="CB31" s="36">
        <v>15</v>
      </c>
      <c r="CC31" s="36">
        <v>12</v>
      </c>
      <c r="CD31" s="18">
        <f t="shared" si="7"/>
        <v>118</v>
      </c>
      <c r="CE31" s="37">
        <v>8</v>
      </c>
      <c r="CF31" s="37">
        <v>5</v>
      </c>
      <c r="CG31" s="37">
        <v>1</v>
      </c>
      <c r="CH31" s="37">
        <v>1</v>
      </c>
      <c r="CI31" s="37">
        <v>18</v>
      </c>
      <c r="CJ31" s="37">
        <v>2</v>
      </c>
      <c r="CK31" s="37">
        <v>6</v>
      </c>
      <c r="CL31" s="37">
        <v>2</v>
      </c>
      <c r="CM31" s="25">
        <f t="shared" si="8"/>
        <v>43</v>
      </c>
      <c r="CN31" s="37">
        <v>16</v>
      </c>
      <c r="CO31" s="37">
        <v>17</v>
      </c>
      <c r="CP31" s="37">
        <v>5</v>
      </c>
      <c r="CQ31" s="37">
        <v>4</v>
      </c>
      <c r="CR31" s="37">
        <v>18</v>
      </c>
      <c r="CS31" s="37">
        <v>0</v>
      </c>
      <c r="CT31" s="37">
        <v>9</v>
      </c>
      <c r="CU31" s="37">
        <v>12</v>
      </c>
      <c r="CV31" s="25">
        <f t="shared" si="9"/>
        <v>81</v>
      </c>
      <c r="CW31" s="37">
        <f>20+8</f>
        <v>28</v>
      </c>
      <c r="CX31" s="37">
        <f>28+6</f>
        <v>34</v>
      </c>
      <c r="CY31" s="37">
        <f>6+1</f>
        <v>7</v>
      </c>
      <c r="CZ31" s="37">
        <v>5</v>
      </c>
      <c r="DA31" s="37">
        <v>20</v>
      </c>
      <c r="DB31" s="37">
        <v>6</v>
      </c>
      <c r="DC31" s="37">
        <v>20</v>
      </c>
      <c r="DD31" s="37">
        <v>16</v>
      </c>
      <c r="DE31" s="25">
        <f t="shared" si="10"/>
        <v>136</v>
      </c>
      <c r="DF31" s="37">
        <v>35</v>
      </c>
      <c r="DG31" s="37">
        <v>38</v>
      </c>
      <c r="DH31" s="37">
        <v>6</v>
      </c>
      <c r="DI31" s="37">
        <v>7</v>
      </c>
      <c r="DJ31" s="37">
        <v>30</v>
      </c>
      <c r="DK31" s="37">
        <v>2</v>
      </c>
      <c r="DL31" s="37">
        <v>24</v>
      </c>
      <c r="DM31" s="37">
        <v>21</v>
      </c>
      <c r="DN31" s="20">
        <f t="shared" si="12"/>
        <v>163</v>
      </c>
      <c r="DO31" s="27">
        <f t="shared" si="13"/>
        <v>1039</v>
      </c>
      <c r="DP31" s="33"/>
      <c r="DQ31" s="22"/>
    </row>
    <row r="32" spans="2:121" ht="172.5" hidden="1" customHeight="1">
      <c r="B32" s="734" t="s">
        <v>67</v>
      </c>
      <c r="C32" s="734" t="s">
        <v>68</v>
      </c>
      <c r="D32" s="736" t="s">
        <v>69</v>
      </c>
      <c r="E32" s="750"/>
      <c r="F32" s="754" t="s">
        <v>103</v>
      </c>
      <c r="G32" s="734">
        <v>71</v>
      </c>
      <c r="H32" s="734" t="s">
        <v>111</v>
      </c>
      <c r="I32" s="736">
        <v>71</v>
      </c>
      <c r="J32" s="38" t="s">
        <v>65</v>
      </c>
      <c r="K32" s="16">
        <v>0</v>
      </c>
      <c r="L32" s="17">
        <v>0</v>
      </c>
      <c r="M32" s="17">
        <v>0</v>
      </c>
      <c r="N32" s="17">
        <v>0</v>
      </c>
      <c r="O32" s="16">
        <v>0</v>
      </c>
      <c r="P32" s="17">
        <v>0</v>
      </c>
      <c r="Q32" s="17">
        <v>2</v>
      </c>
      <c r="R32" s="17">
        <v>2</v>
      </c>
      <c r="S32" s="24">
        <f t="shared" si="0"/>
        <v>4</v>
      </c>
      <c r="T32" s="16">
        <v>0</v>
      </c>
      <c r="U32" s="17">
        <v>0</v>
      </c>
      <c r="V32" s="17">
        <v>0</v>
      </c>
      <c r="W32" s="17">
        <v>0</v>
      </c>
      <c r="X32" s="16">
        <v>0</v>
      </c>
      <c r="Y32" s="17">
        <v>0</v>
      </c>
      <c r="Z32" s="17">
        <v>2</v>
      </c>
      <c r="AA32" s="17">
        <v>3</v>
      </c>
      <c r="AB32" s="24">
        <f t="shared" si="1"/>
        <v>5</v>
      </c>
      <c r="AC32" s="16">
        <v>0</v>
      </c>
      <c r="AD32" s="17">
        <v>0</v>
      </c>
      <c r="AE32" s="17">
        <v>0</v>
      </c>
      <c r="AF32" s="17">
        <v>0</v>
      </c>
      <c r="AG32" s="16">
        <v>0</v>
      </c>
      <c r="AH32" s="17">
        <v>0</v>
      </c>
      <c r="AI32" s="17">
        <v>5</v>
      </c>
      <c r="AJ32" s="17">
        <v>3</v>
      </c>
      <c r="AK32" s="24">
        <f t="shared" si="2"/>
        <v>8</v>
      </c>
      <c r="AL32" s="30">
        <v>0</v>
      </c>
      <c r="AM32" s="31">
        <v>0</v>
      </c>
      <c r="AN32" s="31">
        <v>0</v>
      </c>
      <c r="AO32" s="31">
        <v>0</v>
      </c>
      <c r="AP32" s="30">
        <v>0</v>
      </c>
      <c r="AQ32" s="31">
        <v>0</v>
      </c>
      <c r="AR32" s="31">
        <v>2</v>
      </c>
      <c r="AS32" s="31">
        <v>2</v>
      </c>
      <c r="AT32" s="19">
        <f t="shared" si="3"/>
        <v>4</v>
      </c>
      <c r="AU32" s="16">
        <v>0</v>
      </c>
      <c r="AV32" s="17">
        <v>0</v>
      </c>
      <c r="AW32" s="17">
        <v>0</v>
      </c>
      <c r="AX32" s="17">
        <v>0</v>
      </c>
      <c r="AY32" s="16">
        <v>0</v>
      </c>
      <c r="AZ32" s="17">
        <v>0</v>
      </c>
      <c r="BA32" s="17">
        <v>6</v>
      </c>
      <c r="BB32" s="17">
        <v>4</v>
      </c>
      <c r="BC32" s="18">
        <f t="shared" si="4"/>
        <v>10</v>
      </c>
      <c r="BD32" s="16">
        <v>0</v>
      </c>
      <c r="BE32" s="17">
        <v>0</v>
      </c>
      <c r="BF32" s="17">
        <v>0</v>
      </c>
      <c r="BG32" s="17">
        <v>0</v>
      </c>
      <c r="BH32" s="16">
        <v>0</v>
      </c>
      <c r="BI32" s="17">
        <v>0</v>
      </c>
      <c r="BJ32" s="17">
        <v>5</v>
      </c>
      <c r="BK32" s="17">
        <v>2</v>
      </c>
      <c r="BL32" s="18">
        <f t="shared" si="5"/>
        <v>7</v>
      </c>
      <c r="BM32" s="16">
        <v>0</v>
      </c>
      <c r="BN32" s="17">
        <v>0</v>
      </c>
      <c r="BO32" s="17">
        <v>0</v>
      </c>
      <c r="BP32" s="17">
        <v>0</v>
      </c>
      <c r="BQ32" s="16">
        <v>0</v>
      </c>
      <c r="BR32" s="17">
        <v>0</v>
      </c>
      <c r="BS32" s="17">
        <v>3</v>
      </c>
      <c r="BT32" s="17">
        <v>1</v>
      </c>
      <c r="BU32" s="18">
        <f t="shared" si="6"/>
        <v>4</v>
      </c>
      <c r="BV32" s="16">
        <v>0</v>
      </c>
      <c r="BW32" s="17">
        <v>0</v>
      </c>
      <c r="BX32" s="17">
        <v>0</v>
      </c>
      <c r="BY32" s="17">
        <v>0</v>
      </c>
      <c r="BZ32" s="16">
        <v>0</v>
      </c>
      <c r="CA32" s="17">
        <v>0</v>
      </c>
      <c r="CB32" s="17">
        <v>2</v>
      </c>
      <c r="CC32" s="17">
        <v>1</v>
      </c>
      <c r="CD32" s="18">
        <f t="shared" si="7"/>
        <v>3</v>
      </c>
      <c r="CE32" s="32">
        <v>0</v>
      </c>
      <c r="CF32" s="25">
        <v>0</v>
      </c>
      <c r="CG32" s="25">
        <v>0</v>
      </c>
      <c r="CH32" s="25">
        <v>0</v>
      </c>
      <c r="CI32" s="32">
        <v>0</v>
      </c>
      <c r="CJ32" s="25">
        <v>0</v>
      </c>
      <c r="CK32" s="25">
        <v>4</v>
      </c>
      <c r="CL32" s="25">
        <v>3</v>
      </c>
      <c r="CM32" s="25">
        <f t="shared" si="8"/>
        <v>7</v>
      </c>
      <c r="CN32" s="32">
        <v>0</v>
      </c>
      <c r="CO32" s="25">
        <v>0</v>
      </c>
      <c r="CP32" s="25">
        <v>0</v>
      </c>
      <c r="CQ32" s="25">
        <v>0</v>
      </c>
      <c r="CR32" s="32">
        <v>0</v>
      </c>
      <c r="CS32" s="25">
        <v>0</v>
      </c>
      <c r="CT32" s="25">
        <v>4</v>
      </c>
      <c r="CU32" s="25">
        <v>3</v>
      </c>
      <c r="CV32" s="25">
        <f t="shared" si="9"/>
        <v>7</v>
      </c>
      <c r="CW32" s="32">
        <v>0</v>
      </c>
      <c r="CX32" s="25">
        <v>0</v>
      </c>
      <c r="CY32" s="25">
        <v>0</v>
      </c>
      <c r="CZ32" s="25">
        <v>0</v>
      </c>
      <c r="DA32" s="32">
        <v>0</v>
      </c>
      <c r="DB32" s="25">
        <v>0</v>
      </c>
      <c r="DC32" s="25">
        <v>5</v>
      </c>
      <c r="DD32" s="25">
        <v>4</v>
      </c>
      <c r="DE32" s="25">
        <f t="shared" si="10"/>
        <v>9</v>
      </c>
      <c r="DF32" s="32">
        <v>0</v>
      </c>
      <c r="DG32" s="25">
        <v>0</v>
      </c>
      <c r="DH32" s="25">
        <v>0</v>
      </c>
      <c r="DI32" s="25">
        <v>0</v>
      </c>
      <c r="DJ32" s="32">
        <v>0</v>
      </c>
      <c r="DK32" s="25">
        <v>0</v>
      </c>
      <c r="DL32" s="25">
        <v>2</v>
      </c>
      <c r="DM32" s="25">
        <v>1</v>
      </c>
      <c r="DN32" s="20">
        <f t="shared" si="12"/>
        <v>3</v>
      </c>
      <c r="DO32" s="27">
        <f t="shared" si="13"/>
        <v>71</v>
      </c>
      <c r="DP32" s="33"/>
      <c r="DQ32" s="22"/>
    </row>
    <row r="33" spans="2:121" ht="195" customHeight="1">
      <c r="B33" s="735"/>
      <c r="C33" s="735"/>
      <c r="D33" s="738"/>
      <c r="E33" s="751"/>
      <c r="F33" s="749"/>
      <c r="G33" s="735"/>
      <c r="H33" s="735"/>
      <c r="I33" s="708"/>
      <c r="J33" s="23" t="s">
        <v>66</v>
      </c>
      <c r="K33" s="16">
        <v>0</v>
      </c>
      <c r="L33" s="17">
        <v>0</v>
      </c>
      <c r="M33" s="17">
        <v>0</v>
      </c>
      <c r="N33" s="17">
        <v>0</v>
      </c>
      <c r="O33" s="16">
        <v>0</v>
      </c>
      <c r="P33" s="17">
        <v>0</v>
      </c>
      <c r="Q33" s="17">
        <v>6</v>
      </c>
      <c r="R33" s="17">
        <v>9</v>
      </c>
      <c r="S33" s="24">
        <f t="shared" si="0"/>
        <v>15</v>
      </c>
      <c r="T33" s="16">
        <v>0</v>
      </c>
      <c r="U33" s="17">
        <v>0</v>
      </c>
      <c r="V33" s="17">
        <v>0</v>
      </c>
      <c r="W33" s="17">
        <v>0</v>
      </c>
      <c r="X33" s="16">
        <v>0</v>
      </c>
      <c r="Y33" s="17">
        <v>0</v>
      </c>
      <c r="Z33" s="17">
        <v>5</v>
      </c>
      <c r="AA33" s="17">
        <v>6</v>
      </c>
      <c r="AB33" s="24">
        <f t="shared" si="1"/>
        <v>11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4">
        <f t="shared" si="2"/>
        <v>0</v>
      </c>
      <c r="AL33" s="35">
        <v>0</v>
      </c>
      <c r="AM33" s="35">
        <v>0</v>
      </c>
      <c r="AN33" s="35">
        <v>0</v>
      </c>
      <c r="AO33" s="35">
        <v>0</v>
      </c>
      <c r="AP33" s="35">
        <v>0</v>
      </c>
      <c r="AQ33" s="35">
        <v>0</v>
      </c>
      <c r="AR33" s="35">
        <v>3</v>
      </c>
      <c r="AS33" s="35">
        <v>1</v>
      </c>
      <c r="AT33" s="19">
        <f t="shared" si="3"/>
        <v>4</v>
      </c>
      <c r="AU33" s="36">
        <v>0</v>
      </c>
      <c r="AV33" s="36">
        <v>0</v>
      </c>
      <c r="AW33" s="36">
        <v>0</v>
      </c>
      <c r="AX33" s="36">
        <v>0</v>
      </c>
      <c r="AY33" s="36">
        <v>0</v>
      </c>
      <c r="AZ33" s="36">
        <v>0</v>
      </c>
      <c r="BA33" s="36">
        <v>10</v>
      </c>
      <c r="BB33" s="36">
        <v>5</v>
      </c>
      <c r="BC33" s="18">
        <f t="shared" si="4"/>
        <v>15</v>
      </c>
      <c r="BD33" s="36">
        <v>0</v>
      </c>
      <c r="BE33" s="36">
        <v>0</v>
      </c>
      <c r="BF33" s="36">
        <v>0</v>
      </c>
      <c r="BG33" s="36">
        <v>0</v>
      </c>
      <c r="BH33" s="36">
        <v>0</v>
      </c>
      <c r="BI33" s="36">
        <v>0</v>
      </c>
      <c r="BJ33" s="36">
        <v>5</v>
      </c>
      <c r="BK33" s="36">
        <v>3</v>
      </c>
      <c r="BL33" s="18">
        <f t="shared" si="5"/>
        <v>8</v>
      </c>
      <c r="BM33" s="36">
        <v>0</v>
      </c>
      <c r="BN33" s="36">
        <v>0</v>
      </c>
      <c r="BO33" s="36">
        <v>0</v>
      </c>
      <c r="BP33" s="36">
        <v>0</v>
      </c>
      <c r="BQ33" s="36">
        <v>0</v>
      </c>
      <c r="BR33" s="36">
        <v>0</v>
      </c>
      <c r="BS33" s="36">
        <v>6</v>
      </c>
      <c r="BT33" s="36">
        <v>4</v>
      </c>
      <c r="BU33" s="18">
        <f t="shared" si="6"/>
        <v>10</v>
      </c>
      <c r="BV33" s="36">
        <v>0</v>
      </c>
      <c r="BW33" s="36">
        <v>0</v>
      </c>
      <c r="BX33" s="36">
        <v>0</v>
      </c>
      <c r="BY33" s="36">
        <v>0</v>
      </c>
      <c r="BZ33" s="36">
        <v>0</v>
      </c>
      <c r="CA33" s="36">
        <v>0</v>
      </c>
      <c r="CB33" s="36">
        <v>8</v>
      </c>
      <c r="CC33" s="36">
        <v>7</v>
      </c>
      <c r="CD33" s="18">
        <f t="shared" si="7"/>
        <v>15</v>
      </c>
      <c r="CE33" s="37">
        <v>0</v>
      </c>
      <c r="CF33" s="37">
        <v>0</v>
      </c>
      <c r="CG33" s="37">
        <v>0</v>
      </c>
      <c r="CH33" s="37">
        <v>0</v>
      </c>
      <c r="CI33" s="37">
        <v>0</v>
      </c>
      <c r="CJ33" s="37">
        <v>0</v>
      </c>
      <c r="CK33" s="37">
        <v>6</v>
      </c>
      <c r="CL33" s="37">
        <v>2</v>
      </c>
      <c r="CM33" s="25">
        <f t="shared" si="8"/>
        <v>8</v>
      </c>
      <c r="CN33" s="37">
        <v>0</v>
      </c>
      <c r="CO33" s="37">
        <v>0</v>
      </c>
      <c r="CP33" s="37">
        <v>0</v>
      </c>
      <c r="CQ33" s="37">
        <v>0</v>
      </c>
      <c r="CR33" s="37">
        <v>0</v>
      </c>
      <c r="CS33" s="37">
        <v>0</v>
      </c>
      <c r="CT33" s="37">
        <v>2</v>
      </c>
      <c r="CU33" s="37">
        <v>1</v>
      </c>
      <c r="CV33" s="25">
        <f t="shared" si="9"/>
        <v>3</v>
      </c>
      <c r="CW33" s="37">
        <v>0</v>
      </c>
      <c r="CX33" s="37">
        <v>0</v>
      </c>
      <c r="CY33" s="37">
        <v>0</v>
      </c>
      <c r="CZ33" s="37">
        <v>0</v>
      </c>
      <c r="DA33" s="37">
        <v>0</v>
      </c>
      <c r="DB33" s="37">
        <v>0</v>
      </c>
      <c r="DC33" s="37">
        <v>15</v>
      </c>
      <c r="DD33" s="37">
        <v>8</v>
      </c>
      <c r="DE33" s="25">
        <f t="shared" si="10"/>
        <v>23</v>
      </c>
      <c r="DF33" s="37">
        <v>0</v>
      </c>
      <c r="DG33" s="37">
        <v>0</v>
      </c>
      <c r="DH33" s="37">
        <v>0</v>
      </c>
      <c r="DI33" s="37">
        <v>0</v>
      </c>
      <c r="DJ33" s="37">
        <v>0</v>
      </c>
      <c r="DK33" s="37">
        <v>0</v>
      </c>
      <c r="DL33" s="37">
        <v>12</v>
      </c>
      <c r="DM33" s="37">
        <v>8</v>
      </c>
      <c r="DN33" s="20">
        <f t="shared" si="12"/>
        <v>20</v>
      </c>
      <c r="DO33" s="27">
        <f t="shared" si="13"/>
        <v>132</v>
      </c>
      <c r="DP33" s="33"/>
      <c r="DQ33" s="22"/>
    </row>
    <row r="34" spans="2:121" ht="219.75" hidden="1" customHeight="1">
      <c r="B34" s="758" t="s">
        <v>112</v>
      </c>
      <c r="C34" s="734" t="s">
        <v>113</v>
      </c>
      <c r="D34" s="736" t="s">
        <v>113</v>
      </c>
      <c r="E34" s="750"/>
      <c r="F34" s="734" t="s">
        <v>113</v>
      </c>
      <c r="G34" s="734" t="s">
        <v>0</v>
      </c>
      <c r="H34" s="734" t="s">
        <v>113</v>
      </c>
      <c r="I34" s="736">
        <v>1</v>
      </c>
      <c r="J34" s="40" t="s">
        <v>65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34">
        <f t="shared" si="0"/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34">
        <f t="shared" si="1"/>
        <v>0</v>
      </c>
      <c r="AC34" s="41">
        <v>0</v>
      </c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34">
        <f t="shared" si="2"/>
        <v>0</v>
      </c>
      <c r="AL34" s="42">
        <v>0</v>
      </c>
      <c r="AM34" s="42">
        <v>0</v>
      </c>
      <c r="AN34" s="42">
        <v>0</v>
      </c>
      <c r="AO34" s="42">
        <v>0</v>
      </c>
      <c r="AP34" s="42">
        <v>0</v>
      </c>
      <c r="AQ34" s="42">
        <v>0</v>
      </c>
      <c r="AR34" s="42">
        <v>0</v>
      </c>
      <c r="AS34" s="42">
        <v>0</v>
      </c>
      <c r="AT34" s="35">
        <f t="shared" si="3"/>
        <v>0</v>
      </c>
      <c r="AU34" s="41">
        <v>0</v>
      </c>
      <c r="AV34" s="41">
        <v>0</v>
      </c>
      <c r="AW34" s="41">
        <v>0</v>
      </c>
      <c r="AX34" s="41">
        <v>0</v>
      </c>
      <c r="AY34" s="41">
        <v>0</v>
      </c>
      <c r="AZ34" s="41">
        <v>0</v>
      </c>
      <c r="BA34" s="41">
        <v>0</v>
      </c>
      <c r="BB34" s="41">
        <v>0</v>
      </c>
      <c r="BC34" s="20">
        <f t="shared" si="4"/>
        <v>0</v>
      </c>
      <c r="BD34" s="41">
        <v>0</v>
      </c>
      <c r="BE34" s="41">
        <v>0</v>
      </c>
      <c r="BF34" s="41">
        <v>0</v>
      </c>
      <c r="BG34" s="41">
        <v>0</v>
      </c>
      <c r="BH34" s="41">
        <v>0</v>
      </c>
      <c r="BI34" s="41">
        <v>0</v>
      </c>
      <c r="BJ34" s="41">
        <v>0</v>
      </c>
      <c r="BK34" s="41">
        <v>0</v>
      </c>
      <c r="BL34" s="20">
        <f t="shared" si="5"/>
        <v>0</v>
      </c>
      <c r="BM34" s="41">
        <v>0</v>
      </c>
      <c r="BN34" s="41">
        <v>0</v>
      </c>
      <c r="BO34" s="41">
        <v>0</v>
      </c>
      <c r="BP34" s="41">
        <v>0</v>
      </c>
      <c r="BQ34" s="41">
        <v>0</v>
      </c>
      <c r="BR34" s="41">
        <v>0</v>
      </c>
      <c r="BS34" s="41">
        <v>0</v>
      </c>
      <c r="BT34" s="41">
        <v>0</v>
      </c>
      <c r="BU34" s="20">
        <f t="shared" si="6"/>
        <v>0</v>
      </c>
      <c r="BV34" s="41">
        <v>0</v>
      </c>
      <c r="BW34" s="41">
        <v>0</v>
      </c>
      <c r="BX34" s="41">
        <v>0</v>
      </c>
      <c r="BY34" s="41">
        <v>0</v>
      </c>
      <c r="BZ34" s="41">
        <v>0</v>
      </c>
      <c r="CA34" s="41">
        <v>0</v>
      </c>
      <c r="CB34" s="41">
        <v>0</v>
      </c>
      <c r="CC34" s="41">
        <v>0</v>
      </c>
      <c r="CD34" s="20">
        <f t="shared" si="7"/>
        <v>0</v>
      </c>
      <c r="CE34" s="26">
        <v>0</v>
      </c>
      <c r="CF34" s="26">
        <v>0</v>
      </c>
      <c r="CG34" s="26">
        <v>0</v>
      </c>
      <c r="CH34" s="26">
        <v>0</v>
      </c>
      <c r="CI34" s="26">
        <v>0</v>
      </c>
      <c r="CJ34" s="26">
        <v>0</v>
      </c>
      <c r="CK34" s="26">
        <v>0</v>
      </c>
      <c r="CL34" s="26">
        <v>0</v>
      </c>
      <c r="CM34" s="26">
        <f t="shared" si="8"/>
        <v>0</v>
      </c>
      <c r="CN34" s="26">
        <v>0</v>
      </c>
      <c r="CO34" s="26">
        <v>0</v>
      </c>
      <c r="CP34" s="26">
        <v>0</v>
      </c>
      <c r="CQ34" s="26">
        <v>0</v>
      </c>
      <c r="CR34" s="26">
        <v>0</v>
      </c>
      <c r="CS34" s="26">
        <v>0</v>
      </c>
      <c r="CT34" s="26">
        <v>0</v>
      </c>
      <c r="CU34" s="26">
        <v>0</v>
      </c>
      <c r="CV34" s="26">
        <f t="shared" si="9"/>
        <v>0</v>
      </c>
      <c r="CW34" s="26">
        <v>0</v>
      </c>
      <c r="CX34" s="26">
        <v>0</v>
      </c>
      <c r="CY34" s="26">
        <v>0</v>
      </c>
      <c r="CZ34" s="26">
        <v>0</v>
      </c>
      <c r="DA34" s="26">
        <v>0</v>
      </c>
      <c r="DB34" s="26">
        <v>0</v>
      </c>
      <c r="DC34" s="26">
        <v>0</v>
      </c>
      <c r="DD34" s="26">
        <v>0</v>
      </c>
      <c r="DE34" s="26">
        <f t="shared" si="10"/>
        <v>0</v>
      </c>
      <c r="DF34" s="26">
        <v>0</v>
      </c>
      <c r="DG34" s="26">
        <v>0</v>
      </c>
      <c r="DH34" s="26">
        <v>0</v>
      </c>
      <c r="DI34" s="26">
        <v>0</v>
      </c>
      <c r="DJ34" s="26">
        <v>0</v>
      </c>
      <c r="DK34" s="26">
        <v>0</v>
      </c>
      <c r="DL34" s="26">
        <v>0</v>
      </c>
      <c r="DM34" s="26">
        <v>1</v>
      </c>
      <c r="DN34" s="20">
        <f t="shared" si="12"/>
        <v>1</v>
      </c>
      <c r="DO34" s="27">
        <f t="shared" si="13"/>
        <v>1</v>
      </c>
      <c r="DP34" s="33"/>
      <c r="DQ34" s="22"/>
    </row>
    <row r="35" spans="2:121" ht="225" customHeight="1">
      <c r="B35" s="759"/>
      <c r="C35" s="735"/>
      <c r="D35" s="738"/>
      <c r="E35" s="751"/>
      <c r="F35" s="735"/>
      <c r="G35" s="735"/>
      <c r="H35" s="735"/>
      <c r="I35" s="708"/>
      <c r="J35" s="43" t="s">
        <v>66</v>
      </c>
      <c r="K35" s="17">
        <v>0</v>
      </c>
      <c r="L35" s="17">
        <v>0</v>
      </c>
      <c r="M35" s="17">
        <v>0</v>
      </c>
      <c r="N35" s="17">
        <v>0</v>
      </c>
      <c r="O35" s="17">
        <f>192-25</f>
        <v>167</v>
      </c>
      <c r="P35" s="17">
        <v>54</v>
      </c>
      <c r="Q35" s="17">
        <v>0</v>
      </c>
      <c r="R35" s="17">
        <v>0</v>
      </c>
      <c r="S35" s="24">
        <f t="shared" si="0"/>
        <v>221</v>
      </c>
      <c r="T35" s="17">
        <v>0</v>
      </c>
      <c r="U35" s="17">
        <v>0</v>
      </c>
      <c r="V35" s="17">
        <v>0</v>
      </c>
      <c r="W35" s="17">
        <v>0</v>
      </c>
      <c r="X35" s="17">
        <v>179</v>
      </c>
      <c r="Y35" s="17">
        <v>60</v>
      </c>
      <c r="Z35" s="17">
        <v>0</v>
      </c>
      <c r="AA35" s="17">
        <v>0</v>
      </c>
      <c r="AB35" s="24">
        <f t="shared" si="1"/>
        <v>239</v>
      </c>
      <c r="AC35" s="18">
        <v>0</v>
      </c>
      <c r="AD35" s="18">
        <v>0</v>
      </c>
      <c r="AE35" s="18">
        <v>0</v>
      </c>
      <c r="AF35" s="18">
        <v>0</v>
      </c>
      <c r="AG35" s="18">
        <v>110</v>
      </c>
      <c r="AH35" s="18">
        <v>50</v>
      </c>
      <c r="AI35" s="18">
        <v>5</v>
      </c>
      <c r="AJ35" s="18">
        <v>4</v>
      </c>
      <c r="AK35" s="24">
        <f t="shared" si="2"/>
        <v>169</v>
      </c>
      <c r="AL35" s="19">
        <v>10</v>
      </c>
      <c r="AM35" s="19">
        <v>8</v>
      </c>
      <c r="AN35" s="19">
        <v>3</v>
      </c>
      <c r="AO35" s="19">
        <v>3</v>
      </c>
      <c r="AP35" s="19">
        <v>30</v>
      </c>
      <c r="AQ35" s="19">
        <v>25</v>
      </c>
      <c r="AR35" s="19">
        <v>12</v>
      </c>
      <c r="AS35" s="19">
        <v>8</v>
      </c>
      <c r="AT35" s="19">
        <f t="shared" si="3"/>
        <v>99</v>
      </c>
      <c r="AU35" s="44">
        <v>0</v>
      </c>
      <c r="AV35" s="44">
        <v>0</v>
      </c>
      <c r="AW35" s="44">
        <v>0</v>
      </c>
      <c r="AX35" s="44">
        <v>0</v>
      </c>
      <c r="AY35" s="44">
        <v>50</v>
      </c>
      <c r="AZ35" s="44">
        <v>23</v>
      </c>
      <c r="BA35" s="44">
        <v>10</v>
      </c>
      <c r="BB35" s="44">
        <v>5</v>
      </c>
      <c r="BC35" s="18">
        <f t="shared" si="4"/>
        <v>88</v>
      </c>
      <c r="BD35" s="44">
        <v>35</v>
      </c>
      <c r="BE35" s="44">
        <v>20</v>
      </c>
      <c r="BF35" s="44">
        <v>5</v>
      </c>
      <c r="BG35" s="44">
        <v>5</v>
      </c>
      <c r="BH35" s="44">
        <v>24</v>
      </c>
      <c r="BI35" s="44">
        <v>12</v>
      </c>
      <c r="BJ35" s="44">
        <v>10</v>
      </c>
      <c r="BK35" s="44">
        <v>4</v>
      </c>
      <c r="BL35" s="18">
        <f t="shared" si="5"/>
        <v>115</v>
      </c>
      <c r="BM35" s="44">
        <v>0</v>
      </c>
      <c r="BN35" s="44">
        <v>0</v>
      </c>
      <c r="BO35" s="44">
        <v>0</v>
      </c>
      <c r="BP35" s="44">
        <v>0</v>
      </c>
      <c r="BQ35" s="44">
        <v>50</v>
      </c>
      <c r="BR35" s="44">
        <v>35</v>
      </c>
      <c r="BS35" s="44">
        <v>0</v>
      </c>
      <c r="BT35" s="44">
        <v>0</v>
      </c>
      <c r="BU35" s="18">
        <f t="shared" si="6"/>
        <v>85</v>
      </c>
      <c r="BV35" s="44">
        <v>0</v>
      </c>
      <c r="BW35" s="44">
        <v>0</v>
      </c>
      <c r="BX35" s="44">
        <v>0</v>
      </c>
      <c r="BY35" s="44">
        <v>0</v>
      </c>
      <c r="BZ35" s="44">
        <f>86+12+14</f>
        <v>112</v>
      </c>
      <c r="CA35" s="44">
        <f>5+27+1</f>
        <v>33</v>
      </c>
      <c r="CB35" s="44">
        <v>20</v>
      </c>
      <c r="CC35" s="44">
        <v>12</v>
      </c>
      <c r="CD35" s="18">
        <f t="shared" si="7"/>
        <v>177</v>
      </c>
      <c r="CE35" s="45">
        <v>0</v>
      </c>
      <c r="CF35" s="45">
        <v>0</v>
      </c>
      <c r="CG35" s="45">
        <v>0</v>
      </c>
      <c r="CH35" s="45">
        <v>0</v>
      </c>
      <c r="CI35" s="45">
        <v>50</v>
      </c>
      <c r="CJ35" s="45">
        <v>22</v>
      </c>
      <c r="CK35" s="45">
        <v>0</v>
      </c>
      <c r="CL35" s="45">
        <v>15</v>
      </c>
      <c r="CM35" s="25">
        <f t="shared" si="8"/>
        <v>87</v>
      </c>
      <c r="CN35" s="45">
        <v>9</v>
      </c>
      <c r="CO35" s="45">
        <v>0</v>
      </c>
      <c r="CP35" s="45">
        <v>1</v>
      </c>
      <c r="CQ35" s="45">
        <v>0</v>
      </c>
      <c r="CR35" s="45">
        <f>87+23</f>
        <v>110</v>
      </c>
      <c r="CS35" s="45">
        <v>38</v>
      </c>
      <c r="CT35" s="45">
        <v>0</v>
      </c>
      <c r="CU35" s="45">
        <v>3</v>
      </c>
      <c r="CV35" s="25">
        <f t="shared" si="9"/>
        <v>161</v>
      </c>
      <c r="CW35" s="45">
        <v>25</v>
      </c>
      <c r="CX35" s="45">
        <v>36</v>
      </c>
      <c r="CY35" s="45">
        <v>0</v>
      </c>
      <c r="CZ35" s="45">
        <v>0</v>
      </c>
      <c r="DA35" s="45">
        <f>105+70+21</f>
        <v>196</v>
      </c>
      <c r="DB35" s="45">
        <f>28+34</f>
        <v>62</v>
      </c>
      <c r="DC35" s="45">
        <f>7+4</f>
        <v>11</v>
      </c>
      <c r="DD35" s="45">
        <v>2</v>
      </c>
      <c r="DE35" s="25">
        <f t="shared" si="10"/>
        <v>332</v>
      </c>
      <c r="DF35" s="45">
        <v>8</v>
      </c>
      <c r="DG35" s="45">
        <v>5</v>
      </c>
      <c r="DH35" s="45">
        <v>1</v>
      </c>
      <c r="DI35" s="45">
        <v>3</v>
      </c>
      <c r="DJ35" s="45">
        <v>145</v>
      </c>
      <c r="DK35" s="45">
        <v>62</v>
      </c>
      <c r="DL35" s="45">
        <v>15</v>
      </c>
      <c r="DM35" s="45">
        <v>22</v>
      </c>
      <c r="DN35" s="20">
        <f t="shared" si="12"/>
        <v>261</v>
      </c>
      <c r="DO35" s="27">
        <f t="shared" si="13"/>
        <v>2034</v>
      </c>
      <c r="DP35" s="46"/>
      <c r="DQ35" s="22"/>
    </row>
    <row r="36" spans="2:121" ht="227.25" hidden="1" customHeight="1">
      <c r="B36" s="758" t="s">
        <v>114</v>
      </c>
      <c r="C36" s="734" t="s">
        <v>10</v>
      </c>
      <c r="D36" s="736" t="s">
        <v>115</v>
      </c>
      <c r="E36" s="750"/>
      <c r="F36" s="734" t="s">
        <v>115</v>
      </c>
      <c r="G36" s="734" t="s">
        <v>0</v>
      </c>
      <c r="H36" s="734" t="s">
        <v>115</v>
      </c>
      <c r="I36" s="736">
        <v>48</v>
      </c>
      <c r="J36" s="40" t="s">
        <v>65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0</v>
      </c>
      <c r="S36" s="48">
        <f t="shared" si="0"/>
        <v>0</v>
      </c>
      <c r="T36" s="47">
        <v>0</v>
      </c>
      <c r="U36" s="47">
        <v>0</v>
      </c>
      <c r="V36" s="47">
        <v>0</v>
      </c>
      <c r="W36" s="47">
        <v>0</v>
      </c>
      <c r="X36" s="47">
        <v>0</v>
      </c>
      <c r="Y36" s="47">
        <v>0</v>
      </c>
      <c r="Z36" s="47">
        <v>0</v>
      </c>
      <c r="AA36" s="47">
        <v>0</v>
      </c>
      <c r="AB36" s="48">
        <f t="shared" si="1"/>
        <v>0</v>
      </c>
      <c r="AC36" s="47">
        <v>2</v>
      </c>
      <c r="AD36" s="47">
        <v>0</v>
      </c>
      <c r="AE36" s="47">
        <v>0</v>
      </c>
      <c r="AF36" s="47">
        <v>0</v>
      </c>
      <c r="AG36" s="47">
        <v>2</v>
      </c>
      <c r="AH36" s="47">
        <v>1</v>
      </c>
      <c r="AI36" s="47">
        <v>0</v>
      </c>
      <c r="AJ36" s="47">
        <v>0</v>
      </c>
      <c r="AK36" s="48">
        <f t="shared" si="2"/>
        <v>5</v>
      </c>
      <c r="AL36" s="49">
        <v>2</v>
      </c>
      <c r="AM36" s="49">
        <v>2</v>
      </c>
      <c r="AN36" s="49">
        <v>0</v>
      </c>
      <c r="AO36" s="49">
        <v>0</v>
      </c>
      <c r="AP36" s="49">
        <v>3</v>
      </c>
      <c r="AQ36" s="49">
        <v>0</v>
      </c>
      <c r="AR36" s="49">
        <v>0</v>
      </c>
      <c r="AS36" s="49">
        <v>0</v>
      </c>
      <c r="AT36" s="50">
        <f t="shared" si="3"/>
        <v>7</v>
      </c>
      <c r="AU36" s="47">
        <v>0</v>
      </c>
      <c r="AV36" s="47">
        <v>1</v>
      </c>
      <c r="AW36" s="47">
        <v>0</v>
      </c>
      <c r="AX36" s="47">
        <v>0</v>
      </c>
      <c r="AY36" s="47">
        <v>3</v>
      </c>
      <c r="AZ36" s="47">
        <v>0</v>
      </c>
      <c r="BA36" s="47">
        <v>0</v>
      </c>
      <c r="BB36" s="47">
        <v>0</v>
      </c>
      <c r="BC36" s="51">
        <f t="shared" si="4"/>
        <v>4</v>
      </c>
      <c r="BD36" s="47">
        <v>0</v>
      </c>
      <c r="BE36" s="47">
        <v>0</v>
      </c>
      <c r="BF36" s="47">
        <v>0</v>
      </c>
      <c r="BG36" s="47">
        <v>0</v>
      </c>
      <c r="BH36" s="47">
        <v>4</v>
      </c>
      <c r="BI36" s="47">
        <v>0</v>
      </c>
      <c r="BJ36" s="47">
        <v>0</v>
      </c>
      <c r="BK36" s="47">
        <v>0</v>
      </c>
      <c r="BL36" s="51">
        <f t="shared" si="5"/>
        <v>4</v>
      </c>
      <c r="BM36" s="47">
        <v>1</v>
      </c>
      <c r="BN36" s="47">
        <v>1</v>
      </c>
      <c r="BO36" s="47">
        <v>0</v>
      </c>
      <c r="BP36" s="47">
        <v>0</v>
      </c>
      <c r="BQ36" s="47">
        <v>3</v>
      </c>
      <c r="BR36" s="47">
        <v>0</v>
      </c>
      <c r="BS36" s="47">
        <v>0</v>
      </c>
      <c r="BT36" s="47">
        <v>0</v>
      </c>
      <c r="BU36" s="51">
        <f t="shared" si="6"/>
        <v>5</v>
      </c>
      <c r="BV36" s="47">
        <v>2</v>
      </c>
      <c r="BW36" s="47">
        <v>1</v>
      </c>
      <c r="BX36" s="47">
        <v>0</v>
      </c>
      <c r="BY36" s="47">
        <v>0</v>
      </c>
      <c r="BZ36" s="47">
        <v>2</v>
      </c>
      <c r="CA36" s="47">
        <v>0</v>
      </c>
      <c r="CB36" s="47">
        <v>0</v>
      </c>
      <c r="CC36" s="47">
        <v>0</v>
      </c>
      <c r="CD36" s="51">
        <f t="shared" si="7"/>
        <v>5</v>
      </c>
      <c r="CE36" s="52">
        <v>1</v>
      </c>
      <c r="CF36" s="52">
        <v>1</v>
      </c>
      <c r="CG36" s="52">
        <v>0</v>
      </c>
      <c r="CH36" s="52">
        <v>0</v>
      </c>
      <c r="CI36" s="52">
        <v>1</v>
      </c>
      <c r="CJ36" s="52">
        <v>0</v>
      </c>
      <c r="CK36" s="52">
        <v>1</v>
      </c>
      <c r="CL36" s="52">
        <v>0</v>
      </c>
      <c r="CM36" s="52">
        <f t="shared" si="8"/>
        <v>4</v>
      </c>
      <c r="CN36" s="52">
        <v>1</v>
      </c>
      <c r="CO36" s="52">
        <v>0</v>
      </c>
      <c r="CP36" s="52">
        <v>0</v>
      </c>
      <c r="CQ36" s="52">
        <v>0</v>
      </c>
      <c r="CR36" s="52">
        <v>2</v>
      </c>
      <c r="CS36" s="52">
        <v>0</v>
      </c>
      <c r="CT36" s="52">
        <v>0</v>
      </c>
      <c r="CU36" s="52">
        <v>0</v>
      </c>
      <c r="CV36" s="52">
        <f t="shared" si="9"/>
        <v>3</v>
      </c>
      <c r="CW36" s="52">
        <v>1</v>
      </c>
      <c r="CX36" s="52">
        <v>1</v>
      </c>
      <c r="CY36" s="52">
        <v>0</v>
      </c>
      <c r="CZ36" s="52">
        <v>0</v>
      </c>
      <c r="DA36" s="52">
        <v>3</v>
      </c>
      <c r="DB36" s="52">
        <v>0</v>
      </c>
      <c r="DC36" s="52">
        <v>0</v>
      </c>
      <c r="DD36" s="52">
        <v>1</v>
      </c>
      <c r="DE36" s="52">
        <f t="shared" si="10"/>
        <v>6</v>
      </c>
      <c r="DF36" s="52">
        <v>1</v>
      </c>
      <c r="DG36" s="52">
        <v>1</v>
      </c>
      <c r="DH36" s="52">
        <v>0</v>
      </c>
      <c r="DI36" s="52">
        <v>0</v>
      </c>
      <c r="DJ36" s="52">
        <v>2</v>
      </c>
      <c r="DK36" s="52">
        <v>0</v>
      </c>
      <c r="DL36" s="52">
        <v>0</v>
      </c>
      <c r="DM36" s="52">
        <v>1</v>
      </c>
      <c r="DN36" s="20">
        <f t="shared" si="12"/>
        <v>5</v>
      </c>
      <c r="DO36" s="27">
        <f t="shared" si="13"/>
        <v>48</v>
      </c>
      <c r="DP36" s="53"/>
      <c r="DQ36" s="22"/>
    </row>
    <row r="37" spans="2:121" ht="259.5" customHeight="1" thickBot="1">
      <c r="B37" s="759"/>
      <c r="C37" s="735"/>
      <c r="D37" s="738"/>
      <c r="E37" s="751"/>
      <c r="F37" s="735"/>
      <c r="G37" s="735"/>
      <c r="H37" s="735"/>
      <c r="I37" s="708"/>
      <c r="J37" s="54" t="s">
        <v>66</v>
      </c>
      <c r="K37" s="47">
        <v>8</v>
      </c>
      <c r="L37" s="47">
        <v>10</v>
      </c>
      <c r="M37" s="47">
        <v>1</v>
      </c>
      <c r="N37" s="47">
        <v>0</v>
      </c>
      <c r="O37" s="47">
        <v>10</v>
      </c>
      <c r="P37" s="47">
        <v>3</v>
      </c>
      <c r="Q37" s="47">
        <v>1</v>
      </c>
      <c r="R37" s="47">
        <v>0</v>
      </c>
      <c r="S37" s="48">
        <f t="shared" si="0"/>
        <v>33</v>
      </c>
      <c r="T37" s="47">
        <v>14</v>
      </c>
      <c r="U37" s="47">
        <v>12</v>
      </c>
      <c r="V37" s="47">
        <v>2</v>
      </c>
      <c r="W37" s="47">
        <v>2</v>
      </c>
      <c r="X37" s="47">
        <v>5</v>
      </c>
      <c r="Y37" s="47">
        <v>0</v>
      </c>
      <c r="Z37" s="47">
        <v>10</v>
      </c>
      <c r="AA37" s="47">
        <v>4</v>
      </c>
      <c r="AB37" s="48">
        <f t="shared" si="1"/>
        <v>49</v>
      </c>
      <c r="AC37" s="51">
        <v>3</v>
      </c>
      <c r="AD37" s="51">
        <v>5</v>
      </c>
      <c r="AE37" s="51">
        <v>1</v>
      </c>
      <c r="AF37" s="51">
        <v>0</v>
      </c>
      <c r="AG37" s="51">
        <v>11</v>
      </c>
      <c r="AH37" s="51">
        <v>9</v>
      </c>
      <c r="AI37" s="51">
        <v>1</v>
      </c>
      <c r="AJ37" s="51">
        <v>2</v>
      </c>
      <c r="AK37" s="48">
        <f t="shared" si="2"/>
        <v>32</v>
      </c>
      <c r="AL37" s="50">
        <v>5</v>
      </c>
      <c r="AM37" s="50">
        <v>4</v>
      </c>
      <c r="AN37" s="50">
        <v>1</v>
      </c>
      <c r="AO37" s="50">
        <v>1</v>
      </c>
      <c r="AP37" s="50">
        <v>8</v>
      </c>
      <c r="AQ37" s="50">
        <v>5</v>
      </c>
      <c r="AR37" s="50">
        <v>2</v>
      </c>
      <c r="AS37" s="50">
        <v>2</v>
      </c>
      <c r="AT37" s="50">
        <f t="shared" si="3"/>
        <v>28</v>
      </c>
      <c r="AU37" s="53">
        <v>25</v>
      </c>
      <c r="AV37" s="53">
        <v>18</v>
      </c>
      <c r="AW37" s="53">
        <v>0</v>
      </c>
      <c r="AX37" s="53">
        <v>2</v>
      </c>
      <c r="AY37" s="53">
        <v>8</v>
      </c>
      <c r="AZ37" s="53">
        <v>2</v>
      </c>
      <c r="BA37" s="53">
        <v>2</v>
      </c>
      <c r="BB37" s="53">
        <v>1</v>
      </c>
      <c r="BC37" s="51">
        <f t="shared" si="4"/>
        <v>58</v>
      </c>
      <c r="BD37" s="53">
        <v>16</v>
      </c>
      <c r="BE37" s="53">
        <v>16</v>
      </c>
      <c r="BF37" s="53">
        <v>6</v>
      </c>
      <c r="BG37" s="53">
        <v>4</v>
      </c>
      <c r="BH37" s="53">
        <v>14</v>
      </c>
      <c r="BI37" s="53">
        <v>4</v>
      </c>
      <c r="BJ37" s="53">
        <v>10</v>
      </c>
      <c r="BK37" s="53">
        <v>9</v>
      </c>
      <c r="BL37" s="51">
        <f t="shared" si="5"/>
        <v>79</v>
      </c>
      <c r="BM37" s="53">
        <v>25</v>
      </c>
      <c r="BN37" s="53">
        <v>31</v>
      </c>
      <c r="BO37" s="53">
        <v>5</v>
      </c>
      <c r="BP37" s="53">
        <v>2</v>
      </c>
      <c r="BQ37" s="53">
        <v>9</v>
      </c>
      <c r="BR37" s="53">
        <v>8</v>
      </c>
      <c r="BS37" s="53">
        <v>5</v>
      </c>
      <c r="BT37" s="53">
        <v>4</v>
      </c>
      <c r="BU37" s="51">
        <f t="shared" si="6"/>
        <v>89</v>
      </c>
      <c r="BV37" s="53">
        <v>21</v>
      </c>
      <c r="BW37" s="53">
        <v>14</v>
      </c>
      <c r="BX37" s="53">
        <v>0</v>
      </c>
      <c r="BY37" s="53">
        <v>4</v>
      </c>
      <c r="BZ37" s="53">
        <v>14</v>
      </c>
      <c r="CA37" s="53">
        <v>9</v>
      </c>
      <c r="CB37" s="53">
        <v>5</v>
      </c>
      <c r="CC37" s="53">
        <v>2</v>
      </c>
      <c r="CD37" s="51">
        <f t="shared" si="7"/>
        <v>69</v>
      </c>
      <c r="CE37" s="55">
        <v>8</v>
      </c>
      <c r="CF37" s="55">
        <v>5</v>
      </c>
      <c r="CG37" s="55">
        <v>3</v>
      </c>
      <c r="CH37" s="55">
        <v>3</v>
      </c>
      <c r="CI37" s="55">
        <v>20</v>
      </c>
      <c r="CJ37" s="55">
        <v>8</v>
      </c>
      <c r="CK37" s="55">
        <v>15</v>
      </c>
      <c r="CL37" s="55">
        <v>9</v>
      </c>
      <c r="CM37" s="52">
        <f t="shared" si="8"/>
        <v>71</v>
      </c>
      <c r="CN37" s="55">
        <v>9</v>
      </c>
      <c r="CO37" s="55">
        <v>14</v>
      </c>
      <c r="CP37" s="55">
        <v>1</v>
      </c>
      <c r="CQ37" s="55">
        <v>0</v>
      </c>
      <c r="CR37" s="55">
        <v>11</v>
      </c>
      <c r="CS37" s="55">
        <v>6</v>
      </c>
      <c r="CT37" s="55">
        <v>1</v>
      </c>
      <c r="CU37" s="55">
        <v>2</v>
      </c>
      <c r="CV37" s="52">
        <f t="shared" si="9"/>
        <v>44</v>
      </c>
      <c r="CW37" s="55">
        <v>18</v>
      </c>
      <c r="CX37" s="55">
        <v>30</v>
      </c>
      <c r="CY37" s="55">
        <v>1</v>
      </c>
      <c r="CZ37" s="55">
        <v>2</v>
      </c>
      <c r="DA37" s="55">
        <v>24</v>
      </c>
      <c r="DB37" s="55">
        <v>16</v>
      </c>
      <c r="DC37" s="55">
        <v>5</v>
      </c>
      <c r="DD37" s="55">
        <v>2</v>
      </c>
      <c r="DE37" s="52">
        <f t="shared" si="10"/>
        <v>98</v>
      </c>
      <c r="DF37" s="55">
        <v>8</v>
      </c>
      <c r="DG37" s="55">
        <v>14</v>
      </c>
      <c r="DH37" s="55">
        <v>6</v>
      </c>
      <c r="DI37" s="55">
        <v>6</v>
      </c>
      <c r="DJ37" s="55">
        <v>8</v>
      </c>
      <c r="DK37" s="56">
        <v>2</v>
      </c>
      <c r="DL37" s="56">
        <v>2</v>
      </c>
      <c r="DM37" s="56">
        <v>4</v>
      </c>
      <c r="DN37" s="20">
        <f t="shared" si="12"/>
        <v>50</v>
      </c>
      <c r="DO37" s="27">
        <f t="shared" si="13"/>
        <v>700</v>
      </c>
      <c r="DP37" s="53"/>
      <c r="DQ37" s="22"/>
    </row>
    <row r="38" spans="2:121" ht="99.75" customHeight="1">
      <c r="B38" s="755"/>
      <c r="C38" s="731"/>
      <c r="D38" s="756"/>
      <c r="E38" s="731"/>
      <c r="F38" s="59"/>
      <c r="G38" s="5"/>
      <c r="H38" s="5"/>
      <c r="I38" s="5"/>
      <c r="J38" s="57"/>
      <c r="K38" s="6"/>
      <c r="L38" s="6"/>
      <c r="M38" s="7"/>
      <c r="N38" s="7"/>
      <c r="O38" s="7"/>
      <c r="P38" s="7"/>
      <c r="Q38" s="7"/>
      <c r="R38" s="7"/>
      <c r="S38" s="7"/>
    </row>
    <row r="39" spans="2:121" ht="99.75" customHeight="1">
      <c r="B39" s="5"/>
      <c r="C39" s="5"/>
      <c r="D39" s="5"/>
      <c r="E39" s="5"/>
      <c r="F39" s="5"/>
      <c r="G39" s="5"/>
      <c r="H39" s="5"/>
      <c r="I39" s="5"/>
      <c r="J39" s="5"/>
      <c r="K39" s="6"/>
      <c r="L39" s="6"/>
      <c r="M39" s="7"/>
      <c r="N39" s="7"/>
      <c r="O39" s="7"/>
      <c r="P39" s="7"/>
      <c r="Q39" s="7"/>
      <c r="R39" s="7"/>
      <c r="S39" s="7"/>
    </row>
    <row r="40" spans="2:121" ht="99.75" customHeight="1">
      <c r="B40" s="5"/>
      <c r="C40" s="5"/>
      <c r="D40" s="5"/>
      <c r="E40" s="5"/>
      <c r="F40" s="5"/>
      <c r="G40" s="5"/>
      <c r="H40" s="5"/>
      <c r="I40" s="5"/>
      <c r="J40" s="5"/>
      <c r="K40" s="6"/>
      <c r="L40" s="6"/>
      <c r="M40" s="7"/>
      <c r="N40" s="7"/>
      <c r="O40" s="7"/>
      <c r="P40" s="7"/>
      <c r="Q40" s="7"/>
      <c r="R40" s="7"/>
      <c r="S40" s="7"/>
    </row>
    <row r="41" spans="2:121" ht="99.75" customHeight="1">
      <c r="B41" s="5"/>
      <c r="C41" s="5"/>
      <c r="D41" s="5"/>
      <c r="E41" s="5"/>
      <c r="F41" s="5"/>
      <c r="G41" s="5"/>
      <c r="H41" s="5"/>
      <c r="I41" s="5"/>
      <c r="J41" s="5"/>
      <c r="K41" s="6"/>
      <c r="L41" s="6"/>
      <c r="M41" s="7"/>
      <c r="N41" s="7"/>
      <c r="O41" s="7"/>
      <c r="P41" s="7"/>
      <c r="Q41" s="7"/>
      <c r="R41" s="7"/>
      <c r="S41" s="7"/>
    </row>
    <row r="42" spans="2:121" ht="99.75" customHeight="1">
      <c r="B42" s="757" t="s">
        <v>70</v>
      </c>
      <c r="C42" s="730"/>
      <c r="D42" s="5"/>
      <c r="E42" s="5"/>
      <c r="F42" s="5"/>
      <c r="G42" s="757" t="s">
        <v>71</v>
      </c>
      <c r="H42" s="730"/>
      <c r="I42" s="730"/>
      <c r="J42" s="730"/>
      <c r="K42" s="6"/>
      <c r="L42" s="6"/>
      <c r="M42" s="7"/>
      <c r="N42" s="7"/>
      <c r="O42" s="7"/>
      <c r="P42" s="7"/>
      <c r="Q42" s="7"/>
      <c r="R42" s="7"/>
      <c r="S42" s="7"/>
    </row>
    <row r="43" spans="2:121" ht="99.75" customHeight="1">
      <c r="B43" s="5"/>
      <c r="C43" s="5"/>
      <c r="D43" s="5"/>
      <c r="E43" s="5"/>
      <c r="F43" s="5"/>
      <c r="G43" s="5"/>
      <c r="H43" s="5"/>
      <c r="I43" s="5"/>
      <c r="J43" s="5"/>
      <c r="K43" s="6"/>
      <c r="L43" s="6"/>
      <c r="M43" s="7"/>
      <c r="N43" s="7"/>
      <c r="O43" s="7"/>
      <c r="P43" s="7"/>
      <c r="Q43" s="7"/>
      <c r="R43" s="7"/>
      <c r="S43" s="7"/>
    </row>
    <row r="44" spans="2:121" ht="99.75" customHeight="1"/>
    <row r="45" spans="2:121" ht="99.75" customHeight="1"/>
    <row r="46" spans="2:121" ht="99.75" customHeight="1"/>
    <row r="47" spans="2:121" ht="99.75" customHeight="1"/>
    <row r="48" spans="2:121" ht="99.75" customHeight="1"/>
    <row r="49" ht="99.75" customHeight="1"/>
    <row r="50" ht="99.75" customHeight="1"/>
    <row r="51" ht="99.75" customHeight="1"/>
    <row r="52" ht="99.75" customHeight="1"/>
    <row r="53" ht="99.75" customHeight="1"/>
    <row r="54" ht="99.75" customHeight="1"/>
    <row r="55" ht="99.75" customHeight="1"/>
    <row r="56" ht="99.75" customHeight="1"/>
    <row r="57" ht="99.75" customHeight="1"/>
    <row r="58" ht="99.75" customHeight="1"/>
    <row r="59" ht="99.75" customHeight="1"/>
    <row r="60" ht="99.75" customHeight="1"/>
    <row r="61" ht="99.75" customHeight="1"/>
    <row r="62" ht="99.75" customHeight="1"/>
    <row r="63" ht="99.75" customHeight="1"/>
    <row r="64" ht="99.75" customHeight="1"/>
    <row r="65" ht="99.75" customHeight="1"/>
    <row r="66" ht="99.75" customHeight="1"/>
    <row r="67" ht="99.75" customHeight="1"/>
    <row r="68" ht="99.75" customHeight="1"/>
    <row r="69" ht="99.75" customHeight="1"/>
    <row r="70" ht="99.75" customHeight="1"/>
    <row r="71" ht="99.75" customHeight="1"/>
    <row r="72" ht="99.75" customHeight="1"/>
    <row r="73" ht="99.75" customHeight="1"/>
    <row r="74" ht="99.75" customHeight="1"/>
    <row r="75" ht="99.75" customHeight="1"/>
    <row r="76" ht="99.75" customHeight="1"/>
    <row r="77" ht="99.75" customHeight="1"/>
    <row r="78" ht="99.75" customHeight="1"/>
    <row r="79" ht="99.75" customHeight="1"/>
    <row r="80" ht="99.75" customHeight="1"/>
    <row r="81" ht="99.75" customHeight="1"/>
    <row r="82" ht="99.75" customHeight="1"/>
    <row r="83" ht="99.75" customHeight="1"/>
    <row r="84" ht="99.75" customHeight="1"/>
    <row r="85" ht="99.75" customHeight="1"/>
    <row r="86" ht="99.75" customHeight="1"/>
    <row r="87" ht="99.75" customHeight="1"/>
    <row r="88" ht="99.75" customHeight="1"/>
    <row r="89" ht="99.75" customHeight="1"/>
    <row r="90" ht="99.75" customHeight="1"/>
    <row r="91" ht="99.75" customHeight="1"/>
    <row r="92" ht="99.75" customHeight="1"/>
    <row r="93" ht="99.75" customHeight="1"/>
    <row r="94" ht="99.75" customHeight="1"/>
    <row r="95" ht="99.75" customHeight="1"/>
    <row r="96" ht="99.75" customHeight="1"/>
    <row r="97" ht="99.75" customHeight="1"/>
    <row r="98" ht="99.75" customHeight="1"/>
    <row r="99" ht="99.75" customHeight="1"/>
    <row r="100" ht="99.75" customHeight="1"/>
    <row r="101" ht="99.75" customHeight="1"/>
    <row r="102" ht="99.75" customHeight="1"/>
    <row r="103" ht="99.75" customHeight="1"/>
    <row r="104" ht="99.75" customHeight="1"/>
    <row r="105" ht="99.75" customHeight="1"/>
    <row r="106" ht="99.75" customHeight="1"/>
    <row r="107" ht="99.75" customHeight="1"/>
    <row r="108" ht="99.75" customHeight="1"/>
    <row r="109" ht="99.75" customHeight="1"/>
    <row r="110" ht="99.75" customHeight="1"/>
    <row r="111" ht="99.75" customHeight="1"/>
    <row r="112" ht="99.75" customHeight="1"/>
    <row r="113" ht="99.75" customHeight="1"/>
    <row r="114" ht="99.75" customHeight="1"/>
    <row r="115" ht="99.75" customHeight="1"/>
    <row r="116" ht="99.75" customHeight="1"/>
    <row r="117" ht="99.75" customHeight="1"/>
    <row r="118" ht="99.75" customHeight="1"/>
    <row r="119" ht="99.75" customHeight="1"/>
    <row r="120" ht="99.75" customHeight="1"/>
    <row r="121" ht="99.75" customHeight="1"/>
    <row r="122" ht="99.75" customHeight="1"/>
    <row r="123" ht="99.75" customHeight="1"/>
    <row r="124" ht="99.75" customHeight="1"/>
    <row r="125" ht="99.75" customHeight="1"/>
    <row r="126" ht="99.75" customHeight="1"/>
    <row r="127" ht="99.75" customHeight="1"/>
    <row r="128" ht="99.75" customHeight="1"/>
    <row r="129" ht="99.75" customHeight="1"/>
    <row r="130" ht="99.75" customHeight="1"/>
    <row r="131" ht="99.75" customHeight="1"/>
    <row r="132" ht="99.75" customHeight="1"/>
    <row r="133" ht="99.75" customHeight="1"/>
    <row r="134" ht="99.75" customHeight="1"/>
    <row r="135" ht="99.75" customHeight="1"/>
    <row r="136" ht="99.75" customHeight="1"/>
    <row r="137" ht="99.75" customHeight="1"/>
    <row r="138" ht="99.75" customHeight="1"/>
    <row r="139" ht="99.75" customHeight="1"/>
    <row r="140" ht="99.75" customHeight="1"/>
    <row r="141" ht="99.75" customHeight="1"/>
    <row r="142" ht="99.75" customHeight="1"/>
    <row r="143" ht="99.75" customHeight="1"/>
    <row r="144" ht="99.75" customHeight="1"/>
    <row r="145" ht="99.75" customHeight="1"/>
    <row r="146" ht="99.75" customHeight="1"/>
    <row r="147" ht="99.75" customHeight="1"/>
    <row r="148" ht="99.75" customHeight="1"/>
    <row r="149" ht="99.75" customHeight="1"/>
    <row r="150" ht="99.75" customHeight="1"/>
    <row r="151" ht="99.75" customHeight="1"/>
    <row r="152" ht="99.75" customHeight="1"/>
    <row r="153" ht="99.75" customHeight="1"/>
    <row r="154" ht="99.75" customHeight="1"/>
    <row r="155" ht="99.75" customHeight="1"/>
    <row r="156" ht="99.75" customHeight="1"/>
    <row r="157" ht="99.75" customHeight="1"/>
    <row r="158" ht="99.75" customHeight="1"/>
    <row r="159" ht="99.75" customHeight="1"/>
    <row r="160" ht="99.75" customHeight="1"/>
    <row r="161" ht="99.75" customHeight="1"/>
    <row r="162" ht="99.75" customHeight="1"/>
    <row r="163" ht="99.75" customHeight="1"/>
    <row r="164" ht="99.75" customHeight="1"/>
    <row r="165" ht="99.75" customHeight="1"/>
    <row r="166" ht="99.75" customHeight="1"/>
    <row r="167" ht="99.75" customHeight="1"/>
    <row r="168" ht="99.75" customHeight="1"/>
    <row r="169" ht="99.75" customHeight="1"/>
    <row r="170" ht="99.75" customHeight="1"/>
    <row r="171" ht="99.75" customHeight="1"/>
    <row r="172" ht="99.75" customHeight="1"/>
    <row r="173" ht="99.75" customHeight="1"/>
    <row r="174" ht="99.75" customHeight="1"/>
    <row r="175" ht="99.75" customHeight="1"/>
    <row r="176" ht="99.75" customHeight="1"/>
    <row r="177" ht="99.75" customHeight="1"/>
    <row r="178" ht="99.75" customHeight="1"/>
    <row r="179" ht="99.75" customHeight="1"/>
    <row r="180" ht="99.75" customHeight="1"/>
    <row r="181" ht="99.75" customHeight="1"/>
    <row r="182" ht="99.75" customHeight="1"/>
    <row r="183" ht="99.75" customHeight="1"/>
    <row r="184" ht="99.75" customHeight="1"/>
    <row r="185" ht="99.75" customHeight="1"/>
    <row r="186" ht="99.75" customHeight="1"/>
    <row r="187" ht="99.75" customHeight="1"/>
    <row r="188" ht="99.75" customHeight="1"/>
    <row r="189" ht="99.75" customHeight="1"/>
    <row r="190" ht="99.75" customHeight="1"/>
    <row r="191" ht="99.75" customHeight="1"/>
    <row r="192" ht="99.75" customHeight="1"/>
    <row r="193" ht="99.75" customHeight="1"/>
    <row r="194" ht="99.75" customHeight="1"/>
    <row r="195" ht="99.75" customHeight="1"/>
    <row r="196" ht="99.75" customHeight="1"/>
    <row r="197" ht="99.75" customHeight="1"/>
    <row r="198" ht="99.75" customHeight="1"/>
    <row r="199" ht="99.75" customHeight="1"/>
    <row r="200" ht="99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0">
    <mergeCell ref="B38:C38"/>
    <mergeCell ref="D38:E38"/>
    <mergeCell ref="B42:C42"/>
    <mergeCell ref="G42:J42"/>
    <mergeCell ref="I34:I35"/>
    <mergeCell ref="B36:B37"/>
    <mergeCell ref="C36:C37"/>
    <mergeCell ref="D36:E37"/>
    <mergeCell ref="F36:F37"/>
    <mergeCell ref="G36:G37"/>
    <mergeCell ref="H36:H37"/>
    <mergeCell ref="I36:I37"/>
    <mergeCell ref="B34:B35"/>
    <mergeCell ref="C34:C35"/>
    <mergeCell ref="D34:E35"/>
    <mergeCell ref="F34:F35"/>
    <mergeCell ref="G34:G35"/>
    <mergeCell ref="H34:H35"/>
    <mergeCell ref="I30:I31"/>
    <mergeCell ref="B32:B33"/>
    <mergeCell ref="C32:C33"/>
    <mergeCell ref="D32:E33"/>
    <mergeCell ref="F32:F33"/>
    <mergeCell ref="G32:G33"/>
    <mergeCell ref="H32:H33"/>
    <mergeCell ref="I32:I33"/>
    <mergeCell ref="B30:B31"/>
    <mergeCell ref="C30:C31"/>
    <mergeCell ref="D30:E31"/>
    <mergeCell ref="F30:F31"/>
    <mergeCell ref="G30:G31"/>
    <mergeCell ref="H30:H31"/>
    <mergeCell ref="I26:I27"/>
    <mergeCell ref="B28:B29"/>
    <mergeCell ref="C28:C29"/>
    <mergeCell ref="D28:E29"/>
    <mergeCell ref="F28:F29"/>
    <mergeCell ref="G28:G29"/>
    <mergeCell ref="H28:H29"/>
    <mergeCell ref="I28:I29"/>
    <mergeCell ref="B26:B27"/>
    <mergeCell ref="C26:C27"/>
    <mergeCell ref="D26:E27"/>
    <mergeCell ref="F26:F27"/>
    <mergeCell ref="G26:G27"/>
    <mergeCell ref="H26:H27"/>
    <mergeCell ref="I22:I23"/>
    <mergeCell ref="B24:B25"/>
    <mergeCell ref="C24:C25"/>
    <mergeCell ref="D24:E25"/>
    <mergeCell ref="F24:F25"/>
    <mergeCell ref="G24:G25"/>
    <mergeCell ref="H24:H25"/>
    <mergeCell ref="I24:I25"/>
    <mergeCell ref="B22:B23"/>
    <mergeCell ref="C22:C23"/>
    <mergeCell ref="D22:E23"/>
    <mergeCell ref="F22:F23"/>
    <mergeCell ref="G22:G23"/>
    <mergeCell ref="H22:H23"/>
    <mergeCell ref="B20:B21"/>
    <mergeCell ref="C20:C21"/>
    <mergeCell ref="D20:E21"/>
    <mergeCell ref="F20:F21"/>
    <mergeCell ref="G20:G21"/>
    <mergeCell ref="H20:H21"/>
    <mergeCell ref="I20:I21"/>
    <mergeCell ref="B18:B19"/>
    <mergeCell ref="C18:C19"/>
    <mergeCell ref="D18:E19"/>
    <mergeCell ref="F18:F19"/>
    <mergeCell ref="G18:G19"/>
    <mergeCell ref="H18:H19"/>
    <mergeCell ref="B16:B17"/>
    <mergeCell ref="C16:C17"/>
    <mergeCell ref="D16:E17"/>
    <mergeCell ref="F16:F17"/>
    <mergeCell ref="G16:G17"/>
    <mergeCell ref="H16:H17"/>
    <mergeCell ref="I16:I17"/>
    <mergeCell ref="DF10:DN12"/>
    <mergeCell ref="I18:I19"/>
    <mergeCell ref="B14:B15"/>
    <mergeCell ref="C14:C15"/>
    <mergeCell ref="D14:E15"/>
    <mergeCell ref="F14:F15"/>
    <mergeCell ref="G14:G15"/>
    <mergeCell ref="H14:H15"/>
    <mergeCell ref="BD10:BL12"/>
    <mergeCell ref="BM10:BU12"/>
    <mergeCell ref="BV10:CD12"/>
    <mergeCell ref="I10:I13"/>
    <mergeCell ref="K10:S12"/>
    <mergeCell ref="T10:AB12"/>
    <mergeCell ref="AC10:AK12"/>
    <mergeCell ref="AL10:AT12"/>
    <mergeCell ref="AU10:BC12"/>
    <mergeCell ref="I14:I15"/>
    <mergeCell ref="B1:DP2"/>
    <mergeCell ref="B3:E3"/>
    <mergeCell ref="B4:E4"/>
    <mergeCell ref="B5:E5"/>
    <mergeCell ref="B6:E6"/>
    <mergeCell ref="B7:E7"/>
    <mergeCell ref="B8:E8"/>
    <mergeCell ref="K8:DP9"/>
    <mergeCell ref="B9:B13"/>
    <mergeCell ref="C9:C13"/>
    <mergeCell ref="D9:E13"/>
    <mergeCell ref="F9:F13"/>
    <mergeCell ref="G9:G13"/>
    <mergeCell ref="H9:I9"/>
    <mergeCell ref="J9:J11"/>
    <mergeCell ref="H10:H13"/>
    <mergeCell ref="DO10:DO13"/>
    <mergeCell ref="DP10:DP13"/>
    <mergeCell ref="J12:J13"/>
    <mergeCell ref="CE10:CM12"/>
    <mergeCell ref="CN10:CV12"/>
    <mergeCell ref="CW10:DE12"/>
  </mergeCells>
  <pageMargins left="0.7" right="0.7" top="0.75" bottom="0.75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P271"/>
  <sheetViews>
    <sheetView topLeftCell="A13" zoomScale="17" zoomScaleNormal="17" workbookViewId="0">
      <selection activeCell="DF41" sqref="DF41:DM55"/>
    </sheetView>
  </sheetViews>
  <sheetFormatPr baseColWidth="10" defaultColWidth="14.42578125" defaultRowHeight="15" customHeight="1"/>
  <cols>
    <col min="1" max="1" width="6.5703125" style="97" customWidth="1"/>
    <col min="2" max="2" width="99.5703125" style="97" customWidth="1"/>
    <col min="3" max="3" width="64.85546875" style="97" customWidth="1"/>
    <col min="4" max="4" width="34.85546875" style="97" customWidth="1"/>
    <col min="5" max="5" width="54.5703125" style="97" customWidth="1"/>
    <col min="6" max="6" width="70.42578125" style="97" customWidth="1"/>
    <col min="7" max="7" width="64.5703125" style="97" customWidth="1"/>
    <col min="8" max="8" width="76.140625" style="97" customWidth="1"/>
    <col min="9" max="9" width="40.42578125" style="97" customWidth="1"/>
    <col min="10" max="10" width="67.140625" style="97" customWidth="1"/>
    <col min="11" max="109" width="30.5703125" style="97" hidden="1" customWidth="1"/>
    <col min="110" max="118" width="30.5703125" style="97" customWidth="1"/>
    <col min="119" max="119" width="61.42578125" style="97" customWidth="1"/>
    <col min="120" max="120" width="82.5703125" style="97" customWidth="1"/>
    <col min="121" max="16384" width="14.42578125" style="97"/>
  </cols>
  <sheetData>
    <row r="1" spans="2:120">
      <c r="B1" s="94"/>
      <c r="C1" s="94"/>
      <c r="D1" s="94"/>
      <c r="E1" s="94"/>
      <c r="F1" s="94"/>
      <c r="G1" s="94"/>
      <c r="H1" s="94"/>
      <c r="I1" s="94"/>
      <c r="J1" s="94"/>
      <c r="K1" s="95"/>
      <c r="L1" s="95"/>
      <c r="M1" s="96"/>
      <c r="N1" s="96"/>
      <c r="O1" s="96"/>
      <c r="P1" s="96"/>
      <c r="Q1" s="96"/>
      <c r="R1" s="96"/>
      <c r="S1" s="96"/>
    </row>
    <row r="2" spans="2:120" ht="14.25">
      <c r="B2" s="760" t="s">
        <v>26</v>
      </c>
      <c r="C2" s="761"/>
      <c r="D2" s="761"/>
      <c r="E2" s="761"/>
      <c r="F2" s="761"/>
      <c r="G2" s="761"/>
      <c r="H2" s="761"/>
      <c r="I2" s="761"/>
      <c r="J2" s="761"/>
      <c r="K2" s="761"/>
      <c r="L2" s="761"/>
      <c r="M2" s="761"/>
      <c r="N2" s="761"/>
      <c r="O2" s="761"/>
      <c r="P2" s="761"/>
      <c r="Q2" s="761"/>
      <c r="R2" s="761"/>
      <c r="S2" s="761"/>
      <c r="T2" s="761"/>
      <c r="U2" s="761"/>
      <c r="V2" s="761"/>
      <c r="W2" s="761"/>
      <c r="X2" s="761"/>
      <c r="Y2" s="761"/>
      <c r="Z2" s="761"/>
      <c r="AA2" s="761"/>
      <c r="AB2" s="761"/>
      <c r="AC2" s="761"/>
      <c r="AD2" s="761"/>
      <c r="AE2" s="761"/>
      <c r="AF2" s="761"/>
      <c r="AG2" s="761"/>
      <c r="AH2" s="761"/>
      <c r="AI2" s="761"/>
      <c r="AJ2" s="761"/>
      <c r="AK2" s="761"/>
      <c r="AL2" s="761"/>
      <c r="AM2" s="761"/>
      <c r="AN2" s="761"/>
      <c r="AO2" s="761"/>
      <c r="AP2" s="761"/>
      <c r="AQ2" s="761"/>
      <c r="AR2" s="761"/>
      <c r="AS2" s="761"/>
      <c r="AT2" s="761"/>
      <c r="AU2" s="761"/>
      <c r="AV2" s="761"/>
      <c r="AW2" s="761"/>
      <c r="AX2" s="761"/>
      <c r="AY2" s="761"/>
      <c r="AZ2" s="761"/>
      <c r="BA2" s="761"/>
      <c r="BB2" s="761"/>
      <c r="BC2" s="761"/>
      <c r="BD2" s="761"/>
      <c r="BE2" s="761"/>
      <c r="BF2" s="761"/>
      <c r="BG2" s="761"/>
      <c r="BH2" s="761"/>
      <c r="BI2" s="761"/>
      <c r="BJ2" s="761"/>
      <c r="BK2" s="761"/>
      <c r="BL2" s="761"/>
      <c r="BM2" s="761"/>
      <c r="BN2" s="761"/>
      <c r="BO2" s="761"/>
      <c r="BP2" s="761"/>
      <c r="BQ2" s="761"/>
      <c r="BR2" s="761"/>
      <c r="BS2" s="761"/>
      <c r="BT2" s="761"/>
      <c r="BU2" s="761"/>
      <c r="BV2" s="761"/>
      <c r="BW2" s="761"/>
      <c r="BX2" s="761"/>
      <c r="BY2" s="761"/>
      <c r="BZ2" s="761"/>
      <c r="CA2" s="761"/>
      <c r="CB2" s="761"/>
      <c r="CC2" s="761"/>
      <c r="CD2" s="761"/>
      <c r="CE2" s="761"/>
      <c r="CF2" s="761"/>
      <c r="CG2" s="761"/>
      <c r="CH2" s="761"/>
      <c r="CI2" s="761"/>
      <c r="CJ2" s="761"/>
      <c r="CK2" s="761"/>
      <c r="CL2" s="761"/>
      <c r="CM2" s="761"/>
      <c r="CN2" s="761"/>
      <c r="CO2" s="761"/>
      <c r="CP2" s="761"/>
      <c r="CQ2" s="761"/>
      <c r="CR2" s="761"/>
      <c r="CS2" s="761"/>
      <c r="CT2" s="761"/>
      <c r="CU2" s="761"/>
      <c r="CV2" s="761"/>
      <c r="CW2" s="761"/>
      <c r="CX2" s="761"/>
      <c r="CY2" s="761"/>
      <c r="CZ2" s="761"/>
      <c r="DA2" s="761"/>
      <c r="DB2" s="761"/>
      <c r="DC2" s="761"/>
      <c r="DD2" s="761"/>
      <c r="DE2" s="761"/>
      <c r="DF2" s="761"/>
      <c r="DG2" s="761"/>
      <c r="DH2" s="761"/>
      <c r="DI2" s="761"/>
      <c r="DJ2" s="761"/>
      <c r="DK2" s="761"/>
      <c r="DL2" s="761"/>
      <c r="DM2" s="761"/>
      <c r="DN2" s="761"/>
      <c r="DO2" s="761"/>
      <c r="DP2" s="761"/>
    </row>
    <row r="3" spans="2:120" ht="115.5" customHeight="1">
      <c r="B3" s="761"/>
      <c r="C3" s="761"/>
      <c r="D3" s="761"/>
      <c r="E3" s="761"/>
      <c r="F3" s="761"/>
      <c r="G3" s="761"/>
      <c r="H3" s="761"/>
      <c r="I3" s="761"/>
      <c r="J3" s="761"/>
      <c r="K3" s="761"/>
      <c r="L3" s="761"/>
      <c r="M3" s="761"/>
      <c r="N3" s="761"/>
      <c r="O3" s="761"/>
      <c r="P3" s="761"/>
      <c r="Q3" s="761"/>
      <c r="R3" s="761"/>
      <c r="S3" s="761"/>
      <c r="T3" s="761"/>
      <c r="U3" s="761"/>
      <c r="V3" s="761"/>
      <c r="W3" s="761"/>
      <c r="X3" s="761"/>
      <c r="Y3" s="761"/>
      <c r="Z3" s="761"/>
      <c r="AA3" s="761"/>
      <c r="AB3" s="761"/>
      <c r="AC3" s="761"/>
      <c r="AD3" s="761"/>
      <c r="AE3" s="761"/>
      <c r="AF3" s="761"/>
      <c r="AG3" s="761"/>
      <c r="AH3" s="761"/>
      <c r="AI3" s="761"/>
      <c r="AJ3" s="761"/>
      <c r="AK3" s="761"/>
      <c r="AL3" s="761"/>
      <c r="AM3" s="761"/>
      <c r="AN3" s="761"/>
      <c r="AO3" s="761"/>
      <c r="AP3" s="761"/>
      <c r="AQ3" s="761"/>
      <c r="AR3" s="761"/>
      <c r="AS3" s="761"/>
      <c r="AT3" s="761"/>
      <c r="AU3" s="761"/>
      <c r="AV3" s="761"/>
      <c r="AW3" s="761"/>
      <c r="AX3" s="761"/>
      <c r="AY3" s="761"/>
      <c r="AZ3" s="761"/>
      <c r="BA3" s="761"/>
      <c r="BB3" s="761"/>
      <c r="BC3" s="761"/>
      <c r="BD3" s="761"/>
      <c r="BE3" s="761"/>
      <c r="BF3" s="761"/>
      <c r="BG3" s="761"/>
      <c r="BH3" s="761"/>
      <c r="BI3" s="761"/>
      <c r="BJ3" s="761"/>
      <c r="BK3" s="761"/>
      <c r="BL3" s="761"/>
      <c r="BM3" s="761"/>
      <c r="BN3" s="761"/>
      <c r="BO3" s="761"/>
      <c r="BP3" s="761"/>
      <c r="BQ3" s="761"/>
      <c r="BR3" s="761"/>
      <c r="BS3" s="761"/>
      <c r="BT3" s="761"/>
      <c r="BU3" s="761"/>
      <c r="BV3" s="761"/>
      <c r="BW3" s="761"/>
      <c r="BX3" s="761"/>
      <c r="BY3" s="761"/>
      <c r="BZ3" s="761"/>
      <c r="CA3" s="761"/>
      <c r="CB3" s="761"/>
      <c r="CC3" s="761"/>
      <c r="CD3" s="761"/>
      <c r="CE3" s="761"/>
      <c r="CF3" s="761"/>
      <c r="CG3" s="761"/>
      <c r="CH3" s="761"/>
      <c r="CI3" s="761"/>
      <c r="CJ3" s="761"/>
      <c r="CK3" s="761"/>
      <c r="CL3" s="761"/>
      <c r="CM3" s="761"/>
      <c r="CN3" s="761"/>
      <c r="CO3" s="761"/>
      <c r="CP3" s="761"/>
      <c r="CQ3" s="761"/>
      <c r="CR3" s="761"/>
      <c r="CS3" s="761"/>
      <c r="CT3" s="761"/>
      <c r="CU3" s="761"/>
      <c r="CV3" s="761"/>
      <c r="CW3" s="761"/>
      <c r="CX3" s="761"/>
      <c r="CY3" s="761"/>
      <c r="CZ3" s="761"/>
      <c r="DA3" s="761"/>
      <c r="DB3" s="761"/>
      <c r="DC3" s="761"/>
      <c r="DD3" s="761"/>
      <c r="DE3" s="761"/>
      <c r="DF3" s="761"/>
      <c r="DG3" s="761"/>
      <c r="DH3" s="761"/>
      <c r="DI3" s="761"/>
      <c r="DJ3" s="761"/>
      <c r="DK3" s="761"/>
      <c r="DL3" s="761"/>
      <c r="DM3" s="761"/>
      <c r="DN3" s="761"/>
      <c r="DO3" s="761"/>
      <c r="DP3" s="761"/>
    </row>
    <row r="4" spans="2:120" ht="127.5" customHeight="1">
      <c r="B4" s="762" t="s">
        <v>119</v>
      </c>
      <c r="C4" s="763"/>
      <c r="D4" s="763"/>
      <c r="E4" s="763"/>
      <c r="F4" s="98"/>
      <c r="G4" s="94"/>
      <c r="H4" s="94"/>
      <c r="I4" s="94"/>
      <c r="J4" s="94"/>
      <c r="K4" s="95"/>
      <c r="L4" s="95"/>
      <c r="M4" s="96"/>
      <c r="N4" s="96"/>
      <c r="O4" s="96"/>
      <c r="P4" s="96"/>
      <c r="Q4" s="96"/>
      <c r="R4" s="96"/>
      <c r="S4" s="96"/>
      <c r="DO4" s="99"/>
    </row>
    <row r="5" spans="2:120" ht="69.75" customHeight="1">
      <c r="B5" s="764" t="s">
        <v>27</v>
      </c>
      <c r="C5" s="765"/>
      <c r="D5" s="765"/>
      <c r="E5" s="765"/>
      <c r="F5" s="100"/>
      <c r="G5" s="94"/>
      <c r="H5" s="94"/>
      <c r="I5" s="94"/>
      <c r="J5" s="101"/>
      <c r="K5" s="102"/>
      <c r="L5" s="102"/>
      <c r="M5" s="96"/>
      <c r="N5" s="96"/>
      <c r="O5" s="96"/>
      <c r="P5" s="103"/>
      <c r="Q5" s="103"/>
      <c r="R5" s="103"/>
      <c r="S5" s="103"/>
      <c r="T5" s="104"/>
      <c r="U5" s="104"/>
      <c r="DO5" s="99"/>
    </row>
    <row r="6" spans="2:120" ht="87" customHeight="1">
      <c r="B6" s="766" t="s">
        <v>23</v>
      </c>
      <c r="C6" s="763"/>
      <c r="D6" s="763"/>
      <c r="E6" s="763"/>
      <c r="F6" s="98"/>
      <c r="G6" s="94"/>
      <c r="H6" s="94"/>
      <c r="I6" s="94"/>
      <c r="J6" s="102"/>
      <c r="K6" s="95"/>
      <c r="L6" s="95"/>
      <c r="M6" s="96"/>
      <c r="N6" s="96"/>
      <c r="O6" s="96"/>
      <c r="P6" s="103"/>
      <c r="Q6" s="103"/>
      <c r="R6" s="103"/>
      <c r="S6" s="103"/>
      <c r="T6" s="105"/>
      <c r="U6" s="105"/>
      <c r="DO6" s="99"/>
    </row>
    <row r="7" spans="2:120" ht="47.25" customHeight="1">
      <c r="B7" s="767" t="s">
        <v>28</v>
      </c>
      <c r="C7" s="768"/>
      <c r="D7" s="768"/>
      <c r="E7" s="768"/>
      <c r="F7" s="100"/>
      <c r="G7" s="94" t="s">
        <v>120</v>
      </c>
      <c r="H7" s="94"/>
      <c r="I7" s="94"/>
      <c r="J7" s="94"/>
      <c r="K7" s="95"/>
      <c r="L7" s="95"/>
      <c r="M7" s="96"/>
      <c r="N7" s="96"/>
      <c r="O7" s="96"/>
      <c r="P7" s="103"/>
      <c r="Q7" s="103"/>
      <c r="R7" s="103"/>
      <c r="S7" s="103"/>
      <c r="T7" s="104"/>
      <c r="U7" s="104"/>
      <c r="DO7" s="99"/>
    </row>
    <row r="8" spans="2:120" ht="77.25" customHeight="1">
      <c r="B8" s="766" t="s">
        <v>29</v>
      </c>
      <c r="C8" s="763"/>
      <c r="D8" s="763"/>
      <c r="E8" s="763"/>
      <c r="F8" s="98"/>
      <c r="G8" s="94"/>
      <c r="H8" s="94"/>
      <c r="I8" s="94"/>
      <c r="J8" s="94"/>
      <c r="K8" s="95"/>
      <c r="L8" s="95"/>
      <c r="M8" s="96"/>
      <c r="N8" s="96"/>
      <c r="O8" s="96"/>
      <c r="P8" s="103"/>
      <c r="Q8" s="103"/>
      <c r="R8" s="103"/>
      <c r="S8" s="103"/>
      <c r="T8" s="104"/>
      <c r="U8" s="104"/>
      <c r="DO8" s="99"/>
    </row>
    <row r="9" spans="2:120" ht="103.5" customHeight="1">
      <c r="B9" s="767" t="s">
        <v>30</v>
      </c>
      <c r="C9" s="768"/>
      <c r="D9" s="768"/>
      <c r="E9" s="768"/>
      <c r="F9" s="100"/>
      <c r="G9" s="94"/>
      <c r="H9" s="94"/>
      <c r="I9" s="94"/>
      <c r="J9" s="94"/>
      <c r="K9" s="769" t="s">
        <v>72</v>
      </c>
      <c r="L9" s="761"/>
      <c r="M9" s="761"/>
      <c r="N9" s="761"/>
      <c r="O9" s="761"/>
      <c r="P9" s="761"/>
      <c r="Q9" s="761"/>
      <c r="R9" s="761"/>
      <c r="S9" s="761"/>
      <c r="T9" s="761"/>
      <c r="U9" s="761"/>
      <c r="V9" s="761"/>
      <c r="W9" s="761"/>
      <c r="X9" s="761"/>
      <c r="Y9" s="761"/>
      <c r="Z9" s="761"/>
      <c r="AA9" s="761"/>
      <c r="AB9" s="761"/>
      <c r="AC9" s="761"/>
      <c r="AD9" s="761"/>
      <c r="AE9" s="761"/>
      <c r="AF9" s="761"/>
      <c r="AG9" s="761"/>
      <c r="AH9" s="761"/>
      <c r="AI9" s="761"/>
      <c r="AJ9" s="761"/>
      <c r="AK9" s="761"/>
      <c r="AL9" s="761"/>
      <c r="AM9" s="761"/>
      <c r="AN9" s="761"/>
      <c r="AO9" s="761"/>
      <c r="AP9" s="761"/>
      <c r="AQ9" s="761"/>
      <c r="AR9" s="761"/>
      <c r="AS9" s="761"/>
      <c r="AT9" s="761"/>
      <c r="AU9" s="761"/>
      <c r="AV9" s="761"/>
      <c r="AW9" s="761"/>
      <c r="AX9" s="761"/>
      <c r="AY9" s="761"/>
      <c r="AZ9" s="761"/>
      <c r="BA9" s="761"/>
      <c r="BB9" s="761"/>
      <c r="BC9" s="761"/>
      <c r="BD9" s="761"/>
      <c r="BE9" s="761"/>
      <c r="BF9" s="761"/>
      <c r="BG9" s="761"/>
      <c r="BH9" s="761"/>
      <c r="BI9" s="761"/>
      <c r="BJ9" s="761"/>
      <c r="BK9" s="761"/>
      <c r="BL9" s="761"/>
      <c r="BM9" s="761"/>
      <c r="BN9" s="761"/>
      <c r="BO9" s="761"/>
      <c r="BP9" s="761"/>
      <c r="BQ9" s="761"/>
      <c r="BR9" s="761"/>
      <c r="BS9" s="761"/>
      <c r="BT9" s="761"/>
      <c r="BU9" s="761"/>
      <c r="BV9" s="761"/>
      <c r="BW9" s="761"/>
      <c r="BX9" s="761"/>
      <c r="BY9" s="761"/>
      <c r="BZ9" s="761"/>
      <c r="CA9" s="761"/>
      <c r="CB9" s="761"/>
      <c r="CC9" s="761"/>
      <c r="CD9" s="761"/>
      <c r="CE9" s="761"/>
      <c r="CF9" s="761"/>
      <c r="CG9" s="761"/>
      <c r="CH9" s="761"/>
      <c r="CI9" s="761"/>
      <c r="CJ9" s="761"/>
      <c r="CK9" s="761"/>
      <c r="CL9" s="761"/>
      <c r="CM9" s="761"/>
      <c r="CN9" s="761"/>
      <c r="CO9" s="761"/>
      <c r="CP9" s="761"/>
      <c r="CQ9" s="761"/>
      <c r="CR9" s="761"/>
      <c r="CS9" s="761"/>
      <c r="CT9" s="761"/>
      <c r="CU9" s="761"/>
      <c r="CV9" s="761"/>
      <c r="CW9" s="761"/>
      <c r="CX9" s="761"/>
      <c r="CY9" s="761"/>
      <c r="CZ9" s="761"/>
      <c r="DA9" s="761"/>
      <c r="DB9" s="761"/>
      <c r="DC9" s="761"/>
      <c r="DD9" s="761"/>
      <c r="DE9" s="761"/>
      <c r="DF9" s="761"/>
      <c r="DG9" s="761"/>
      <c r="DH9" s="761"/>
      <c r="DI9" s="761"/>
      <c r="DJ9" s="761"/>
      <c r="DK9" s="761"/>
      <c r="DL9" s="761"/>
      <c r="DM9" s="761"/>
      <c r="DN9" s="761"/>
      <c r="DO9" s="761"/>
      <c r="DP9" s="761"/>
    </row>
    <row r="10" spans="2:120" ht="90" customHeight="1">
      <c r="B10" s="770" t="s">
        <v>32</v>
      </c>
      <c r="C10" s="770" t="s">
        <v>33</v>
      </c>
      <c r="D10" s="772" t="s">
        <v>34</v>
      </c>
      <c r="E10" s="773"/>
      <c r="F10" s="770" t="s">
        <v>35</v>
      </c>
      <c r="G10" s="770" t="s">
        <v>36</v>
      </c>
      <c r="H10" s="776" t="s">
        <v>37</v>
      </c>
      <c r="I10" s="777"/>
      <c r="J10" s="770" t="s">
        <v>55</v>
      </c>
      <c r="K10" s="763"/>
      <c r="L10" s="763"/>
      <c r="M10" s="763"/>
      <c r="N10" s="763"/>
      <c r="O10" s="763"/>
      <c r="P10" s="763"/>
      <c r="Q10" s="763"/>
      <c r="R10" s="763"/>
      <c r="S10" s="763"/>
      <c r="T10" s="763"/>
      <c r="U10" s="763"/>
      <c r="V10" s="763"/>
      <c r="W10" s="763"/>
      <c r="X10" s="763"/>
      <c r="Y10" s="763"/>
      <c r="Z10" s="763"/>
      <c r="AA10" s="763"/>
      <c r="AB10" s="763"/>
      <c r="AC10" s="763"/>
      <c r="AD10" s="763"/>
      <c r="AE10" s="763"/>
      <c r="AF10" s="763"/>
      <c r="AG10" s="763"/>
      <c r="AH10" s="763"/>
      <c r="AI10" s="763"/>
      <c r="AJ10" s="763"/>
      <c r="AK10" s="763"/>
      <c r="AL10" s="763"/>
      <c r="AM10" s="763"/>
      <c r="AN10" s="763"/>
      <c r="AO10" s="763"/>
      <c r="AP10" s="763"/>
      <c r="AQ10" s="763"/>
      <c r="AR10" s="763"/>
      <c r="AS10" s="763"/>
      <c r="AT10" s="763"/>
      <c r="AU10" s="763"/>
      <c r="AV10" s="763"/>
      <c r="AW10" s="763"/>
      <c r="AX10" s="763"/>
      <c r="AY10" s="763"/>
      <c r="AZ10" s="763"/>
      <c r="BA10" s="763"/>
      <c r="BB10" s="763"/>
      <c r="BC10" s="763"/>
      <c r="BD10" s="763"/>
      <c r="BE10" s="763"/>
      <c r="BF10" s="763"/>
      <c r="BG10" s="763"/>
      <c r="BH10" s="763"/>
      <c r="BI10" s="763"/>
      <c r="BJ10" s="763"/>
      <c r="BK10" s="763"/>
      <c r="BL10" s="763"/>
      <c r="BM10" s="763"/>
      <c r="BN10" s="763"/>
      <c r="BO10" s="763"/>
      <c r="BP10" s="763"/>
      <c r="BQ10" s="763"/>
      <c r="BR10" s="763"/>
      <c r="BS10" s="763"/>
      <c r="BT10" s="763"/>
      <c r="BU10" s="763"/>
      <c r="BV10" s="763"/>
      <c r="BW10" s="763"/>
      <c r="BX10" s="763"/>
      <c r="BY10" s="763"/>
      <c r="BZ10" s="763"/>
      <c r="CA10" s="763"/>
      <c r="CB10" s="763"/>
      <c r="CC10" s="763"/>
      <c r="CD10" s="763"/>
      <c r="CE10" s="763"/>
      <c r="CF10" s="763"/>
      <c r="CG10" s="763"/>
      <c r="CH10" s="763"/>
      <c r="CI10" s="763"/>
      <c r="CJ10" s="763"/>
      <c r="CK10" s="763"/>
      <c r="CL10" s="763"/>
      <c r="CM10" s="763"/>
      <c r="CN10" s="763"/>
      <c r="CO10" s="763"/>
      <c r="CP10" s="763"/>
      <c r="CQ10" s="763"/>
      <c r="CR10" s="763"/>
      <c r="CS10" s="763"/>
      <c r="CT10" s="763"/>
      <c r="CU10" s="763"/>
      <c r="CV10" s="763"/>
      <c r="CW10" s="763"/>
      <c r="CX10" s="763"/>
      <c r="CY10" s="763"/>
      <c r="CZ10" s="763"/>
      <c r="DA10" s="763"/>
      <c r="DB10" s="763"/>
      <c r="DC10" s="763"/>
      <c r="DD10" s="763"/>
      <c r="DE10" s="763"/>
      <c r="DF10" s="763"/>
      <c r="DG10" s="763"/>
      <c r="DH10" s="763"/>
      <c r="DI10" s="763"/>
      <c r="DJ10" s="763"/>
      <c r="DK10" s="763"/>
      <c r="DL10" s="763"/>
      <c r="DM10" s="763"/>
      <c r="DN10" s="763"/>
      <c r="DO10" s="763"/>
      <c r="DP10" s="763"/>
    </row>
    <row r="11" spans="2:120" ht="24.75" customHeight="1">
      <c r="B11" s="771"/>
      <c r="C11" s="771"/>
      <c r="D11" s="774"/>
      <c r="E11" s="775"/>
      <c r="F11" s="771"/>
      <c r="G11" s="771"/>
      <c r="H11" s="770" t="s">
        <v>39</v>
      </c>
      <c r="I11" s="770" t="s">
        <v>40</v>
      </c>
      <c r="J11" s="771"/>
      <c r="K11" s="781" t="s">
        <v>41</v>
      </c>
      <c r="L11" s="768"/>
      <c r="M11" s="768"/>
      <c r="N11" s="768"/>
      <c r="O11" s="768"/>
      <c r="P11" s="768"/>
      <c r="Q11" s="768"/>
      <c r="R11" s="768"/>
      <c r="S11" s="773"/>
      <c r="T11" s="781" t="s">
        <v>42</v>
      </c>
      <c r="U11" s="768"/>
      <c r="V11" s="768"/>
      <c r="W11" s="768"/>
      <c r="X11" s="768"/>
      <c r="Y11" s="768"/>
      <c r="Z11" s="768"/>
      <c r="AA11" s="768"/>
      <c r="AB11" s="773"/>
      <c r="AC11" s="781" t="s">
        <v>43</v>
      </c>
      <c r="AD11" s="768"/>
      <c r="AE11" s="768"/>
      <c r="AF11" s="768"/>
      <c r="AG11" s="768"/>
      <c r="AH11" s="768"/>
      <c r="AI11" s="768"/>
      <c r="AJ11" s="768"/>
      <c r="AK11" s="773"/>
      <c r="AL11" s="781" t="s">
        <v>44</v>
      </c>
      <c r="AM11" s="768"/>
      <c r="AN11" s="768"/>
      <c r="AO11" s="768"/>
      <c r="AP11" s="768"/>
      <c r="AQ11" s="768"/>
      <c r="AR11" s="768"/>
      <c r="AS11" s="768"/>
      <c r="AT11" s="773"/>
      <c r="AU11" s="781" t="s">
        <v>45</v>
      </c>
      <c r="AV11" s="768"/>
      <c r="AW11" s="768"/>
      <c r="AX11" s="768"/>
      <c r="AY11" s="768"/>
      <c r="AZ11" s="768"/>
      <c r="BA11" s="768"/>
      <c r="BB11" s="768"/>
      <c r="BC11" s="773"/>
      <c r="BD11" s="781" t="s">
        <v>46</v>
      </c>
      <c r="BE11" s="768"/>
      <c r="BF11" s="768"/>
      <c r="BG11" s="768"/>
      <c r="BH11" s="768"/>
      <c r="BI11" s="768"/>
      <c r="BJ11" s="768"/>
      <c r="BK11" s="768"/>
      <c r="BL11" s="773"/>
      <c r="BM11" s="781" t="s">
        <v>47</v>
      </c>
      <c r="BN11" s="768"/>
      <c r="BO11" s="768"/>
      <c r="BP11" s="768"/>
      <c r="BQ11" s="768"/>
      <c r="BR11" s="768"/>
      <c r="BS11" s="768"/>
      <c r="BT11" s="768"/>
      <c r="BU11" s="773"/>
      <c r="BV11" s="781" t="s">
        <v>48</v>
      </c>
      <c r="BW11" s="768"/>
      <c r="BX11" s="768"/>
      <c r="BY11" s="768"/>
      <c r="BZ11" s="768"/>
      <c r="CA11" s="768"/>
      <c r="CB11" s="768"/>
      <c r="CC11" s="768"/>
      <c r="CD11" s="773"/>
      <c r="CE11" s="781" t="s">
        <v>49</v>
      </c>
      <c r="CF11" s="768"/>
      <c r="CG11" s="768"/>
      <c r="CH11" s="768"/>
      <c r="CI11" s="768"/>
      <c r="CJ11" s="768"/>
      <c r="CK11" s="768"/>
      <c r="CL11" s="768"/>
      <c r="CM11" s="773"/>
      <c r="CN11" s="781" t="s">
        <v>50</v>
      </c>
      <c r="CO11" s="768"/>
      <c r="CP11" s="768"/>
      <c r="CQ11" s="768"/>
      <c r="CR11" s="768"/>
      <c r="CS11" s="768"/>
      <c r="CT11" s="768"/>
      <c r="CU11" s="768"/>
      <c r="CV11" s="773"/>
      <c r="CW11" s="781" t="s">
        <v>51</v>
      </c>
      <c r="CX11" s="768"/>
      <c r="CY11" s="768"/>
      <c r="CZ11" s="768"/>
      <c r="DA11" s="768"/>
      <c r="DB11" s="768"/>
      <c r="DC11" s="768"/>
      <c r="DD11" s="768"/>
      <c r="DE11" s="773"/>
      <c r="DF11" s="781" t="s">
        <v>52</v>
      </c>
      <c r="DG11" s="768"/>
      <c r="DH11" s="768"/>
      <c r="DI11" s="768"/>
      <c r="DJ11" s="768"/>
      <c r="DK11" s="768"/>
      <c r="DL11" s="768"/>
      <c r="DM11" s="768"/>
      <c r="DN11" s="773"/>
      <c r="DO11" s="779" t="s">
        <v>53</v>
      </c>
      <c r="DP11" s="780" t="s">
        <v>54</v>
      </c>
    </row>
    <row r="12" spans="2:120" ht="48" customHeight="1">
      <c r="B12" s="771"/>
      <c r="C12" s="771"/>
      <c r="D12" s="774"/>
      <c r="E12" s="775"/>
      <c r="F12" s="771"/>
      <c r="G12" s="771"/>
      <c r="H12" s="771"/>
      <c r="I12" s="771"/>
      <c r="J12" s="778"/>
      <c r="K12" s="774"/>
      <c r="L12" s="782"/>
      <c r="M12" s="782"/>
      <c r="N12" s="782"/>
      <c r="O12" s="782"/>
      <c r="P12" s="782"/>
      <c r="Q12" s="782"/>
      <c r="R12" s="782"/>
      <c r="S12" s="775"/>
      <c r="T12" s="774"/>
      <c r="U12" s="782"/>
      <c r="V12" s="782"/>
      <c r="W12" s="782"/>
      <c r="X12" s="782"/>
      <c r="Y12" s="782"/>
      <c r="Z12" s="782"/>
      <c r="AA12" s="782"/>
      <c r="AB12" s="775"/>
      <c r="AC12" s="774"/>
      <c r="AD12" s="782"/>
      <c r="AE12" s="782"/>
      <c r="AF12" s="782"/>
      <c r="AG12" s="782"/>
      <c r="AH12" s="782"/>
      <c r="AI12" s="782"/>
      <c r="AJ12" s="782"/>
      <c r="AK12" s="775"/>
      <c r="AL12" s="774"/>
      <c r="AM12" s="782"/>
      <c r="AN12" s="782"/>
      <c r="AO12" s="782"/>
      <c r="AP12" s="782"/>
      <c r="AQ12" s="782"/>
      <c r="AR12" s="782"/>
      <c r="AS12" s="782"/>
      <c r="AT12" s="775"/>
      <c r="AU12" s="774"/>
      <c r="AV12" s="782"/>
      <c r="AW12" s="782"/>
      <c r="AX12" s="782"/>
      <c r="AY12" s="782"/>
      <c r="AZ12" s="782"/>
      <c r="BA12" s="782"/>
      <c r="BB12" s="782"/>
      <c r="BC12" s="775"/>
      <c r="BD12" s="774"/>
      <c r="BE12" s="782"/>
      <c r="BF12" s="782"/>
      <c r="BG12" s="782"/>
      <c r="BH12" s="782"/>
      <c r="BI12" s="782"/>
      <c r="BJ12" s="782"/>
      <c r="BK12" s="782"/>
      <c r="BL12" s="775"/>
      <c r="BM12" s="774"/>
      <c r="BN12" s="782"/>
      <c r="BO12" s="782"/>
      <c r="BP12" s="782"/>
      <c r="BQ12" s="782"/>
      <c r="BR12" s="782"/>
      <c r="BS12" s="782"/>
      <c r="BT12" s="782"/>
      <c r="BU12" s="775"/>
      <c r="BV12" s="774"/>
      <c r="BW12" s="782"/>
      <c r="BX12" s="782"/>
      <c r="BY12" s="782"/>
      <c r="BZ12" s="782"/>
      <c r="CA12" s="782"/>
      <c r="CB12" s="782"/>
      <c r="CC12" s="782"/>
      <c r="CD12" s="775"/>
      <c r="CE12" s="774"/>
      <c r="CF12" s="782"/>
      <c r="CG12" s="782"/>
      <c r="CH12" s="782"/>
      <c r="CI12" s="782"/>
      <c r="CJ12" s="782"/>
      <c r="CK12" s="782"/>
      <c r="CL12" s="782"/>
      <c r="CM12" s="775"/>
      <c r="CN12" s="774"/>
      <c r="CO12" s="782"/>
      <c r="CP12" s="782"/>
      <c r="CQ12" s="782"/>
      <c r="CR12" s="782"/>
      <c r="CS12" s="782"/>
      <c r="CT12" s="782"/>
      <c r="CU12" s="782"/>
      <c r="CV12" s="775"/>
      <c r="CW12" s="774"/>
      <c r="CX12" s="782"/>
      <c r="CY12" s="782"/>
      <c r="CZ12" s="782"/>
      <c r="DA12" s="782"/>
      <c r="DB12" s="782"/>
      <c r="DC12" s="782"/>
      <c r="DD12" s="782"/>
      <c r="DE12" s="775"/>
      <c r="DF12" s="774"/>
      <c r="DG12" s="782"/>
      <c r="DH12" s="782"/>
      <c r="DI12" s="782"/>
      <c r="DJ12" s="782"/>
      <c r="DK12" s="782"/>
      <c r="DL12" s="782"/>
      <c r="DM12" s="782"/>
      <c r="DN12" s="775"/>
      <c r="DO12" s="771"/>
      <c r="DP12" s="771"/>
    </row>
    <row r="13" spans="2:120" ht="78" customHeight="1">
      <c r="B13" s="771"/>
      <c r="C13" s="771"/>
      <c r="D13" s="774"/>
      <c r="E13" s="775"/>
      <c r="F13" s="771"/>
      <c r="G13" s="771"/>
      <c r="H13" s="771"/>
      <c r="I13" s="771"/>
      <c r="J13" s="780" t="s">
        <v>38</v>
      </c>
      <c r="K13" s="783"/>
      <c r="L13" s="763"/>
      <c r="M13" s="763"/>
      <c r="N13" s="763"/>
      <c r="O13" s="763"/>
      <c r="P13" s="763"/>
      <c r="Q13" s="763"/>
      <c r="R13" s="763"/>
      <c r="S13" s="784"/>
      <c r="T13" s="783"/>
      <c r="U13" s="763"/>
      <c r="V13" s="763"/>
      <c r="W13" s="763"/>
      <c r="X13" s="763"/>
      <c r="Y13" s="763"/>
      <c r="Z13" s="763"/>
      <c r="AA13" s="763"/>
      <c r="AB13" s="784"/>
      <c r="AC13" s="783"/>
      <c r="AD13" s="763"/>
      <c r="AE13" s="763"/>
      <c r="AF13" s="763"/>
      <c r="AG13" s="763"/>
      <c r="AH13" s="763"/>
      <c r="AI13" s="763"/>
      <c r="AJ13" s="763"/>
      <c r="AK13" s="784"/>
      <c r="AL13" s="783"/>
      <c r="AM13" s="763"/>
      <c r="AN13" s="763"/>
      <c r="AO13" s="763"/>
      <c r="AP13" s="763"/>
      <c r="AQ13" s="763"/>
      <c r="AR13" s="763"/>
      <c r="AS13" s="763"/>
      <c r="AT13" s="784"/>
      <c r="AU13" s="783"/>
      <c r="AV13" s="763"/>
      <c r="AW13" s="763"/>
      <c r="AX13" s="763"/>
      <c r="AY13" s="763"/>
      <c r="AZ13" s="763"/>
      <c r="BA13" s="763"/>
      <c r="BB13" s="763"/>
      <c r="BC13" s="784"/>
      <c r="BD13" s="783"/>
      <c r="BE13" s="763"/>
      <c r="BF13" s="763"/>
      <c r="BG13" s="763"/>
      <c r="BH13" s="763"/>
      <c r="BI13" s="763"/>
      <c r="BJ13" s="763"/>
      <c r="BK13" s="763"/>
      <c r="BL13" s="784"/>
      <c r="BM13" s="783"/>
      <c r="BN13" s="763"/>
      <c r="BO13" s="763"/>
      <c r="BP13" s="763"/>
      <c r="BQ13" s="763"/>
      <c r="BR13" s="763"/>
      <c r="BS13" s="763"/>
      <c r="BT13" s="763"/>
      <c r="BU13" s="784"/>
      <c r="BV13" s="783"/>
      <c r="BW13" s="763"/>
      <c r="BX13" s="763"/>
      <c r="BY13" s="763"/>
      <c r="BZ13" s="763"/>
      <c r="CA13" s="763"/>
      <c r="CB13" s="763"/>
      <c r="CC13" s="763"/>
      <c r="CD13" s="784"/>
      <c r="CE13" s="783"/>
      <c r="CF13" s="763"/>
      <c r="CG13" s="763"/>
      <c r="CH13" s="763"/>
      <c r="CI13" s="763"/>
      <c r="CJ13" s="763"/>
      <c r="CK13" s="763"/>
      <c r="CL13" s="763"/>
      <c r="CM13" s="784"/>
      <c r="CN13" s="783"/>
      <c r="CO13" s="763"/>
      <c r="CP13" s="763"/>
      <c r="CQ13" s="763"/>
      <c r="CR13" s="763"/>
      <c r="CS13" s="763"/>
      <c r="CT13" s="763"/>
      <c r="CU13" s="763"/>
      <c r="CV13" s="784"/>
      <c r="CW13" s="783"/>
      <c r="CX13" s="763"/>
      <c r="CY13" s="763"/>
      <c r="CZ13" s="763"/>
      <c r="DA13" s="763"/>
      <c r="DB13" s="763"/>
      <c r="DC13" s="763"/>
      <c r="DD13" s="763"/>
      <c r="DE13" s="784"/>
      <c r="DF13" s="783"/>
      <c r="DG13" s="763"/>
      <c r="DH13" s="763"/>
      <c r="DI13" s="763"/>
      <c r="DJ13" s="763"/>
      <c r="DK13" s="763"/>
      <c r="DL13" s="763"/>
      <c r="DM13" s="763"/>
      <c r="DN13" s="784"/>
      <c r="DO13" s="771"/>
      <c r="DP13" s="771"/>
    </row>
    <row r="14" spans="2:120" ht="99.75" customHeight="1">
      <c r="B14" s="771"/>
      <c r="C14" s="771"/>
      <c r="D14" s="774"/>
      <c r="E14" s="775"/>
      <c r="F14" s="771"/>
      <c r="G14" s="771"/>
      <c r="H14" s="771"/>
      <c r="I14" s="771"/>
      <c r="J14" s="771"/>
      <c r="K14" s="106" t="s">
        <v>56</v>
      </c>
      <c r="L14" s="106" t="s">
        <v>57</v>
      </c>
      <c r="M14" s="106" t="s">
        <v>58</v>
      </c>
      <c r="N14" s="106" t="s">
        <v>59</v>
      </c>
      <c r="O14" s="106" t="s">
        <v>60</v>
      </c>
      <c r="P14" s="106" t="s">
        <v>61</v>
      </c>
      <c r="Q14" s="106" t="s">
        <v>62</v>
      </c>
      <c r="R14" s="106" t="s">
        <v>63</v>
      </c>
      <c r="S14" s="106" t="s">
        <v>64</v>
      </c>
      <c r="T14" s="106" t="s">
        <v>56</v>
      </c>
      <c r="U14" s="106" t="s">
        <v>57</v>
      </c>
      <c r="V14" s="106" t="s">
        <v>58</v>
      </c>
      <c r="W14" s="106" t="s">
        <v>59</v>
      </c>
      <c r="X14" s="106" t="s">
        <v>60</v>
      </c>
      <c r="Y14" s="106" t="s">
        <v>61</v>
      </c>
      <c r="Z14" s="106" t="s">
        <v>62</v>
      </c>
      <c r="AA14" s="106" t="s">
        <v>63</v>
      </c>
      <c r="AB14" s="106" t="s">
        <v>64</v>
      </c>
      <c r="AC14" s="106" t="s">
        <v>56</v>
      </c>
      <c r="AD14" s="106" t="s">
        <v>57</v>
      </c>
      <c r="AE14" s="106" t="s">
        <v>58</v>
      </c>
      <c r="AF14" s="106" t="s">
        <v>59</v>
      </c>
      <c r="AG14" s="106" t="s">
        <v>60</v>
      </c>
      <c r="AH14" s="106" t="s">
        <v>61</v>
      </c>
      <c r="AI14" s="106" t="s">
        <v>62</v>
      </c>
      <c r="AJ14" s="106" t="s">
        <v>63</v>
      </c>
      <c r="AK14" s="106" t="s">
        <v>64</v>
      </c>
      <c r="AL14" s="106" t="s">
        <v>56</v>
      </c>
      <c r="AM14" s="106" t="s">
        <v>57</v>
      </c>
      <c r="AN14" s="106" t="s">
        <v>58</v>
      </c>
      <c r="AO14" s="106" t="s">
        <v>59</v>
      </c>
      <c r="AP14" s="106" t="s">
        <v>60</v>
      </c>
      <c r="AQ14" s="106" t="s">
        <v>61</v>
      </c>
      <c r="AR14" s="106" t="s">
        <v>62</v>
      </c>
      <c r="AS14" s="106" t="s">
        <v>63</v>
      </c>
      <c r="AT14" s="106" t="s">
        <v>64</v>
      </c>
      <c r="AU14" s="106" t="s">
        <v>56</v>
      </c>
      <c r="AV14" s="106" t="s">
        <v>57</v>
      </c>
      <c r="AW14" s="106" t="s">
        <v>58</v>
      </c>
      <c r="AX14" s="106" t="s">
        <v>59</v>
      </c>
      <c r="AY14" s="106" t="s">
        <v>60</v>
      </c>
      <c r="AZ14" s="106" t="s">
        <v>61</v>
      </c>
      <c r="BA14" s="106" t="s">
        <v>62</v>
      </c>
      <c r="BB14" s="106" t="s">
        <v>63</v>
      </c>
      <c r="BC14" s="106" t="s">
        <v>64</v>
      </c>
      <c r="BD14" s="106" t="s">
        <v>56</v>
      </c>
      <c r="BE14" s="106" t="s">
        <v>57</v>
      </c>
      <c r="BF14" s="106" t="s">
        <v>58</v>
      </c>
      <c r="BG14" s="106" t="s">
        <v>59</v>
      </c>
      <c r="BH14" s="106" t="s">
        <v>60</v>
      </c>
      <c r="BI14" s="106" t="s">
        <v>61</v>
      </c>
      <c r="BJ14" s="106" t="s">
        <v>62</v>
      </c>
      <c r="BK14" s="106" t="s">
        <v>63</v>
      </c>
      <c r="BL14" s="106" t="s">
        <v>64</v>
      </c>
      <c r="BM14" s="106" t="s">
        <v>56</v>
      </c>
      <c r="BN14" s="106" t="s">
        <v>57</v>
      </c>
      <c r="BO14" s="106" t="s">
        <v>58</v>
      </c>
      <c r="BP14" s="106" t="s">
        <v>59</v>
      </c>
      <c r="BQ14" s="106" t="s">
        <v>60</v>
      </c>
      <c r="BR14" s="106" t="s">
        <v>61</v>
      </c>
      <c r="BS14" s="106" t="s">
        <v>62</v>
      </c>
      <c r="BT14" s="106" t="s">
        <v>63</v>
      </c>
      <c r="BU14" s="106" t="s">
        <v>64</v>
      </c>
      <c r="BV14" s="106" t="s">
        <v>56</v>
      </c>
      <c r="BW14" s="106" t="s">
        <v>57</v>
      </c>
      <c r="BX14" s="106" t="s">
        <v>58</v>
      </c>
      <c r="BY14" s="106" t="s">
        <v>59</v>
      </c>
      <c r="BZ14" s="106" t="s">
        <v>60</v>
      </c>
      <c r="CA14" s="106" t="s">
        <v>61</v>
      </c>
      <c r="CB14" s="106" t="s">
        <v>62</v>
      </c>
      <c r="CC14" s="106" t="s">
        <v>63</v>
      </c>
      <c r="CD14" s="106" t="s">
        <v>64</v>
      </c>
      <c r="CE14" s="106" t="s">
        <v>56</v>
      </c>
      <c r="CF14" s="106" t="s">
        <v>57</v>
      </c>
      <c r="CG14" s="106" t="s">
        <v>58</v>
      </c>
      <c r="CH14" s="106" t="s">
        <v>59</v>
      </c>
      <c r="CI14" s="106" t="s">
        <v>60</v>
      </c>
      <c r="CJ14" s="106" t="s">
        <v>61</v>
      </c>
      <c r="CK14" s="106" t="s">
        <v>62</v>
      </c>
      <c r="CL14" s="106" t="s">
        <v>63</v>
      </c>
      <c r="CM14" s="106" t="s">
        <v>64</v>
      </c>
      <c r="CN14" s="106" t="s">
        <v>56</v>
      </c>
      <c r="CO14" s="106" t="s">
        <v>57</v>
      </c>
      <c r="CP14" s="106" t="s">
        <v>58</v>
      </c>
      <c r="CQ14" s="106" t="s">
        <v>59</v>
      </c>
      <c r="CR14" s="106" t="s">
        <v>60</v>
      </c>
      <c r="CS14" s="106" t="s">
        <v>61</v>
      </c>
      <c r="CT14" s="106" t="s">
        <v>62</v>
      </c>
      <c r="CU14" s="106" t="s">
        <v>63</v>
      </c>
      <c r="CV14" s="106" t="s">
        <v>64</v>
      </c>
      <c r="CW14" s="106" t="s">
        <v>56</v>
      </c>
      <c r="CX14" s="106" t="s">
        <v>57</v>
      </c>
      <c r="CY14" s="106" t="s">
        <v>58</v>
      </c>
      <c r="CZ14" s="106" t="s">
        <v>59</v>
      </c>
      <c r="DA14" s="106" t="s">
        <v>60</v>
      </c>
      <c r="DB14" s="106" t="s">
        <v>61</v>
      </c>
      <c r="DC14" s="106" t="s">
        <v>62</v>
      </c>
      <c r="DD14" s="106" t="s">
        <v>63</v>
      </c>
      <c r="DE14" s="106" t="s">
        <v>64</v>
      </c>
      <c r="DF14" s="106" t="s">
        <v>56</v>
      </c>
      <c r="DG14" s="106" t="s">
        <v>57</v>
      </c>
      <c r="DH14" s="106" t="s">
        <v>58</v>
      </c>
      <c r="DI14" s="106" t="s">
        <v>59</v>
      </c>
      <c r="DJ14" s="106" t="s">
        <v>60</v>
      </c>
      <c r="DK14" s="106" t="s">
        <v>61</v>
      </c>
      <c r="DL14" s="106" t="s">
        <v>62</v>
      </c>
      <c r="DM14" s="106" t="s">
        <v>63</v>
      </c>
      <c r="DN14" s="106" t="s">
        <v>64</v>
      </c>
      <c r="DO14" s="778"/>
      <c r="DP14" s="778"/>
    </row>
    <row r="15" spans="2:120" ht="208.5" hidden="1" customHeight="1">
      <c r="B15" s="785" t="s">
        <v>121</v>
      </c>
      <c r="C15" s="785" t="s">
        <v>122</v>
      </c>
      <c r="D15" s="787" t="s">
        <v>73</v>
      </c>
      <c r="E15" s="788"/>
      <c r="F15" s="785" t="s">
        <v>16</v>
      </c>
      <c r="G15" s="785">
        <v>350</v>
      </c>
      <c r="H15" s="785" t="s">
        <v>123</v>
      </c>
      <c r="I15" s="787">
        <v>350</v>
      </c>
      <c r="J15" s="107" t="s">
        <v>65</v>
      </c>
      <c r="K15" s="794">
        <v>350</v>
      </c>
      <c r="L15" s="792"/>
      <c r="M15" s="792"/>
      <c r="N15" s="792"/>
      <c r="O15" s="792"/>
      <c r="P15" s="792"/>
      <c r="Q15" s="792"/>
      <c r="R15" s="793"/>
      <c r="S15" s="108">
        <f>SUM(K15)</f>
        <v>350</v>
      </c>
      <c r="T15" s="794"/>
      <c r="U15" s="792"/>
      <c r="V15" s="792"/>
      <c r="W15" s="792"/>
      <c r="X15" s="792"/>
      <c r="Y15" s="792"/>
      <c r="Z15" s="792"/>
      <c r="AA15" s="793"/>
      <c r="AB15" s="108">
        <f>SUM(T15)</f>
        <v>0</v>
      </c>
      <c r="AC15" s="794"/>
      <c r="AD15" s="792"/>
      <c r="AE15" s="792"/>
      <c r="AF15" s="792"/>
      <c r="AG15" s="792"/>
      <c r="AH15" s="792"/>
      <c r="AI15" s="792"/>
      <c r="AJ15" s="793"/>
      <c r="AK15" s="108">
        <f>SUM(AC15)</f>
        <v>0</v>
      </c>
      <c r="AL15" s="791"/>
      <c r="AM15" s="792"/>
      <c r="AN15" s="792"/>
      <c r="AO15" s="792"/>
      <c r="AP15" s="792"/>
      <c r="AQ15" s="792"/>
      <c r="AR15" s="792"/>
      <c r="AS15" s="793"/>
      <c r="AT15" s="108">
        <f>SUM(AL15)</f>
        <v>0</v>
      </c>
      <c r="AU15" s="791"/>
      <c r="AV15" s="792"/>
      <c r="AW15" s="792"/>
      <c r="AX15" s="792"/>
      <c r="AY15" s="792"/>
      <c r="AZ15" s="792"/>
      <c r="BA15" s="792"/>
      <c r="BB15" s="793"/>
      <c r="BC15" s="108">
        <f>SUM(AU15)</f>
        <v>0</v>
      </c>
      <c r="BD15" s="791"/>
      <c r="BE15" s="792"/>
      <c r="BF15" s="792"/>
      <c r="BG15" s="792"/>
      <c r="BH15" s="792"/>
      <c r="BI15" s="792"/>
      <c r="BJ15" s="792"/>
      <c r="BK15" s="793"/>
      <c r="BL15" s="108">
        <f>SUM(BD15)</f>
        <v>0</v>
      </c>
      <c r="BM15" s="791"/>
      <c r="BN15" s="792"/>
      <c r="BO15" s="792"/>
      <c r="BP15" s="792"/>
      <c r="BQ15" s="792"/>
      <c r="BR15" s="792"/>
      <c r="BS15" s="792"/>
      <c r="BT15" s="793"/>
      <c r="BU15" s="108">
        <f>SUM(BM15)</f>
        <v>0</v>
      </c>
      <c r="BV15" s="791"/>
      <c r="BW15" s="792"/>
      <c r="BX15" s="792"/>
      <c r="BY15" s="792"/>
      <c r="BZ15" s="792"/>
      <c r="CA15" s="792"/>
      <c r="CB15" s="792"/>
      <c r="CC15" s="793"/>
      <c r="CD15" s="108">
        <f>SUM(BV15)</f>
        <v>0</v>
      </c>
      <c r="CE15" s="791"/>
      <c r="CF15" s="792"/>
      <c r="CG15" s="792"/>
      <c r="CH15" s="792"/>
      <c r="CI15" s="792"/>
      <c r="CJ15" s="792"/>
      <c r="CK15" s="792"/>
      <c r="CL15" s="793"/>
      <c r="CM15" s="108">
        <f>SUM(CE15)</f>
        <v>0</v>
      </c>
      <c r="CN15" s="791"/>
      <c r="CO15" s="792"/>
      <c r="CP15" s="792"/>
      <c r="CQ15" s="792"/>
      <c r="CR15" s="792"/>
      <c r="CS15" s="792"/>
      <c r="CT15" s="792"/>
      <c r="CU15" s="793"/>
      <c r="CV15" s="108">
        <f>SUM(CN15)</f>
        <v>0</v>
      </c>
      <c r="CW15" s="797"/>
      <c r="CX15" s="798"/>
      <c r="CY15" s="798"/>
      <c r="CZ15" s="798"/>
      <c r="DA15" s="798"/>
      <c r="DB15" s="798"/>
      <c r="DC15" s="798"/>
      <c r="DD15" s="799"/>
      <c r="DE15" s="223">
        <f>SUM(CW15)</f>
        <v>0</v>
      </c>
      <c r="DF15" s="791"/>
      <c r="DG15" s="792"/>
      <c r="DH15" s="792"/>
      <c r="DI15" s="792"/>
      <c r="DJ15" s="792"/>
      <c r="DK15" s="792"/>
      <c r="DL15" s="792"/>
      <c r="DM15" s="793"/>
      <c r="DN15" s="108">
        <f>SUM(DF15)</f>
        <v>0</v>
      </c>
      <c r="DO15" s="109" t="e">
        <f>SUM(#REF!,DN15,CV15,CM15,CD15,BU15,BL15,BC15,AT15,AK15,AB15,S15)</f>
        <v>#REF!</v>
      </c>
      <c r="DP15" s="110"/>
    </row>
    <row r="16" spans="2:120" ht="219.75" customHeight="1">
      <c r="B16" s="786"/>
      <c r="C16" s="786"/>
      <c r="D16" s="789"/>
      <c r="E16" s="790"/>
      <c r="F16" s="786"/>
      <c r="G16" s="786"/>
      <c r="H16" s="786"/>
      <c r="I16" s="789"/>
      <c r="J16" s="111" t="s">
        <v>66</v>
      </c>
      <c r="K16" s="112">
        <v>30</v>
      </c>
      <c r="L16" s="108">
        <v>20</v>
      </c>
      <c r="M16" s="108">
        <v>20</v>
      </c>
      <c r="N16" s="108">
        <v>20</v>
      </c>
      <c r="O16" s="108">
        <v>0</v>
      </c>
      <c r="P16" s="108">
        <v>0</v>
      </c>
      <c r="Q16" s="108">
        <v>0</v>
      </c>
      <c r="R16" s="108">
        <v>0</v>
      </c>
      <c r="S16" s="113">
        <f>SUM(K16:R16)</f>
        <v>90</v>
      </c>
      <c r="T16" s="108">
        <v>5</v>
      </c>
      <c r="U16" s="108">
        <v>8</v>
      </c>
      <c r="V16" s="108">
        <v>5</v>
      </c>
      <c r="W16" s="108">
        <v>0</v>
      </c>
      <c r="X16" s="108">
        <v>0</v>
      </c>
      <c r="Y16" s="108">
        <v>0</v>
      </c>
      <c r="Z16" s="108">
        <v>0</v>
      </c>
      <c r="AA16" s="108">
        <v>0</v>
      </c>
      <c r="AB16" s="113">
        <f>SUM(T16:AA16)</f>
        <v>18</v>
      </c>
      <c r="AC16" s="114">
        <v>15</v>
      </c>
      <c r="AD16" s="114">
        <v>12</v>
      </c>
      <c r="AE16" s="114">
        <v>10</v>
      </c>
      <c r="AF16" s="114">
        <v>10</v>
      </c>
      <c r="AG16" s="114">
        <v>0</v>
      </c>
      <c r="AH16" s="114">
        <v>0</v>
      </c>
      <c r="AI16" s="114">
        <v>0</v>
      </c>
      <c r="AJ16" s="114">
        <v>0</v>
      </c>
      <c r="AK16" s="113">
        <f>SUM(AC16:AJ16)</f>
        <v>47</v>
      </c>
      <c r="AL16" s="108">
        <v>17</v>
      </c>
      <c r="AM16" s="108">
        <v>15</v>
      </c>
      <c r="AN16" s="108">
        <v>8</v>
      </c>
      <c r="AO16" s="108">
        <v>6</v>
      </c>
      <c r="AP16" s="108">
        <v>0</v>
      </c>
      <c r="AQ16" s="108">
        <v>0</v>
      </c>
      <c r="AR16" s="108">
        <v>0</v>
      </c>
      <c r="AS16" s="108">
        <v>0</v>
      </c>
      <c r="AT16" s="108">
        <f>SUM(AL16:AS16)</f>
        <v>46</v>
      </c>
      <c r="AU16" s="108">
        <v>25</v>
      </c>
      <c r="AV16" s="108">
        <v>17</v>
      </c>
      <c r="AW16" s="108">
        <v>11</v>
      </c>
      <c r="AX16" s="108">
        <v>17</v>
      </c>
      <c r="AY16" s="108">
        <v>0</v>
      </c>
      <c r="AZ16" s="108">
        <v>0</v>
      </c>
      <c r="BA16" s="108">
        <v>0</v>
      </c>
      <c r="BB16" s="108">
        <v>0</v>
      </c>
      <c r="BC16" s="108">
        <f>SUM(AU16:BB16)</f>
        <v>70</v>
      </c>
      <c r="BD16" s="108">
        <v>0</v>
      </c>
      <c r="BE16" s="108">
        <v>0</v>
      </c>
      <c r="BF16" s="108">
        <v>0</v>
      </c>
      <c r="BG16" s="108">
        <v>0</v>
      </c>
      <c r="BH16" s="108">
        <v>0</v>
      </c>
      <c r="BI16" s="108">
        <v>0</v>
      </c>
      <c r="BJ16" s="108">
        <v>0</v>
      </c>
      <c r="BK16" s="108">
        <v>0</v>
      </c>
      <c r="BL16" s="108">
        <f>SUM(BD16:BK16)</f>
        <v>0</v>
      </c>
      <c r="BM16" s="108">
        <v>3</v>
      </c>
      <c r="BN16" s="108">
        <v>5</v>
      </c>
      <c r="BO16" s="108">
        <v>5</v>
      </c>
      <c r="BP16" s="108">
        <v>5</v>
      </c>
      <c r="BQ16" s="108">
        <v>0</v>
      </c>
      <c r="BR16" s="108">
        <v>0</v>
      </c>
      <c r="BS16" s="108">
        <v>0</v>
      </c>
      <c r="BT16" s="108">
        <v>0</v>
      </c>
      <c r="BU16" s="108">
        <f>SUM(BM16:BT16)</f>
        <v>18</v>
      </c>
      <c r="BV16" s="108">
        <v>1</v>
      </c>
      <c r="BW16" s="108">
        <v>4</v>
      </c>
      <c r="BX16" s="108">
        <v>1</v>
      </c>
      <c r="BY16" s="108">
        <v>1</v>
      </c>
      <c r="BZ16" s="108">
        <v>0</v>
      </c>
      <c r="CA16" s="108">
        <v>0</v>
      </c>
      <c r="CB16" s="108">
        <v>0</v>
      </c>
      <c r="CC16" s="108">
        <v>0</v>
      </c>
      <c r="CD16" s="108">
        <f>SUM(BV16:CC16)</f>
        <v>7</v>
      </c>
      <c r="CE16" s="108">
        <v>4</v>
      </c>
      <c r="CF16" s="108">
        <v>7</v>
      </c>
      <c r="CG16" s="108">
        <v>12</v>
      </c>
      <c r="CH16" s="108">
        <v>6</v>
      </c>
      <c r="CI16" s="108">
        <v>0</v>
      </c>
      <c r="CJ16" s="108">
        <v>0</v>
      </c>
      <c r="CK16" s="108">
        <v>0</v>
      </c>
      <c r="CL16" s="108">
        <v>0</v>
      </c>
      <c r="CM16" s="108">
        <f>SUM(CE16:CL16)</f>
        <v>29</v>
      </c>
      <c r="CN16" s="108">
        <v>1</v>
      </c>
      <c r="CO16" s="108">
        <v>3</v>
      </c>
      <c r="CP16" s="108">
        <v>3</v>
      </c>
      <c r="CQ16" s="108">
        <v>2</v>
      </c>
      <c r="CR16" s="108">
        <v>0</v>
      </c>
      <c r="CS16" s="108">
        <v>1</v>
      </c>
      <c r="CT16" s="108">
        <v>0</v>
      </c>
      <c r="CU16" s="108">
        <v>0</v>
      </c>
      <c r="CV16" s="108">
        <f>SUM(CN16:CU16)</f>
        <v>10</v>
      </c>
      <c r="CW16" s="223">
        <v>2</v>
      </c>
      <c r="CX16" s="223">
        <v>3</v>
      </c>
      <c r="CY16" s="223">
        <v>2</v>
      </c>
      <c r="CZ16" s="223">
        <v>2</v>
      </c>
      <c r="DA16" s="223">
        <v>0</v>
      </c>
      <c r="DB16" s="223">
        <v>0</v>
      </c>
      <c r="DC16" s="223">
        <v>0</v>
      </c>
      <c r="DD16" s="223">
        <v>0</v>
      </c>
      <c r="DE16" s="223">
        <f>SUM(CW16:DD16)</f>
        <v>9</v>
      </c>
      <c r="DF16" s="108">
        <v>0</v>
      </c>
      <c r="DG16" s="108">
        <v>0</v>
      </c>
      <c r="DH16" s="108">
        <v>0</v>
      </c>
      <c r="DI16" s="108">
        <v>0</v>
      </c>
      <c r="DJ16" s="108">
        <v>0</v>
      </c>
      <c r="DK16" s="108">
        <v>0</v>
      </c>
      <c r="DL16" s="108">
        <v>0</v>
      </c>
      <c r="DM16" s="108">
        <v>0</v>
      </c>
      <c r="DN16" s="108">
        <f>SUM(DF16:DM16)</f>
        <v>0</v>
      </c>
      <c r="DO16" s="109">
        <f>S16++AB16+AK16+AT16+BC16+BL16+BU16+CD16+CM16+CV16+DE16+DN16</f>
        <v>344</v>
      </c>
      <c r="DP16" s="110"/>
    </row>
    <row r="17" spans="2:120" ht="208.5" hidden="1" customHeight="1">
      <c r="B17" s="785" t="s">
        <v>121</v>
      </c>
      <c r="C17" s="785" t="s">
        <v>122</v>
      </c>
      <c r="D17" s="787" t="s">
        <v>73</v>
      </c>
      <c r="E17" s="788"/>
      <c r="F17" s="785" t="s">
        <v>16</v>
      </c>
      <c r="G17" s="785" t="s">
        <v>0</v>
      </c>
      <c r="H17" s="785" t="s">
        <v>124</v>
      </c>
      <c r="I17" s="787">
        <v>20</v>
      </c>
      <c r="J17" s="107" t="s">
        <v>65</v>
      </c>
      <c r="K17" s="794">
        <v>0</v>
      </c>
      <c r="L17" s="792"/>
      <c r="M17" s="792"/>
      <c r="N17" s="792"/>
      <c r="O17" s="792"/>
      <c r="P17" s="792"/>
      <c r="Q17" s="792"/>
      <c r="R17" s="793"/>
      <c r="S17" s="108">
        <f>SUM(K17)</f>
        <v>0</v>
      </c>
      <c r="T17" s="794">
        <v>5</v>
      </c>
      <c r="U17" s="792"/>
      <c r="V17" s="792"/>
      <c r="W17" s="792"/>
      <c r="X17" s="792"/>
      <c r="Y17" s="792"/>
      <c r="Z17" s="792"/>
      <c r="AA17" s="793"/>
      <c r="AB17" s="108">
        <f>SUM(T17)</f>
        <v>5</v>
      </c>
      <c r="AC17" s="794">
        <v>10</v>
      </c>
      <c r="AD17" s="792"/>
      <c r="AE17" s="792"/>
      <c r="AF17" s="792"/>
      <c r="AG17" s="792"/>
      <c r="AH17" s="792"/>
      <c r="AI17" s="792"/>
      <c r="AJ17" s="793"/>
      <c r="AK17" s="108">
        <f>SUM(AC17)</f>
        <v>10</v>
      </c>
      <c r="AL17" s="791">
        <v>5</v>
      </c>
      <c r="AM17" s="792"/>
      <c r="AN17" s="792"/>
      <c r="AO17" s="792"/>
      <c r="AP17" s="792"/>
      <c r="AQ17" s="792"/>
      <c r="AR17" s="792"/>
      <c r="AS17" s="793"/>
      <c r="AT17" s="108">
        <f>SUM(AL17)</f>
        <v>5</v>
      </c>
      <c r="AU17" s="791"/>
      <c r="AV17" s="792"/>
      <c r="AW17" s="792"/>
      <c r="AX17" s="792"/>
      <c r="AY17" s="792"/>
      <c r="AZ17" s="792"/>
      <c r="BA17" s="792"/>
      <c r="BB17" s="793"/>
      <c r="BC17" s="108">
        <f>SUM(AU17)</f>
        <v>0</v>
      </c>
      <c r="BD17" s="791"/>
      <c r="BE17" s="792"/>
      <c r="BF17" s="792"/>
      <c r="BG17" s="792"/>
      <c r="BH17" s="792"/>
      <c r="BI17" s="792"/>
      <c r="BJ17" s="792"/>
      <c r="BK17" s="793"/>
      <c r="BL17" s="108">
        <f>SUM(BD17)</f>
        <v>0</v>
      </c>
      <c r="BM17" s="791"/>
      <c r="BN17" s="792"/>
      <c r="BO17" s="792"/>
      <c r="BP17" s="792"/>
      <c r="BQ17" s="792"/>
      <c r="BR17" s="792"/>
      <c r="BS17" s="792"/>
      <c r="BT17" s="793"/>
      <c r="BU17" s="108">
        <f>SUM(BM17)</f>
        <v>0</v>
      </c>
      <c r="BV17" s="791"/>
      <c r="BW17" s="792"/>
      <c r="BX17" s="792"/>
      <c r="BY17" s="792"/>
      <c r="BZ17" s="792"/>
      <c r="CA17" s="792"/>
      <c r="CB17" s="792"/>
      <c r="CC17" s="793"/>
      <c r="CD17" s="108">
        <f>SUM(BV17)</f>
        <v>0</v>
      </c>
      <c r="CE17" s="791"/>
      <c r="CF17" s="792"/>
      <c r="CG17" s="792"/>
      <c r="CH17" s="792"/>
      <c r="CI17" s="792"/>
      <c r="CJ17" s="792"/>
      <c r="CK17" s="792"/>
      <c r="CL17" s="793"/>
      <c r="CM17" s="108">
        <f t="shared" ref="CM17:CM69" si="0">SUM(CE17:CL17)</f>
        <v>0</v>
      </c>
      <c r="CN17" s="791"/>
      <c r="CO17" s="792"/>
      <c r="CP17" s="792"/>
      <c r="CQ17" s="792"/>
      <c r="CR17" s="792"/>
      <c r="CS17" s="792"/>
      <c r="CT17" s="792"/>
      <c r="CU17" s="793"/>
      <c r="CV17" s="108">
        <f>SUM(CN17)</f>
        <v>0</v>
      </c>
      <c r="CW17" s="797"/>
      <c r="CX17" s="798"/>
      <c r="CY17" s="798"/>
      <c r="CZ17" s="798"/>
      <c r="DA17" s="798"/>
      <c r="DB17" s="798"/>
      <c r="DC17" s="798"/>
      <c r="DD17" s="799"/>
      <c r="DE17" s="223">
        <f>SUM(CW17)</f>
        <v>0</v>
      </c>
      <c r="DF17" s="791"/>
      <c r="DG17" s="792"/>
      <c r="DH17" s="792"/>
      <c r="DI17" s="792"/>
      <c r="DJ17" s="792"/>
      <c r="DK17" s="792"/>
      <c r="DL17" s="792"/>
      <c r="DM17" s="793"/>
      <c r="DN17" s="108">
        <f>SUM(DF17)</f>
        <v>0</v>
      </c>
      <c r="DO17" s="109">
        <f t="shared" ref="DO17:DO69" si="1">S17++AB17+AK17+AT17+BC17+BL17+BU17+CD17+CM17+CV17+DE17+DN17</f>
        <v>20</v>
      </c>
      <c r="DP17" s="110"/>
    </row>
    <row r="18" spans="2:120" ht="287.25" customHeight="1">
      <c r="B18" s="786"/>
      <c r="C18" s="786"/>
      <c r="D18" s="789"/>
      <c r="E18" s="790"/>
      <c r="F18" s="786"/>
      <c r="G18" s="786"/>
      <c r="H18" s="786"/>
      <c r="I18" s="789"/>
      <c r="J18" s="111" t="s">
        <v>66</v>
      </c>
      <c r="K18" s="112"/>
      <c r="L18" s="108"/>
      <c r="M18" s="108"/>
      <c r="N18" s="108"/>
      <c r="O18" s="108"/>
      <c r="P18" s="108"/>
      <c r="Q18" s="108"/>
      <c r="R18" s="108"/>
      <c r="S18" s="113">
        <f>SUM(K18:R18)</f>
        <v>0</v>
      </c>
      <c r="T18" s="108"/>
      <c r="U18" s="108"/>
      <c r="V18" s="108"/>
      <c r="W18" s="108"/>
      <c r="X18" s="108"/>
      <c r="Y18" s="108"/>
      <c r="Z18" s="108"/>
      <c r="AA18" s="108"/>
      <c r="AB18" s="113">
        <f>SUM(T18:AA18)</f>
        <v>0</v>
      </c>
      <c r="AC18" s="114"/>
      <c r="AD18" s="114"/>
      <c r="AE18" s="114"/>
      <c r="AF18" s="114"/>
      <c r="AG18" s="114"/>
      <c r="AH18" s="114"/>
      <c r="AI18" s="114"/>
      <c r="AJ18" s="114"/>
      <c r="AK18" s="113">
        <f>SUM(AC18:AJ18)</f>
        <v>0</v>
      </c>
      <c r="AL18" s="108">
        <v>0</v>
      </c>
      <c r="AM18" s="108">
        <v>0</v>
      </c>
      <c r="AN18" s="108">
        <v>0</v>
      </c>
      <c r="AO18" s="108">
        <v>0</v>
      </c>
      <c r="AP18" s="108">
        <v>0</v>
      </c>
      <c r="AQ18" s="108">
        <v>0</v>
      </c>
      <c r="AR18" s="108">
        <v>0</v>
      </c>
      <c r="AS18" s="108">
        <v>0</v>
      </c>
      <c r="AT18" s="108">
        <f>SUM(AL18:AS18)</f>
        <v>0</v>
      </c>
      <c r="AU18" s="108">
        <v>0</v>
      </c>
      <c r="AV18" s="108">
        <v>0</v>
      </c>
      <c r="AW18" s="108">
        <v>0</v>
      </c>
      <c r="AX18" s="108">
        <v>0</v>
      </c>
      <c r="AY18" s="108">
        <v>0</v>
      </c>
      <c r="AZ18" s="108">
        <v>0</v>
      </c>
      <c r="BA18" s="108">
        <v>0</v>
      </c>
      <c r="BB18" s="108">
        <v>0</v>
      </c>
      <c r="BC18" s="108">
        <f>SUM(AU18:BB18)</f>
        <v>0</v>
      </c>
      <c r="BD18" s="108">
        <v>0</v>
      </c>
      <c r="BE18" s="108">
        <v>0</v>
      </c>
      <c r="BF18" s="108">
        <v>0</v>
      </c>
      <c r="BG18" s="108">
        <v>0</v>
      </c>
      <c r="BH18" s="108">
        <v>0</v>
      </c>
      <c r="BI18" s="108">
        <v>0</v>
      </c>
      <c r="BJ18" s="108">
        <v>0</v>
      </c>
      <c r="BK18" s="108">
        <v>0</v>
      </c>
      <c r="BL18" s="108">
        <f>SUM(BD18:BK18)</f>
        <v>0</v>
      </c>
      <c r="BM18" s="108">
        <v>0</v>
      </c>
      <c r="BN18" s="108">
        <v>0</v>
      </c>
      <c r="BO18" s="108">
        <v>0</v>
      </c>
      <c r="BP18" s="108">
        <v>0</v>
      </c>
      <c r="BQ18" s="108">
        <v>0</v>
      </c>
      <c r="BR18" s="108">
        <v>0</v>
      </c>
      <c r="BS18" s="108">
        <v>0</v>
      </c>
      <c r="BT18" s="108">
        <v>0</v>
      </c>
      <c r="BU18" s="108">
        <f>SUM(BM18:BT18)</f>
        <v>0</v>
      </c>
      <c r="BV18" s="108">
        <v>0</v>
      </c>
      <c r="BW18" s="108">
        <v>0</v>
      </c>
      <c r="BX18" s="108">
        <v>0</v>
      </c>
      <c r="BY18" s="108">
        <v>0</v>
      </c>
      <c r="BZ18" s="108">
        <v>0</v>
      </c>
      <c r="CA18" s="108">
        <v>0</v>
      </c>
      <c r="CB18" s="108">
        <v>0</v>
      </c>
      <c r="CC18" s="108">
        <v>0</v>
      </c>
      <c r="CD18" s="108">
        <f>SUM(BV18:CC18)</f>
        <v>0</v>
      </c>
      <c r="CE18" s="108">
        <v>0</v>
      </c>
      <c r="CF18" s="108">
        <v>0</v>
      </c>
      <c r="CG18" s="108">
        <v>0</v>
      </c>
      <c r="CH18" s="108">
        <v>0</v>
      </c>
      <c r="CI18" s="108">
        <v>0</v>
      </c>
      <c r="CJ18" s="108">
        <v>0</v>
      </c>
      <c r="CK18" s="108">
        <v>0</v>
      </c>
      <c r="CL18" s="108">
        <v>0</v>
      </c>
      <c r="CM18" s="108">
        <f t="shared" si="0"/>
        <v>0</v>
      </c>
      <c r="CN18" s="108">
        <v>0</v>
      </c>
      <c r="CO18" s="108">
        <v>0</v>
      </c>
      <c r="CP18" s="108">
        <v>0</v>
      </c>
      <c r="CQ18" s="108">
        <v>0</v>
      </c>
      <c r="CR18" s="108">
        <v>0</v>
      </c>
      <c r="CS18" s="108">
        <v>0</v>
      </c>
      <c r="CT18" s="108">
        <v>0</v>
      </c>
      <c r="CU18" s="108">
        <v>0</v>
      </c>
      <c r="CV18" s="108">
        <f>SUM(CN18:CU18)</f>
        <v>0</v>
      </c>
      <c r="CW18" s="223">
        <v>0</v>
      </c>
      <c r="CX18" s="223">
        <v>0</v>
      </c>
      <c r="CY18" s="223">
        <v>0</v>
      </c>
      <c r="CZ18" s="223">
        <v>0</v>
      </c>
      <c r="DA18" s="223">
        <v>0</v>
      </c>
      <c r="DB18" s="223">
        <v>0</v>
      </c>
      <c r="DC18" s="223">
        <v>0</v>
      </c>
      <c r="DD18" s="223">
        <v>0</v>
      </c>
      <c r="DE18" s="223">
        <f>SUM(CW18:DD18)</f>
        <v>0</v>
      </c>
      <c r="DF18" s="108">
        <v>0</v>
      </c>
      <c r="DG18" s="108">
        <v>0</v>
      </c>
      <c r="DH18" s="108">
        <v>0</v>
      </c>
      <c r="DI18" s="108">
        <v>0</v>
      </c>
      <c r="DJ18" s="108">
        <v>0</v>
      </c>
      <c r="DK18" s="108">
        <v>0</v>
      </c>
      <c r="DL18" s="108">
        <v>0</v>
      </c>
      <c r="DM18" s="108">
        <v>0</v>
      </c>
      <c r="DN18" s="108">
        <f>SUM(DF18:DM18)</f>
        <v>0</v>
      </c>
      <c r="DO18" s="109">
        <f t="shared" si="1"/>
        <v>0</v>
      </c>
      <c r="DP18" s="110"/>
    </row>
    <row r="19" spans="2:120" ht="287.25" hidden="1" customHeight="1">
      <c r="B19" s="785" t="s">
        <v>67</v>
      </c>
      <c r="C19" s="785" t="s">
        <v>125</v>
      </c>
      <c r="D19" s="787" t="s">
        <v>73</v>
      </c>
      <c r="E19" s="788"/>
      <c r="F19" s="785" t="s">
        <v>14</v>
      </c>
      <c r="G19" s="785">
        <v>800</v>
      </c>
      <c r="H19" s="785" t="s">
        <v>126</v>
      </c>
      <c r="I19" s="787">
        <v>800</v>
      </c>
      <c r="J19" s="107" t="s">
        <v>65</v>
      </c>
      <c r="K19" s="794">
        <v>800</v>
      </c>
      <c r="L19" s="792"/>
      <c r="M19" s="792"/>
      <c r="N19" s="792"/>
      <c r="O19" s="792"/>
      <c r="P19" s="792"/>
      <c r="Q19" s="792"/>
      <c r="R19" s="793"/>
      <c r="S19" s="113">
        <f>SUM(K19)</f>
        <v>800</v>
      </c>
      <c r="T19" s="794"/>
      <c r="U19" s="792"/>
      <c r="V19" s="792"/>
      <c r="W19" s="792"/>
      <c r="X19" s="792"/>
      <c r="Y19" s="792"/>
      <c r="Z19" s="792"/>
      <c r="AA19" s="793"/>
      <c r="AB19" s="113">
        <f>SUM(T19)</f>
        <v>0</v>
      </c>
      <c r="AC19" s="794"/>
      <c r="AD19" s="792"/>
      <c r="AE19" s="792"/>
      <c r="AF19" s="792"/>
      <c r="AG19" s="792"/>
      <c r="AH19" s="792"/>
      <c r="AI19" s="792"/>
      <c r="AJ19" s="793"/>
      <c r="AK19" s="113">
        <f>SUM(AC19)</f>
        <v>0</v>
      </c>
      <c r="AL19" s="791"/>
      <c r="AM19" s="792"/>
      <c r="AN19" s="792"/>
      <c r="AO19" s="792"/>
      <c r="AP19" s="792"/>
      <c r="AQ19" s="792"/>
      <c r="AR19" s="792"/>
      <c r="AS19" s="793"/>
      <c r="AT19" s="108">
        <f>SUM(AL19)</f>
        <v>0</v>
      </c>
      <c r="AU19" s="791"/>
      <c r="AV19" s="792"/>
      <c r="AW19" s="792"/>
      <c r="AX19" s="792"/>
      <c r="AY19" s="792"/>
      <c r="AZ19" s="792"/>
      <c r="BA19" s="792"/>
      <c r="BB19" s="793"/>
      <c r="BC19" s="108">
        <f>SUM(AU19)</f>
        <v>0</v>
      </c>
      <c r="BD19" s="791"/>
      <c r="BE19" s="792"/>
      <c r="BF19" s="792"/>
      <c r="BG19" s="792"/>
      <c r="BH19" s="792"/>
      <c r="BI19" s="792"/>
      <c r="BJ19" s="792"/>
      <c r="BK19" s="793"/>
      <c r="BL19" s="108">
        <f>SUM(BD19)</f>
        <v>0</v>
      </c>
      <c r="BM19" s="791"/>
      <c r="BN19" s="792"/>
      <c r="BO19" s="792"/>
      <c r="BP19" s="792"/>
      <c r="BQ19" s="792"/>
      <c r="BR19" s="792"/>
      <c r="BS19" s="792"/>
      <c r="BT19" s="793"/>
      <c r="BU19" s="108">
        <f>SUM(BM19)</f>
        <v>0</v>
      </c>
      <c r="BV19" s="791"/>
      <c r="BW19" s="792"/>
      <c r="BX19" s="792"/>
      <c r="BY19" s="792"/>
      <c r="BZ19" s="792"/>
      <c r="CA19" s="792"/>
      <c r="CB19" s="792"/>
      <c r="CC19" s="793"/>
      <c r="CD19" s="108">
        <f>SUM(BV19)</f>
        <v>0</v>
      </c>
      <c r="CE19" s="791"/>
      <c r="CF19" s="792"/>
      <c r="CG19" s="792"/>
      <c r="CH19" s="792"/>
      <c r="CI19" s="792"/>
      <c r="CJ19" s="792"/>
      <c r="CK19" s="792"/>
      <c r="CL19" s="793"/>
      <c r="CM19" s="108">
        <f t="shared" si="0"/>
        <v>0</v>
      </c>
      <c r="CN19" s="791"/>
      <c r="CO19" s="792"/>
      <c r="CP19" s="792"/>
      <c r="CQ19" s="792"/>
      <c r="CR19" s="792"/>
      <c r="CS19" s="792"/>
      <c r="CT19" s="792"/>
      <c r="CU19" s="793"/>
      <c r="CV19" s="108">
        <f>SUM(CN19)</f>
        <v>0</v>
      </c>
      <c r="CW19" s="797"/>
      <c r="CX19" s="798"/>
      <c r="CY19" s="798"/>
      <c r="CZ19" s="798"/>
      <c r="DA19" s="798"/>
      <c r="DB19" s="798"/>
      <c r="DC19" s="798"/>
      <c r="DD19" s="799"/>
      <c r="DE19" s="223">
        <f>SUM(CW19)</f>
        <v>0</v>
      </c>
      <c r="DF19" s="791"/>
      <c r="DG19" s="792"/>
      <c r="DH19" s="792"/>
      <c r="DI19" s="792"/>
      <c r="DJ19" s="792"/>
      <c r="DK19" s="792"/>
      <c r="DL19" s="792"/>
      <c r="DM19" s="793"/>
      <c r="DN19" s="108">
        <f>SUM(DF19)</f>
        <v>0</v>
      </c>
      <c r="DO19" s="109">
        <f t="shared" si="1"/>
        <v>800</v>
      </c>
      <c r="DP19" s="110"/>
    </row>
    <row r="20" spans="2:120" ht="287.25" customHeight="1">
      <c r="B20" s="786"/>
      <c r="C20" s="786"/>
      <c r="D20" s="789"/>
      <c r="E20" s="790"/>
      <c r="F20" s="786"/>
      <c r="G20" s="786"/>
      <c r="H20" s="786"/>
      <c r="I20" s="789"/>
      <c r="J20" s="111" t="s">
        <v>66</v>
      </c>
      <c r="K20" s="112">
        <v>30</v>
      </c>
      <c r="L20" s="108">
        <v>40</v>
      </c>
      <c r="M20" s="108">
        <v>25</v>
      </c>
      <c r="N20" s="108">
        <v>31</v>
      </c>
      <c r="O20" s="108">
        <v>0</v>
      </c>
      <c r="P20" s="108">
        <v>0</v>
      </c>
      <c r="Q20" s="108">
        <v>0</v>
      </c>
      <c r="R20" s="108">
        <v>0</v>
      </c>
      <c r="S20" s="113">
        <f>SUM(K20:R20)</f>
        <v>126</v>
      </c>
      <c r="T20" s="108">
        <v>8</v>
      </c>
      <c r="U20" s="108">
        <v>7</v>
      </c>
      <c r="V20" s="108">
        <v>12</v>
      </c>
      <c r="W20" s="108">
        <v>10</v>
      </c>
      <c r="X20" s="108">
        <v>0</v>
      </c>
      <c r="Y20" s="108">
        <v>0</v>
      </c>
      <c r="Z20" s="108">
        <v>0</v>
      </c>
      <c r="AA20" s="108">
        <v>0</v>
      </c>
      <c r="AB20" s="113">
        <f>SUM(T20:AA20)</f>
        <v>37</v>
      </c>
      <c r="AC20" s="114">
        <v>12</v>
      </c>
      <c r="AD20" s="114">
        <v>18</v>
      </c>
      <c r="AE20" s="114">
        <v>15</v>
      </c>
      <c r="AF20" s="114">
        <v>12</v>
      </c>
      <c r="AG20" s="114">
        <v>0</v>
      </c>
      <c r="AH20" s="114">
        <v>0</v>
      </c>
      <c r="AI20" s="114">
        <v>0</v>
      </c>
      <c r="AJ20" s="114">
        <v>0</v>
      </c>
      <c r="AK20" s="113">
        <f>SUM(AC20:AJ20)</f>
        <v>57</v>
      </c>
      <c r="AL20" s="108">
        <v>10</v>
      </c>
      <c r="AM20" s="108">
        <v>14</v>
      </c>
      <c r="AN20" s="108">
        <v>5</v>
      </c>
      <c r="AO20" s="108">
        <v>7</v>
      </c>
      <c r="AP20" s="108">
        <v>0</v>
      </c>
      <c r="AQ20" s="108">
        <v>0</v>
      </c>
      <c r="AR20" s="108">
        <v>0</v>
      </c>
      <c r="AS20" s="108">
        <v>0</v>
      </c>
      <c r="AT20" s="115">
        <f>SUM(AL20:AS20)</f>
        <v>36</v>
      </c>
      <c r="AU20" s="108">
        <v>13</v>
      </c>
      <c r="AV20" s="108">
        <v>2</v>
      </c>
      <c r="AW20" s="108">
        <v>4</v>
      </c>
      <c r="AX20" s="108">
        <v>3</v>
      </c>
      <c r="AY20" s="108">
        <v>0</v>
      </c>
      <c r="AZ20" s="108">
        <v>0</v>
      </c>
      <c r="BA20" s="108">
        <v>0</v>
      </c>
      <c r="BB20" s="108">
        <v>0</v>
      </c>
      <c r="BC20" s="115">
        <f>SUM(AU20:BB20)</f>
        <v>22</v>
      </c>
      <c r="BD20" s="108">
        <v>3</v>
      </c>
      <c r="BE20" s="108">
        <v>2</v>
      </c>
      <c r="BF20" s="108">
        <v>11</v>
      </c>
      <c r="BG20" s="108">
        <v>4</v>
      </c>
      <c r="BH20" s="108">
        <v>0</v>
      </c>
      <c r="BI20" s="108">
        <v>0</v>
      </c>
      <c r="BJ20" s="108">
        <v>0</v>
      </c>
      <c r="BK20" s="108">
        <v>0</v>
      </c>
      <c r="BL20" s="115">
        <f>SUM(BD20:BK20)</f>
        <v>20</v>
      </c>
      <c r="BM20" s="108">
        <v>6</v>
      </c>
      <c r="BN20" s="108">
        <v>0</v>
      </c>
      <c r="BO20" s="108">
        <v>3</v>
      </c>
      <c r="BP20" s="108">
        <v>1</v>
      </c>
      <c r="BQ20" s="108">
        <v>2</v>
      </c>
      <c r="BR20" s="108">
        <v>3</v>
      </c>
      <c r="BS20" s="108">
        <v>0</v>
      </c>
      <c r="BT20" s="108">
        <v>0</v>
      </c>
      <c r="BU20" s="115">
        <f>SUM(BM20:BT20)</f>
        <v>15</v>
      </c>
      <c r="BV20" s="108">
        <v>11</v>
      </c>
      <c r="BW20" s="108">
        <v>7</v>
      </c>
      <c r="BX20" s="108">
        <v>19</v>
      </c>
      <c r="BY20" s="108">
        <v>21</v>
      </c>
      <c r="BZ20" s="108">
        <v>0</v>
      </c>
      <c r="CA20" s="108">
        <v>0</v>
      </c>
      <c r="CB20" s="108">
        <v>0</v>
      </c>
      <c r="CC20" s="108">
        <v>0</v>
      </c>
      <c r="CD20" s="108">
        <f>SUM(BV20:CC20)</f>
        <v>58</v>
      </c>
      <c r="CE20" s="108">
        <v>13</v>
      </c>
      <c r="CF20" s="108">
        <v>12</v>
      </c>
      <c r="CG20" s="108">
        <v>15</v>
      </c>
      <c r="CH20" s="108">
        <v>7</v>
      </c>
      <c r="CI20" s="108">
        <v>1</v>
      </c>
      <c r="CJ20" s="108">
        <v>0</v>
      </c>
      <c r="CK20" s="108">
        <v>0</v>
      </c>
      <c r="CL20" s="108">
        <v>0</v>
      </c>
      <c r="CM20" s="108">
        <f t="shared" si="0"/>
        <v>48</v>
      </c>
      <c r="CN20" s="108">
        <v>7</v>
      </c>
      <c r="CO20" s="108">
        <v>4</v>
      </c>
      <c r="CP20" s="108">
        <v>15</v>
      </c>
      <c r="CQ20" s="108">
        <v>9</v>
      </c>
      <c r="CR20" s="108">
        <v>4</v>
      </c>
      <c r="CS20" s="108">
        <v>1</v>
      </c>
      <c r="CT20" s="108">
        <v>0</v>
      </c>
      <c r="CU20" s="108">
        <v>0</v>
      </c>
      <c r="CV20" s="108">
        <f>SUM(CN20:CU20)</f>
        <v>40</v>
      </c>
      <c r="CW20" s="223">
        <v>1</v>
      </c>
      <c r="CX20" s="223">
        <v>2</v>
      </c>
      <c r="CY20" s="223">
        <v>6</v>
      </c>
      <c r="CZ20" s="223">
        <v>12</v>
      </c>
      <c r="DA20" s="223">
        <v>12</v>
      </c>
      <c r="DB20" s="223">
        <v>8</v>
      </c>
      <c r="DC20" s="223">
        <v>0</v>
      </c>
      <c r="DD20" s="223">
        <v>0</v>
      </c>
      <c r="DE20" s="223">
        <f>SUM(CW20:DD20)</f>
        <v>41</v>
      </c>
      <c r="DF20" s="108">
        <v>5</v>
      </c>
      <c r="DG20" s="108">
        <v>4</v>
      </c>
      <c r="DH20" s="108">
        <v>8</v>
      </c>
      <c r="DI20" s="108">
        <v>0</v>
      </c>
      <c r="DJ20" s="108">
        <v>0</v>
      </c>
      <c r="DK20" s="108">
        <v>0</v>
      </c>
      <c r="DL20" s="108">
        <v>2</v>
      </c>
      <c r="DM20" s="108">
        <v>0</v>
      </c>
      <c r="DN20" s="108">
        <f>SUM(DF20:DM20)</f>
        <v>19</v>
      </c>
      <c r="DO20" s="109">
        <f t="shared" si="1"/>
        <v>519</v>
      </c>
      <c r="DP20" s="110"/>
    </row>
    <row r="21" spans="2:120" ht="287.25" hidden="1" customHeight="1">
      <c r="B21" s="795" t="s">
        <v>127</v>
      </c>
      <c r="C21" s="795" t="s">
        <v>128</v>
      </c>
      <c r="D21" s="787" t="s">
        <v>73</v>
      </c>
      <c r="E21" s="788"/>
      <c r="F21" s="785" t="s">
        <v>129</v>
      </c>
      <c r="G21" s="785">
        <v>92</v>
      </c>
      <c r="H21" s="785" t="s">
        <v>130</v>
      </c>
      <c r="I21" s="785">
        <v>92</v>
      </c>
      <c r="J21" s="107" t="s">
        <v>65</v>
      </c>
      <c r="K21" s="794">
        <v>10</v>
      </c>
      <c r="L21" s="792"/>
      <c r="M21" s="792"/>
      <c r="N21" s="792"/>
      <c r="O21" s="792"/>
      <c r="P21" s="792"/>
      <c r="Q21" s="792"/>
      <c r="R21" s="793"/>
      <c r="S21" s="113">
        <f>SUM(K21)</f>
        <v>10</v>
      </c>
      <c r="T21" s="794">
        <v>10</v>
      </c>
      <c r="U21" s="792"/>
      <c r="V21" s="792"/>
      <c r="W21" s="792"/>
      <c r="X21" s="792"/>
      <c r="Y21" s="792"/>
      <c r="Z21" s="792"/>
      <c r="AA21" s="793"/>
      <c r="AB21" s="113">
        <f>SUM(T21)</f>
        <v>10</v>
      </c>
      <c r="AC21" s="794">
        <v>8</v>
      </c>
      <c r="AD21" s="792"/>
      <c r="AE21" s="792"/>
      <c r="AF21" s="792"/>
      <c r="AG21" s="792"/>
      <c r="AH21" s="792"/>
      <c r="AI21" s="792"/>
      <c r="AJ21" s="793"/>
      <c r="AK21" s="113">
        <f>SUM(AC21)</f>
        <v>8</v>
      </c>
      <c r="AL21" s="791">
        <v>10</v>
      </c>
      <c r="AM21" s="792"/>
      <c r="AN21" s="792"/>
      <c r="AO21" s="792"/>
      <c r="AP21" s="792"/>
      <c r="AQ21" s="792"/>
      <c r="AR21" s="792"/>
      <c r="AS21" s="793"/>
      <c r="AT21" s="108">
        <f>SUM(AL21)</f>
        <v>10</v>
      </c>
      <c r="AU21" s="791">
        <v>10</v>
      </c>
      <c r="AV21" s="792"/>
      <c r="AW21" s="792"/>
      <c r="AX21" s="792"/>
      <c r="AY21" s="792"/>
      <c r="AZ21" s="792"/>
      <c r="BA21" s="792"/>
      <c r="BB21" s="793"/>
      <c r="BC21" s="108">
        <f>SUM(AU21)</f>
        <v>10</v>
      </c>
      <c r="BD21" s="791">
        <v>10</v>
      </c>
      <c r="BE21" s="792"/>
      <c r="BF21" s="792"/>
      <c r="BG21" s="792"/>
      <c r="BH21" s="792"/>
      <c r="BI21" s="792"/>
      <c r="BJ21" s="792"/>
      <c r="BK21" s="793"/>
      <c r="BL21" s="108">
        <f>SUM(BD21)</f>
        <v>10</v>
      </c>
      <c r="BM21" s="791">
        <v>10</v>
      </c>
      <c r="BN21" s="792"/>
      <c r="BO21" s="792"/>
      <c r="BP21" s="792"/>
      <c r="BQ21" s="792"/>
      <c r="BR21" s="792"/>
      <c r="BS21" s="792"/>
      <c r="BT21" s="793"/>
      <c r="BU21" s="108">
        <f>SUM(BM21)</f>
        <v>10</v>
      </c>
      <c r="BV21" s="791">
        <v>10</v>
      </c>
      <c r="BW21" s="792"/>
      <c r="BX21" s="792"/>
      <c r="BY21" s="792"/>
      <c r="BZ21" s="792"/>
      <c r="CA21" s="792"/>
      <c r="CB21" s="792"/>
      <c r="CC21" s="793"/>
      <c r="CD21" s="108">
        <f>SUM(BV21)</f>
        <v>10</v>
      </c>
      <c r="CE21" s="791">
        <v>10</v>
      </c>
      <c r="CF21" s="792"/>
      <c r="CG21" s="792"/>
      <c r="CH21" s="792"/>
      <c r="CI21" s="792"/>
      <c r="CJ21" s="792"/>
      <c r="CK21" s="792"/>
      <c r="CL21" s="793"/>
      <c r="CM21" s="108">
        <f t="shared" si="0"/>
        <v>10</v>
      </c>
      <c r="CN21" s="791">
        <v>5</v>
      </c>
      <c r="CO21" s="792"/>
      <c r="CP21" s="792"/>
      <c r="CQ21" s="792"/>
      <c r="CR21" s="792"/>
      <c r="CS21" s="792"/>
      <c r="CT21" s="792"/>
      <c r="CU21" s="793"/>
      <c r="CV21" s="108">
        <f>SUM(CN21)</f>
        <v>5</v>
      </c>
      <c r="CW21" s="797">
        <v>5</v>
      </c>
      <c r="CX21" s="798"/>
      <c r="CY21" s="798"/>
      <c r="CZ21" s="798"/>
      <c r="DA21" s="798"/>
      <c r="DB21" s="798"/>
      <c r="DC21" s="798"/>
      <c r="DD21" s="799"/>
      <c r="DE21" s="223">
        <f>SUM(CW21)</f>
        <v>5</v>
      </c>
      <c r="DF21" s="791">
        <v>5</v>
      </c>
      <c r="DG21" s="792"/>
      <c r="DH21" s="792"/>
      <c r="DI21" s="792"/>
      <c r="DJ21" s="792"/>
      <c r="DK21" s="792"/>
      <c r="DL21" s="792"/>
      <c r="DM21" s="793"/>
      <c r="DN21" s="108">
        <f>SUM(DF21)</f>
        <v>5</v>
      </c>
      <c r="DO21" s="109">
        <f t="shared" si="1"/>
        <v>103</v>
      </c>
      <c r="DP21" s="110"/>
    </row>
    <row r="22" spans="2:120" ht="287.25" customHeight="1">
      <c r="B22" s="796"/>
      <c r="C22" s="796"/>
      <c r="D22" s="789"/>
      <c r="E22" s="790"/>
      <c r="F22" s="786"/>
      <c r="G22" s="786"/>
      <c r="H22" s="786"/>
      <c r="I22" s="786"/>
      <c r="J22" s="111" t="s">
        <v>66</v>
      </c>
      <c r="K22" s="112">
        <v>1</v>
      </c>
      <c r="L22" s="108">
        <v>2</v>
      </c>
      <c r="M22" s="108">
        <v>0</v>
      </c>
      <c r="N22" s="108">
        <v>0</v>
      </c>
      <c r="O22" s="108">
        <v>0</v>
      </c>
      <c r="P22" s="108">
        <v>0</v>
      </c>
      <c r="Q22" s="108">
        <v>0</v>
      </c>
      <c r="R22" s="108">
        <v>0</v>
      </c>
      <c r="S22" s="116">
        <f>SUM(K22:R22)</f>
        <v>3</v>
      </c>
      <c r="T22" s="108">
        <v>4</v>
      </c>
      <c r="U22" s="108">
        <v>0</v>
      </c>
      <c r="V22" s="108">
        <v>0</v>
      </c>
      <c r="W22" s="108">
        <v>0</v>
      </c>
      <c r="X22" s="108">
        <v>0</v>
      </c>
      <c r="Y22" s="108">
        <v>0</v>
      </c>
      <c r="Z22" s="108">
        <v>0</v>
      </c>
      <c r="AA22" s="108">
        <v>0</v>
      </c>
      <c r="AB22" s="116">
        <f>SUM(T22:AA22)</f>
        <v>4</v>
      </c>
      <c r="AC22" s="114">
        <v>3</v>
      </c>
      <c r="AD22" s="114">
        <v>3</v>
      </c>
      <c r="AE22" s="114">
        <v>0</v>
      </c>
      <c r="AF22" s="114">
        <v>2</v>
      </c>
      <c r="AG22" s="114">
        <v>0</v>
      </c>
      <c r="AH22" s="114">
        <v>0</v>
      </c>
      <c r="AI22" s="114">
        <v>0</v>
      </c>
      <c r="AJ22" s="114">
        <v>0</v>
      </c>
      <c r="AK22" s="116">
        <f>SUM(AC22:AJ22)</f>
        <v>8</v>
      </c>
      <c r="AL22" s="108">
        <v>2</v>
      </c>
      <c r="AM22" s="108">
        <v>4</v>
      </c>
      <c r="AN22" s="108">
        <v>2</v>
      </c>
      <c r="AO22" s="108">
        <v>0</v>
      </c>
      <c r="AP22" s="108">
        <v>0</v>
      </c>
      <c r="AQ22" s="108">
        <v>0</v>
      </c>
      <c r="AR22" s="108">
        <v>0</v>
      </c>
      <c r="AS22" s="108">
        <v>0</v>
      </c>
      <c r="AT22" s="108">
        <f>SUM(AL22:AS22)</f>
        <v>8</v>
      </c>
      <c r="AU22" s="108">
        <v>0</v>
      </c>
      <c r="AV22" s="108">
        <v>1</v>
      </c>
      <c r="AW22" s="108">
        <v>0</v>
      </c>
      <c r="AX22" s="108">
        <v>0</v>
      </c>
      <c r="AY22" s="108">
        <v>0</v>
      </c>
      <c r="AZ22" s="108">
        <v>0</v>
      </c>
      <c r="BA22" s="108">
        <v>0</v>
      </c>
      <c r="BB22" s="108">
        <v>0</v>
      </c>
      <c r="BC22" s="108">
        <f>SUM(AU22:BB22)</f>
        <v>1</v>
      </c>
      <c r="BD22" s="108">
        <v>3</v>
      </c>
      <c r="BE22" s="108">
        <v>0</v>
      </c>
      <c r="BF22" s="108">
        <v>5</v>
      </c>
      <c r="BG22" s="108">
        <v>0</v>
      </c>
      <c r="BH22" s="108">
        <v>0</v>
      </c>
      <c r="BI22" s="108">
        <v>0</v>
      </c>
      <c r="BJ22" s="108">
        <v>0</v>
      </c>
      <c r="BK22" s="108">
        <v>0</v>
      </c>
      <c r="BL22" s="108">
        <f>SUM(BD22:BK22)</f>
        <v>8</v>
      </c>
      <c r="BM22" s="108">
        <v>5</v>
      </c>
      <c r="BN22" s="108">
        <v>2</v>
      </c>
      <c r="BO22" s="108">
        <v>3</v>
      </c>
      <c r="BP22" s="108">
        <v>0</v>
      </c>
      <c r="BQ22" s="108">
        <v>0</v>
      </c>
      <c r="BR22" s="108">
        <v>0</v>
      </c>
      <c r="BS22" s="108">
        <v>0</v>
      </c>
      <c r="BT22" s="108">
        <v>0</v>
      </c>
      <c r="BU22" s="108">
        <f>SUM(BM22:BT22)</f>
        <v>10</v>
      </c>
      <c r="BV22" s="108">
        <v>6</v>
      </c>
      <c r="BW22" s="108">
        <v>5</v>
      </c>
      <c r="BX22" s="108">
        <v>1</v>
      </c>
      <c r="BY22" s="108">
        <v>1</v>
      </c>
      <c r="BZ22" s="108">
        <v>0</v>
      </c>
      <c r="CA22" s="108">
        <v>0</v>
      </c>
      <c r="CB22" s="108">
        <v>0</v>
      </c>
      <c r="CC22" s="108">
        <v>0</v>
      </c>
      <c r="CD22" s="108">
        <f>SUM(BV22:CC22)</f>
        <v>13</v>
      </c>
      <c r="CE22" s="108">
        <v>7</v>
      </c>
      <c r="CF22" s="108">
        <v>5</v>
      </c>
      <c r="CG22" s="108">
        <v>1</v>
      </c>
      <c r="CH22" s="108">
        <v>0</v>
      </c>
      <c r="CI22" s="108">
        <v>0</v>
      </c>
      <c r="CJ22" s="108">
        <v>0</v>
      </c>
      <c r="CK22" s="108">
        <v>0</v>
      </c>
      <c r="CL22" s="108">
        <v>0</v>
      </c>
      <c r="CM22" s="108">
        <f t="shared" si="0"/>
        <v>13</v>
      </c>
      <c r="CN22" s="108">
        <v>2</v>
      </c>
      <c r="CO22" s="108">
        <v>2</v>
      </c>
      <c r="CP22" s="108">
        <v>0</v>
      </c>
      <c r="CQ22" s="108">
        <v>0</v>
      </c>
      <c r="CR22" s="108">
        <v>0</v>
      </c>
      <c r="CS22" s="108">
        <v>0</v>
      </c>
      <c r="CT22" s="108">
        <v>0</v>
      </c>
      <c r="CU22" s="108">
        <v>0</v>
      </c>
      <c r="CV22" s="108">
        <f>SUM(CN22:CU22)</f>
        <v>4</v>
      </c>
      <c r="CW22" s="223">
        <v>5</v>
      </c>
      <c r="CX22" s="223">
        <v>0</v>
      </c>
      <c r="CY22" s="223">
        <v>1</v>
      </c>
      <c r="CZ22" s="223">
        <v>1</v>
      </c>
      <c r="DA22" s="223">
        <v>0</v>
      </c>
      <c r="DB22" s="223">
        <v>0</v>
      </c>
      <c r="DC22" s="223">
        <v>0</v>
      </c>
      <c r="DD22" s="223">
        <v>0</v>
      </c>
      <c r="DE22" s="223">
        <f>SUM(CW22:DD22)</f>
        <v>7</v>
      </c>
      <c r="DF22" s="108">
        <v>4</v>
      </c>
      <c r="DG22" s="108">
        <v>3</v>
      </c>
      <c r="DH22" s="108">
        <v>2</v>
      </c>
      <c r="DI22" s="108">
        <v>0</v>
      </c>
      <c r="DJ22" s="108">
        <v>0</v>
      </c>
      <c r="DK22" s="108">
        <v>0</v>
      </c>
      <c r="DL22" s="108">
        <v>0</v>
      </c>
      <c r="DM22" s="108">
        <v>0</v>
      </c>
      <c r="DN22" s="108">
        <f>SUM(DF22:DM22)</f>
        <v>9</v>
      </c>
      <c r="DO22" s="109">
        <f t="shared" si="1"/>
        <v>88</v>
      </c>
      <c r="DP22" s="110"/>
    </row>
    <row r="23" spans="2:120" ht="234.75" hidden="1" customHeight="1">
      <c r="B23" s="795" t="s">
        <v>127</v>
      </c>
      <c r="C23" s="795" t="s">
        <v>128</v>
      </c>
      <c r="D23" s="787" t="s">
        <v>73</v>
      </c>
      <c r="E23" s="788"/>
      <c r="F23" s="785" t="s">
        <v>129</v>
      </c>
      <c r="G23" s="785">
        <v>59</v>
      </c>
      <c r="H23" s="785" t="s">
        <v>131</v>
      </c>
      <c r="I23" s="787">
        <v>59</v>
      </c>
      <c r="J23" s="107" t="s">
        <v>65</v>
      </c>
      <c r="K23" s="794">
        <v>5</v>
      </c>
      <c r="L23" s="792"/>
      <c r="M23" s="792"/>
      <c r="N23" s="792"/>
      <c r="O23" s="792"/>
      <c r="P23" s="792"/>
      <c r="Q23" s="792"/>
      <c r="R23" s="793"/>
      <c r="S23" s="116">
        <f>SUM(K23)</f>
        <v>5</v>
      </c>
      <c r="T23" s="794">
        <v>5</v>
      </c>
      <c r="U23" s="792"/>
      <c r="V23" s="792"/>
      <c r="W23" s="792"/>
      <c r="X23" s="792"/>
      <c r="Y23" s="792"/>
      <c r="Z23" s="792"/>
      <c r="AA23" s="793"/>
      <c r="AB23" s="116">
        <f>SUM(T23)</f>
        <v>5</v>
      </c>
      <c r="AC23" s="794">
        <v>3</v>
      </c>
      <c r="AD23" s="792"/>
      <c r="AE23" s="792"/>
      <c r="AF23" s="792"/>
      <c r="AG23" s="792"/>
      <c r="AH23" s="792"/>
      <c r="AI23" s="792"/>
      <c r="AJ23" s="793"/>
      <c r="AK23" s="116">
        <f>SUM(AC23)</f>
        <v>3</v>
      </c>
      <c r="AL23" s="791">
        <v>5</v>
      </c>
      <c r="AM23" s="792"/>
      <c r="AN23" s="792"/>
      <c r="AO23" s="792"/>
      <c r="AP23" s="792"/>
      <c r="AQ23" s="792"/>
      <c r="AR23" s="792"/>
      <c r="AS23" s="793"/>
      <c r="AT23" s="108">
        <f>SUM(AL23)</f>
        <v>5</v>
      </c>
      <c r="AU23" s="791">
        <v>5</v>
      </c>
      <c r="AV23" s="792"/>
      <c r="AW23" s="792"/>
      <c r="AX23" s="792"/>
      <c r="AY23" s="792"/>
      <c r="AZ23" s="792"/>
      <c r="BA23" s="792"/>
      <c r="BB23" s="793"/>
      <c r="BC23" s="108">
        <f>SUM(AU23)</f>
        <v>5</v>
      </c>
      <c r="BD23" s="791">
        <v>5</v>
      </c>
      <c r="BE23" s="792"/>
      <c r="BF23" s="792"/>
      <c r="BG23" s="792"/>
      <c r="BH23" s="792"/>
      <c r="BI23" s="792"/>
      <c r="BJ23" s="792"/>
      <c r="BK23" s="793"/>
      <c r="BL23" s="108">
        <f>SUM(BD23)</f>
        <v>5</v>
      </c>
      <c r="BM23" s="791">
        <v>5</v>
      </c>
      <c r="BN23" s="792"/>
      <c r="BO23" s="792"/>
      <c r="BP23" s="792"/>
      <c r="BQ23" s="792"/>
      <c r="BR23" s="792"/>
      <c r="BS23" s="792"/>
      <c r="BT23" s="793"/>
      <c r="BU23" s="108">
        <f>SUM(BM23)</f>
        <v>5</v>
      </c>
      <c r="BV23" s="791">
        <v>5</v>
      </c>
      <c r="BW23" s="792"/>
      <c r="BX23" s="792"/>
      <c r="BY23" s="792"/>
      <c r="BZ23" s="792"/>
      <c r="CA23" s="792"/>
      <c r="CB23" s="792"/>
      <c r="CC23" s="793"/>
      <c r="CD23" s="108">
        <f>SUM(BV23)</f>
        <v>5</v>
      </c>
      <c r="CE23" s="791">
        <v>5</v>
      </c>
      <c r="CF23" s="792"/>
      <c r="CG23" s="792"/>
      <c r="CH23" s="792"/>
      <c r="CI23" s="792"/>
      <c r="CJ23" s="792"/>
      <c r="CK23" s="792"/>
      <c r="CL23" s="793"/>
      <c r="CM23" s="108">
        <f t="shared" si="0"/>
        <v>5</v>
      </c>
      <c r="CN23" s="791">
        <v>5</v>
      </c>
      <c r="CO23" s="792"/>
      <c r="CP23" s="792"/>
      <c r="CQ23" s="792"/>
      <c r="CR23" s="792"/>
      <c r="CS23" s="792"/>
      <c r="CT23" s="792"/>
      <c r="CU23" s="793"/>
      <c r="CV23" s="108">
        <f>SUM(CN23)</f>
        <v>5</v>
      </c>
      <c r="CW23" s="797">
        <v>5</v>
      </c>
      <c r="CX23" s="798"/>
      <c r="CY23" s="798"/>
      <c r="CZ23" s="798"/>
      <c r="DA23" s="798"/>
      <c r="DB23" s="798"/>
      <c r="DC23" s="798"/>
      <c r="DD23" s="799"/>
      <c r="DE23" s="223">
        <f>SUM(CW23)</f>
        <v>5</v>
      </c>
      <c r="DF23" s="791">
        <v>5</v>
      </c>
      <c r="DG23" s="792"/>
      <c r="DH23" s="792"/>
      <c r="DI23" s="792"/>
      <c r="DJ23" s="792"/>
      <c r="DK23" s="792"/>
      <c r="DL23" s="792"/>
      <c r="DM23" s="793"/>
      <c r="DN23" s="108">
        <f>SUM(DF23)</f>
        <v>5</v>
      </c>
      <c r="DO23" s="109">
        <f t="shared" si="1"/>
        <v>58</v>
      </c>
      <c r="DP23" s="110"/>
    </row>
    <row r="24" spans="2:120" ht="234.75" customHeight="1">
      <c r="B24" s="796"/>
      <c r="C24" s="796"/>
      <c r="D24" s="789"/>
      <c r="E24" s="790"/>
      <c r="F24" s="786"/>
      <c r="G24" s="786"/>
      <c r="H24" s="786"/>
      <c r="I24" s="789"/>
      <c r="J24" s="111" t="s">
        <v>66</v>
      </c>
      <c r="K24" s="112">
        <v>3</v>
      </c>
      <c r="L24" s="108">
        <v>4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16">
        <f>SUM(K24:R24)</f>
        <v>7</v>
      </c>
      <c r="T24" s="108">
        <v>4</v>
      </c>
      <c r="U24" s="108">
        <v>0</v>
      </c>
      <c r="V24" s="108">
        <v>0</v>
      </c>
      <c r="W24" s="108">
        <v>0</v>
      </c>
      <c r="X24" s="108">
        <v>0</v>
      </c>
      <c r="Y24" s="108">
        <v>0</v>
      </c>
      <c r="Z24" s="108">
        <v>0</v>
      </c>
      <c r="AA24" s="108">
        <v>0</v>
      </c>
      <c r="AB24" s="116">
        <f>SUM(T24:AA24)</f>
        <v>4</v>
      </c>
      <c r="AC24" s="114">
        <v>3</v>
      </c>
      <c r="AD24" s="114">
        <v>3</v>
      </c>
      <c r="AE24" s="114">
        <v>1</v>
      </c>
      <c r="AF24" s="114">
        <v>1</v>
      </c>
      <c r="AG24" s="114">
        <v>0</v>
      </c>
      <c r="AH24" s="114">
        <v>0</v>
      </c>
      <c r="AI24" s="114">
        <v>0</v>
      </c>
      <c r="AJ24" s="114">
        <v>0</v>
      </c>
      <c r="AK24" s="116">
        <f>SUM(AC24:AJ24)</f>
        <v>8</v>
      </c>
      <c r="AL24" s="108">
        <v>2</v>
      </c>
      <c r="AM24" s="108">
        <v>4</v>
      </c>
      <c r="AN24" s="108">
        <v>1</v>
      </c>
      <c r="AO24" s="108">
        <v>0</v>
      </c>
      <c r="AP24" s="108">
        <v>0</v>
      </c>
      <c r="AQ24" s="108">
        <v>0</v>
      </c>
      <c r="AR24" s="108">
        <v>0</v>
      </c>
      <c r="AS24" s="108">
        <v>0</v>
      </c>
      <c r="AT24" s="108">
        <f>SUM(AL24:AS24)</f>
        <v>7</v>
      </c>
      <c r="AU24" s="108">
        <v>4</v>
      </c>
      <c r="AV24" s="108">
        <v>2</v>
      </c>
      <c r="AW24" s="108">
        <v>1</v>
      </c>
      <c r="AX24" s="108"/>
      <c r="AY24" s="108"/>
      <c r="AZ24" s="108"/>
      <c r="BA24" s="108"/>
      <c r="BB24" s="108"/>
      <c r="BC24" s="108">
        <f>SUM(AU24:BB24)</f>
        <v>7</v>
      </c>
      <c r="BD24" s="108">
        <v>2</v>
      </c>
      <c r="BE24" s="108">
        <v>2</v>
      </c>
      <c r="BF24" s="108">
        <v>2</v>
      </c>
      <c r="BG24" s="108">
        <v>0</v>
      </c>
      <c r="BH24" s="108">
        <v>0</v>
      </c>
      <c r="BI24" s="108">
        <v>0</v>
      </c>
      <c r="BJ24" s="108">
        <v>0</v>
      </c>
      <c r="BK24" s="108">
        <v>0</v>
      </c>
      <c r="BL24" s="108">
        <f>SUM(BD24:BK24)</f>
        <v>6</v>
      </c>
      <c r="BM24" s="108">
        <v>4</v>
      </c>
      <c r="BN24" s="108">
        <v>4</v>
      </c>
      <c r="BO24" s="108">
        <v>3</v>
      </c>
      <c r="BP24" s="108">
        <v>0</v>
      </c>
      <c r="BQ24" s="108">
        <v>0</v>
      </c>
      <c r="BR24" s="108">
        <v>0</v>
      </c>
      <c r="BS24" s="108">
        <v>0</v>
      </c>
      <c r="BT24" s="108">
        <v>0</v>
      </c>
      <c r="BU24" s="108">
        <f>SUM(BM24:BT24)</f>
        <v>11</v>
      </c>
      <c r="BV24" s="108">
        <v>2</v>
      </c>
      <c r="BW24" s="108">
        <v>2</v>
      </c>
      <c r="BX24" s="108">
        <v>2</v>
      </c>
      <c r="BY24" s="108">
        <v>0</v>
      </c>
      <c r="BZ24" s="108">
        <v>0</v>
      </c>
      <c r="CA24" s="108">
        <v>0</v>
      </c>
      <c r="CB24" s="108">
        <v>0</v>
      </c>
      <c r="CC24" s="108">
        <v>0</v>
      </c>
      <c r="CD24" s="108">
        <f>SUM(BV24:CC24)</f>
        <v>6</v>
      </c>
      <c r="CE24" s="108">
        <v>4</v>
      </c>
      <c r="CF24" s="108">
        <v>7</v>
      </c>
      <c r="CG24" s="108">
        <v>1</v>
      </c>
      <c r="CH24" s="108">
        <v>0</v>
      </c>
      <c r="CI24" s="108">
        <v>0</v>
      </c>
      <c r="CJ24" s="108">
        <v>0</v>
      </c>
      <c r="CK24" s="108">
        <v>0</v>
      </c>
      <c r="CL24" s="108">
        <v>0</v>
      </c>
      <c r="CM24" s="108">
        <f t="shared" si="0"/>
        <v>12</v>
      </c>
      <c r="CN24" s="108">
        <v>2</v>
      </c>
      <c r="CO24" s="108">
        <v>2</v>
      </c>
      <c r="CP24" s="108">
        <v>0</v>
      </c>
      <c r="CQ24" s="108">
        <v>0</v>
      </c>
      <c r="CR24" s="108">
        <v>0</v>
      </c>
      <c r="CS24" s="108">
        <v>0</v>
      </c>
      <c r="CT24" s="108">
        <v>0</v>
      </c>
      <c r="CU24" s="108">
        <v>0</v>
      </c>
      <c r="CV24" s="108">
        <f>SUM(CN24:CU24)</f>
        <v>4</v>
      </c>
      <c r="CW24" s="223">
        <v>3</v>
      </c>
      <c r="CX24" s="223">
        <v>1</v>
      </c>
      <c r="CY24" s="223">
        <v>1</v>
      </c>
      <c r="CZ24" s="223">
        <v>3</v>
      </c>
      <c r="DA24" s="223">
        <v>0</v>
      </c>
      <c r="DB24" s="223">
        <v>0</v>
      </c>
      <c r="DC24" s="223">
        <v>0</v>
      </c>
      <c r="DD24" s="223">
        <v>0</v>
      </c>
      <c r="DE24" s="223">
        <f>SUM(CW24:DD24)</f>
        <v>8</v>
      </c>
      <c r="DF24" s="108">
        <v>4</v>
      </c>
      <c r="DG24" s="108">
        <v>4</v>
      </c>
      <c r="DH24" s="108">
        <v>2</v>
      </c>
      <c r="DI24" s="108">
        <v>0</v>
      </c>
      <c r="DJ24" s="108">
        <v>0</v>
      </c>
      <c r="DK24" s="108">
        <v>0</v>
      </c>
      <c r="DL24" s="108">
        <v>0</v>
      </c>
      <c r="DM24" s="108">
        <v>0</v>
      </c>
      <c r="DN24" s="108">
        <f>SUM(DF24:DM24)</f>
        <v>10</v>
      </c>
      <c r="DO24" s="109">
        <f t="shared" si="1"/>
        <v>90</v>
      </c>
      <c r="DP24" s="110"/>
    </row>
    <row r="25" spans="2:120" ht="287.25" hidden="1" customHeight="1">
      <c r="B25" s="795" t="s">
        <v>127</v>
      </c>
      <c r="C25" s="795" t="s">
        <v>128</v>
      </c>
      <c r="D25" s="787" t="s">
        <v>73</v>
      </c>
      <c r="E25" s="788"/>
      <c r="F25" s="785" t="s">
        <v>129</v>
      </c>
      <c r="G25" s="785">
        <v>17</v>
      </c>
      <c r="H25" s="785" t="s">
        <v>132</v>
      </c>
      <c r="I25" s="787">
        <v>17</v>
      </c>
      <c r="J25" s="107" t="s">
        <v>65</v>
      </c>
      <c r="K25" s="794">
        <v>5</v>
      </c>
      <c r="L25" s="792"/>
      <c r="M25" s="792"/>
      <c r="N25" s="792"/>
      <c r="O25" s="792"/>
      <c r="P25" s="792"/>
      <c r="Q25" s="792"/>
      <c r="R25" s="793"/>
      <c r="S25" s="116">
        <f>SUM(K25)</f>
        <v>5</v>
      </c>
      <c r="T25" s="794">
        <v>4</v>
      </c>
      <c r="U25" s="792"/>
      <c r="V25" s="792"/>
      <c r="W25" s="792"/>
      <c r="X25" s="792"/>
      <c r="Y25" s="792"/>
      <c r="Z25" s="792"/>
      <c r="AA25" s="793"/>
      <c r="AB25" s="116">
        <f>SUM(T25)</f>
        <v>4</v>
      </c>
      <c r="AC25" s="794">
        <v>1</v>
      </c>
      <c r="AD25" s="792"/>
      <c r="AE25" s="792"/>
      <c r="AF25" s="792"/>
      <c r="AG25" s="792"/>
      <c r="AH25" s="792"/>
      <c r="AI25" s="792"/>
      <c r="AJ25" s="793"/>
      <c r="AK25" s="116">
        <f>SUM(AC25)</f>
        <v>1</v>
      </c>
      <c r="AL25" s="791">
        <v>0</v>
      </c>
      <c r="AM25" s="792"/>
      <c r="AN25" s="792"/>
      <c r="AO25" s="792"/>
      <c r="AP25" s="792"/>
      <c r="AQ25" s="792"/>
      <c r="AR25" s="792"/>
      <c r="AS25" s="793"/>
      <c r="AT25" s="108">
        <f>SUM(AL25)</f>
        <v>0</v>
      </c>
      <c r="AU25" s="791">
        <v>0</v>
      </c>
      <c r="AV25" s="792"/>
      <c r="AW25" s="792"/>
      <c r="AX25" s="792"/>
      <c r="AY25" s="792"/>
      <c r="AZ25" s="792"/>
      <c r="BA25" s="792"/>
      <c r="BB25" s="793"/>
      <c r="BC25" s="108">
        <f>SUM(AU25)</f>
        <v>0</v>
      </c>
      <c r="BD25" s="791">
        <v>1</v>
      </c>
      <c r="BE25" s="792"/>
      <c r="BF25" s="792"/>
      <c r="BG25" s="792"/>
      <c r="BH25" s="792"/>
      <c r="BI25" s="792"/>
      <c r="BJ25" s="792"/>
      <c r="BK25" s="793"/>
      <c r="BL25" s="108">
        <f>SUM(BD25)</f>
        <v>1</v>
      </c>
      <c r="BM25" s="791">
        <v>1</v>
      </c>
      <c r="BN25" s="792"/>
      <c r="BO25" s="792"/>
      <c r="BP25" s="792"/>
      <c r="BQ25" s="792"/>
      <c r="BR25" s="792"/>
      <c r="BS25" s="792"/>
      <c r="BT25" s="793"/>
      <c r="BU25" s="108">
        <f>SUM(BM25)</f>
        <v>1</v>
      </c>
      <c r="BV25" s="791">
        <v>1</v>
      </c>
      <c r="BW25" s="792"/>
      <c r="BX25" s="792"/>
      <c r="BY25" s="792"/>
      <c r="BZ25" s="792"/>
      <c r="CA25" s="792"/>
      <c r="CB25" s="792"/>
      <c r="CC25" s="793"/>
      <c r="CD25" s="108">
        <f>SUM(BV25)</f>
        <v>1</v>
      </c>
      <c r="CE25" s="791">
        <v>1</v>
      </c>
      <c r="CF25" s="792"/>
      <c r="CG25" s="792"/>
      <c r="CH25" s="792"/>
      <c r="CI25" s="792"/>
      <c r="CJ25" s="792"/>
      <c r="CK25" s="792"/>
      <c r="CL25" s="793"/>
      <c r="CM25" s="108">
        <f t="shared" si="0"/>
        <v>1</v>
      </c>
      <c r="CN25" s="791">
        <v>1</v>
      </c>
      <c r="CO25" s="792"/>
      <c r="CP25" s="792"/>
      <c r="CQ25" s="792"/>
      <c r="CR25" s="792"/>
      <c r="CS25" s="792"/>
      <c r="CT25" s="792"/>
      <c r="CU25" s="793"/>
      <c r="CV25" s="108">
        <f>SUM(CN25)</f>
        <v>1</v>
      </c>
      <c r="CW25" s="797">
        <v>1</v>
      </c>
      <c r="CX25" s="798"/>
      <c r="CY25" s="798"/>
      <c r="CZ25" s="798"/>
      <c r="DA25" s="798"/>
      <c r="DB25" s="798"/>
      <c r="DC25" s="798"/>
      <c r="DD25" s="799"/>
      <c r="DE25" s="223">
        <f>SUM(CW25)</f>
        <v>1</v>
      </c>
      <c r="DF25" s="791">
        <v>1</v>
      </c>
      <c r="DG25" s="792"/>
      <c r="DH25" s="792"/>
      <c r="DI25" s="792"/>
      <c r="DJ25" s="792"/>
      <c r="DK25" s="792"/>
      <c r="DL25" s="792"/>
      <c r="DM25" s="793"/>
      <c r="DN25" s="108">
        <f>SUM(DF25)</f>
        <v>1</v>
      </c>
      <c r="DO25" s="109">
        <f t="shared" si="1"/>
        <v>17</v>
      </c>
      <c r="DP25" s="110"/>
    </row>
    <row r="26" spans="2:120" ht="287.25" customHeight="1">
      <c r="B26" s="796"/>
      <c r="C26" s="796"/>
      <c r="D26" s="789"/>
      <c r="E26" s="790"/>
      <c r="F26" s="786"/>
      <c r="G26" s="786"/>
      <c r="H26" s="786"/>
      <c r="I26" s="789"/>
      <c r="J26" s="111" t="s">
        <v>66</v>
      </c>
      <c r="K26" s="112">
        <v>1</v>
      </c>
      <c r="L26" s="108">
        <v>2</v>
      </c>
      <c r="M26" s="108">
        <v>1</v>
      </c>
      <c r="N26" s="108">
        <v>1</v>
      </c>
      <c r="O26" s="108">
        <v>0</v>
      </c>
      <c r="P26" s="108">
        <v>0</v>
      </c>
      <c r="Q26" s="108">
        <v>0</v>
      </c>
      <c r="R26" s="108">
        <v>0</v>
      </c>
      <c r="S26" s="116">
        <f>SUM(K26:R26)</f>
        <v>5</v>
      </c>
      <c r="T26" s="108">
        <v>4</v>
      </c>
      <c r="U26" s="108">
        <v>0</v>
      </c>
      <c r="V26" s="108">
        <v>0</v>
      </c>
      <c r="W26" s="108">
        <v>0</v>
      </c>
      <c r="X26" s="108">
        <v>0</v>
      </c>
      <c r="Y26" s="108">
        <v>0</v>
      </c>
      <c r="Z26" s="108">
        <v>0</v>
      </c>
      <c r="AA26" s="108">
        <v>0</v>
      </c>
      <c r="AB26" s="116">
        <f>SUM(T26:AA26)</f>
        <v>4</v>
      </c>
      <c r="AC26" s="114">
        <v>4</v>
      </c>
      <c r="AD26" s="114">
        <v>1</v>
      </c>
      <c r="AE26" s="114">
        <v>2</v>
      </c>
      <c r="AF26" s="114">
        <v>1</v>
      </c>
      <c r="AG26" s="114">
        <v>0</v>
      </c>
      <c r="AH26" s="114">
        <v>0</v>
      </c>
      <c r="AI26" s="114">
        <v>0</v>
      </c>
      <c r="AJ26" s="114">
        <v>0</v>
      </c>
      <c r="AK26" s="116">
        <f>SUM(AC26:AJ26)</f>
        <v>8</v>
      </c>
      <c r="AL26" s="108">
        <v>1</v>
      </c>
      <c r="AM26" s="108">
        <v>2</v>
      </c>
      <c r="AN26" s="108">
        <v>3</v>
      </c>
      <c r="AO26" s="108">
        <v>0</v>
      </c>
      <c r="AP26" s="108">
        <v>0</v>
      </c>
      <c r="AQ26" s="108">
        <v>0</v>
      </c>
      <c r="AR26" s="108">
        <v>0</v>
      </c>
      <c r="AS26" s="108">
        <v>0</v>
      </c>
      <c r="AT26" s="108">
        <f>SUM(AL26:AS26)</f>
        <v>6</v>
      </c>
      <c r="AU26" s="108">
        <v>2</v>
      </c>
      <c r="AV26" s="108">
        <v>5</v>
      </c>
      <c r="AW26" s="108">
        <v>2</v>
      </c>
      <c r="AX26" s="108">
        <v>0</v>
      </c>
      <c r="AY26" s="108">
        <v>0</v>
      </c>
      <c r="AZ26" s="108">
        <v>0</v>
      </c>
      <c r="BA26" s="108">
        <v>0</v>
      </c>
      <c r="BB26" s="108">
        <v>0</v>
      </c>
      <c r="BC26" s="108">
        <f>SUM(AU26:BB26)</f>
        <v>9</v>
      </c>
      <c r="BD26" s="108">
        <v>4</v>
      </c>
      <c r="BE26" s="108">
        <v>3</v>
      </c>
      <c r="BF26" s="108">
        <v>3</v>
      </c>
      <c r="BG26" s="108">
        <v>1</v>
      </c>
      <c r="BH26" s="108">
        <v>0</v>
      </c>
      <c r="BI26" s="108">
        <v>0</v>
      </c>
      <c r="BJ26" s="108">
        <v>0</v>
      </c>
      <c r="BK26" s="108">
        <v>0</v>
      </c>
      <c r="BL26" s="108">
        <f>SUM(BD26:BK26)</f>
        <v>11</v>
      </c>
      <c r="BM26" s="108">
        <v>1</v>
      </c>
      <c r="BN26" s="108">
        <v>1</v>
      </c>
      <c r="BO26" s="108">
        <v>0</v>
      </c>
      <c r="BP26" s="108">
        <v>1</v>
      </c>
      <c r="BQ26" s="108">
        <v>0</v>
      </c>
      <c r="BR26" s="108">
        <v>0</v>
      </c>
      <c r="BS26" s="108">
        <v>0</v>
      </c>
      <c r="BT26" s="108">
        <v>0</v>
      </c>
      <c r="BU26" s="108">
        <f>SUM(BM26:BT26)</f>
        <v>3</v>
      </c>
      <c r="BV26" s="108">
        <v>2</v>
      </c>
      <c r="BW26" s="108">
        <v>2</v>
      </c>
      <c r="BX26" s="108">
        <v>0</v>
      </c>
      <c r="BY26" s="108">
        <v>2</v>
      </c>
      <c r="BZ26" s="108">
        <v>0</v>
      </c>
      <c r="CA26" s="108">
        <v>0</v>
      </c>
      <c r="CB26" s="108">
        <v>0</v>
      </c>
      <c r="CC26" s="108">
        <v>0</v>
      </c>
      <c r="CD26" s="108">
        <f>SUM(BV26:CC26)</f>
        <v>6</v>
      </c>
      <c r="CE26" s="108">
        <v>4</v>
      </c>
      <c r="CF26" s="108">
        <v>2</v>
      </c>
      <c r="CG26" s="108">
        <v>3</v>
      </c>
      <c r="CH26" s="108">
        <v>1</v>
      </c>
      <c r="CI26" s="108">
        <v>0</v>
      </c>
      <c r="CJ26" s="108">
        <v>0</v>
      </c>
      <c r="CK26" s="108">
        <v>0</v>
      </c>
      <c r="CL26" s="108">
        <v>0</v>
      </c>
      <c r="CM26" s="108">
        <f t="shared" si="0"/>
        <v>10</v>
      </c>
      <c r="CN26" s="108">
        <v>2</v>
      </c>
      <c r="CO26" s="108">
        <v>3</v>
      </c>
      <c r="CP26" s="108">
        <v>3</v>
      </c>
      <c r="CQ26" s="108">
        <v>1</v>
      </c>
      <c r="CR26" s="108">
        <v>0</v>
      </c>
      <c r="CS26" s="108">
        <v>0</v>
      </c>
      <c r="CT26" s="108">
        <v>0</v>
      </c>
      <c r="CU26" s="108">
        <v>0</v>
      </c>
      <c r="CV26" s="108">
        <f>SUM(CN26:CU26)</f>
        <v>9</v>
      </c>
      <c r="CW26" s="223">
        <v>1</v>
      </c>
      <c r="CX26" s="223">
        <v>1</v>
      </c>
      <c r="CY26" s="223">
        <v>0</v>
      </c>
      <c r="CZ26" s="223">
        <v>0</v>
      </c>
      <c r="DA26" s="223">
        <v>0</v>
      </c>
      <c r="DB26" s="223">
        <v>0</v>
      </c>
      <c r="DC26" s="223">
        <v>0</v>
      </c>
      <c r="DD26" s="223">
        <v>0</v>
      </c>
      <c r="DE26" s="223">
        <f>SUM(CW26:DD26)</f>
        <v>2</v>
      </c>
      <c r="DF26" s="108">
        <v>1</v>
      </c>
      <c r="DG26" s="108">
        <v>0</v>
      </c>
      <c r="DH26" s="108">
        <v>4</v>
      </c>
      <c r="DI26" s="108">
        <v>0</v>
      </c>
      <c r="DJ26" s="108">
        <v>0</v>
      </c>
      <c r="DK26" s="108">
        <v>0</v>
      </c>
      <c r="DL26" s="108">
        <v>0</v>
      </c>
      <c r="DM26" s="108">
        <v>0</v>
      </c>
      <c r="DN26" s="108">
        <f>SUM(DF26:DM26)</f>
        <v>5</v>
      </c>
      <c r="DO26" s="109">
        <f t="shared" si="1"/>
        <v>78</v>
      </c>
      <c r="DP26" s="110"/>
    </row>
    <row r="27" spans="2:120" ht="287.25" hidden="1" customHeight="1">
      <c r="B27" s="785" t="s">
        <v>133</v>
      </c>
      <c r="C27" s="785" t="s">
        <v>134</v>
      </c>
      <c r="D27" s="787" t="s">
        <v>135</v>
      </c>
      <c r="E27" s="788"/>
      <c r="F27" s="785" t="s">
        <v>16</v>
      </c>
      <c r="G27" s="785">
        <v>300</v>
      </c>
      <c r="H27" s="785" t="s">
        <v>136</v>
      </c>
      <c r="I27" s="787">
        <v>300</v>
      </c>
      <c r="J27" s="107" t="s">
        <v>65</v>
      </c>
      <c r="K27" s="794">
        <v>41</v>
      </c>
      <c r="L27" s="792"/>
      <c r="M27" s="792"/>
      <c r="N27" s="792"/>
      <c r="O27" s="792"/>
      <c r="P27" s="792"/>
      <c r="Q27" s="792"/>
      <c r="R27" s="793"/>
      <c r="S27" s="113">
        <f>SUM(K27)</f>
        <v>41</v>
      </c>
      <c r="T27" s="794">
        <v>33</v>
      </c>
      <c r="U27" s="792"/>
      <c r="V27" s="792"/>
      <c r="W27" s="792"/>
      <c r="X27" s="792"/>
      <c r="Y27" s="792"/>
      <c r="Z27" s="792"/>
      <c r="AA27" s="793"/>
      <c r="AB27" s="113">
        <f>SUM(T27)</f>
        <v>33</v>
      </c>
      <c r="AC27" s="794">
        <v>30</v>
      </c>
      <c r="AD27" s="792"/>
      <c r="AE27" s="792"/>
      <c r="AF27" s="792"/>
      <c r="AG27" s="792"/>
      <c r="AH27" s="792"/>
      <c r="AI27" s="792"/>
      <c r="AJ27" s="793"/>
      <c r="AK27" s="113">
        <f>SUM(AC27)</f>
        <v>30</v>
      </c>
      <c r="AL27" s="791">
        <v>20</v>
      </c>
      <c r="AM27" s="792"/>
      <c r="AN27" s="792"/>
      <c r="AO27" s="792"/>
      <c r="AP27" s="792"/>
      <c r="AQ27" s="792"/>
      <c r="AR27" s="792"/>
      <c r="AS27" s="793"/>
      <c r="AT27" s="108">
        <f>SUM(AL27)</f>
        <v>20</v>
      </c>
      <c r="AU27" s="791">
        <v>20</v>
      </c>
      <c r="AV27" s="792"/>
      <c r="AW27" s="792"/>
      <c r="AX27" s="792"/>
      <c r="AY27" s="792"/>
      <c r="AZ27" s="792"/>
      <c r="BA27" s="792"/>
      <c r="BB27" s="793"/>
      <c r="BC27" s="108">
        <f>SUM(AU27)</f>
        <v>20</v>
      </c>
      <c r="BD27" s="791">
        <v>20</v>
      </c>
      <c r="BE27" s="792"/>
      <c r="BF27" s="792"/>
      <c r="BG27" s="792"/>
      <c r="BH27" s="792"/>
      <c r="BI27" s="792"/>
      <c r="BJ27" s="792"/>
      <c r="BK27" s="793"/>
      <c r="BL27" s="108">
        <f>SUM(BD27)</f>
        <v>20</v>
      </c>
      <c r="BM27" s="791">
        <v>20</v>
      </c>
      <c r="BN27" s="792"/>
      <c r="BO27" s="792"/>
      <c r="BP27" s="792"/>
      <c r="BQ27" s="792"/>
      <c r="BR27" s="792"/>
      <c r="BS27" s="792"/>
      <c r="BT27" s="793"/>
      <c r="BU27" s="108">
        <f>SUM(BM27)</f>
        <v>20</v>
      </c>
      <c r="BV27" s="791">
        <v>20</v>
      </c>
      <c r="BW27" s="792"/>
      <c r="BX27" s="792"/>
      <c r="BY27" s="792"/>
      <c r="BZ27" s="792"/>
      <c r="CA27" s="792"/>
      <c r="CB27" s="792"/>
      <c r="CC27" s="793"/>
      <c r="CD27" s="108">
        <f>SUM(BV27)</f>
        <v>20</v>
      </c>
      <c r="CE27" s="791">
        <v>20</v>
      </c>
      <c r="CF27" s="792"/>
      <c r="CG27" s="792"/>
      <c r="CH27" s="792"/>
      <c r="CI27" s="792"/>
      <c r="CJ27" s="792"/>
      <c r="CK27" s="792"/>
      <c r="CL27" s="793"/>
      <c r="CM27" s="108">
        <f t="shared" si="0"/>
        <v>20</v>
      </c>
      <c r="CN27" s="791">
        <v>20</v>
      </c>
      <c r="CO27" s="792"/>
      <c r="CP27" s="792"/>
      <c r="CQ27" s="792"/>
      <c r="CR27" s="792"/>
      <c r="CS27" s="792"/>
      <c r="CT27" s="792"/>
      <c r="CU27" s="793"/>
      <c r="CV27" s="108">
        <f>SUM(CN27)</f>
        <v>20</v>
      </c>
      <c r="CW27" s="797">
        <v>30</v>
      </c>
      <c r="CX27" s="798"/>
      <c r="CY27" s="798"/>
      <c r="CZ27" s="798"/>
      <c r="DA27" s="798"/>
      <c r="DB27" s="798"/>
      <c r="DC27" s="798"/>
      <c r="DD27" s="799"/>
      <c r="DE27" s="223">
        <f>SUM(CW27)</f>
        <v>30</v>
      </c>
      <c r="DF27" s="791">
        <v>30</v>
      </c>
      <c r="DG27" s="792"/>
      <c r="DH27" s="792"/>
      <c r="DI27" s="792"/>
      <c r="DJ27" s="792"/>
      <c r="DK27" s="792"/>
      <c r="DL27" s="792"/>
      <c r="DM27" s="793"/>
      <c r="DN27" s="108">
        <f>SUM(DF27)</f>
        <v>30</v>
      </c>
      <c r="DO27" s="109">
        <f t="shared" si="1"/>
        <v>304</v>
      </c>
      <c r="DP27" s="110"/>
    </row>
    <row r="28" spans="2:120" ht="287.25" customHeight="1">
      <c r="B28" s="800"/>
      <c r="C28" s="800"/>
      <c r="D28" s="789"/>
      <c r="E28" s="790"/>
      <c r="F28" s="786"/>
      <c r="G28" s="786"/>
      <c r="H28" s="786"/>
      <c r="I28" s="789"/>
      <c r="J28" s="111" t="s">
        <v>66</v>
      </c>
      <c r="K28" s="112">
        <v>15</v>
      </c>
      <c r="L28" s="108">
        <v>10</v>
      </c>
      <c r="M28" s="108">
        <v>8</v>
      </c>
      <c r="N28" s="108">
        <v>8</v>
      </c>
      <c r="O28" s="108">
        <v>0</v>
      </c>
      <c r="P28" s="108">
        <v>0</v>
      </c>
      <c r="Q28" s="108">
        <v>0</v>
      </c>
      <c r="R28" s="108">
        <v>0</v>
      </c>
      <c r="S28" s="117">
        <f>SUM(K28:R28)</f>
        <v>41</v>
      </c>
      <c r="T28" s="108">
        <v>8</v>
      </c>
      <c r="U28" s="108">
        <v>5</v>
      </c>
      <c r="V28" s="108">
        <v>12</v>
      </c>
      <c r="W28" s="108">
        <v>8</v>
      </c>
      <c r="X28" s="108">
        <v>0</v>
      </c>
      <c r="Y28" s="108">
        <v>0</v>
      </c>
      <c r="Z28" s="108">
        <v>0</v>
      </c>
      <c r="AA28" s="108">
        <v>0</v>
      </c>
      <c r="AB28" s="117">
        <f>SUM(T28:AA28)</f>
        <v>33</v>
      </c>
      <c r="AC28" s="114">
        <v>15</v>
      </c>
      <c r="AD28" s="114">
        <v>12</v>
      </c>
      <c r="AE28" s="114">
        <v>10</v>
      </c>
      <c r="AF28" s="114">
        <v>8</v>
      </c>
      <c r="AG28" s="114">
        <v>0</v>
      </c>
      <c r="AH28" s="114">
        <v>0</v>
      </c>
      <c r="AI28" s="114">
        <v>0</v>
      </c>
      <c r="AJ28" s="114">
        <v>0</v>
      </c>
      <c r="AK28" s="117">
        <f>SUM(AC28:AJ28)</f>
        <v>45</v>
      </c>
      <c r="AL28" s="108">
        <v>8</v>
      </c>
      <c r="AM28" s="108">
        <v>6</v>
      </c>
      <c r="AN28" s="108">
        <v>4</v>
      </c>
      <c r="AO28" s="108">
        <v>2</v>
      </c>
      <c r="AP28" s="108">
        <v>0</v>
      </c>
      <c r="AQ28" s="108">
        <v>0</v>
      </c>
      <c r="AR28" s="108">
        <v>0</v>
      </c>
      <c r="AS28" s="108">
        <v>0</v>
      </c>
      <c r="AT28" s="108">
        <f>SUM(AL28:AS28)</f>
        <v>20</v>
      </c>
      <c r="AU28" s="108">
        <v>2</v>
      </c>
      <c r="AV28" s="108">
        <v>2</v>
      </c>
      <c r="AW28" s="108">
        <v>3</v>
      </c>
      <c r="AX28" s="108">
        <v>2</v>
      </c>
      <c r="AY28" s="108">
        <v>0</v>
      </c>
      <c r="AZ28" s="108">
        <v>0</v>
      </c>
      <c r="BA28" s="108">
        <v>0</v>
      </c>
      <c r="BB28" s="108">
        <v>0</v>
      </c>
      <c r="BC28" s="108">
        <f>SUM(AU28:BB28)</f>
        <v>9</v>
      </c>
      <c r="BD28" s="108">
        <v>3</v>
      </c>
      <c r="BE28" s="108">
        <v>0</v>
      </c>
      <c r="BF28" s="108">
        <v>4</v>
      </c>
      <c r="BG28" s="108">
        <v>0</v>
      </c>
      <c r="BH28" s="108">
        <v>0</v>
      </c>
      <c r="BI28" s="108">
        <v>0</v>
      </c>
      <c r="BJ28" s="108">
        <v>0</v>
      </c>
      <c r="BK28" s="108">
        <v>0</v>
      </c>
      <c r="BL28" s="108">
        <f>SUM(BD28:BK28)</f>
        <v>7</v>
      </c>
      <c r="BM28" s="108">
        <v>2</v>
      </c>
      <c r="BN28" s="108">
        <v>1</v>
      </c>
      <c r="BO28" s="108">
        <v>0</v>
      </c>
      <c r="BP28" s="108">
        <v>5</v>
      </c>
      <c r="BQ28" s="108">
        <v>0</v>
      </c>
      <c r="BR28" s="108">
        <v>0</v>
      </c>
      <c r="BS28" s="108">
        <v>0</v>
      </c>
      <c r="BT28" s="108">
        <v>0</v>
      </c>
      <c r="BU28" s="108">
        <f>SUM(BM28:BT28)</f>
        <v>8</v>
      </c>
      <c r="BV28" s="108">
        <v>4</v>
      </c>
      <c r="BW28" s="108">
        <v>6</v>
      </c>
      <c r="BX28" s="108">
        <v>3</v>
      </c>
      <c r="BY28" s="108">
        <v>0</v>
      </c>
      <c r="BZ28" s="108">
        <v>0</v>
      </c>
      <c r="CA28" s="108">
        <v>0</v>
      </c>
      <c r="CB28" s="108">
        <v>0</v>
      </c>
      <c r="CC28" s="108">
        <v>0</v>
      </c>
      <c r="CD28" s="108">
        <f>SUM(BV28:CC28)</f>
        <v>13</v>
      </c>
      <c r="CE28" s="108">
        <v>12</v>
      </c>
      <c r="CF28" s="108">
        <v>9</v>
      </c>
      <c r="CG28" s="108">
        <v>15</v>
      </c>
      <c r="CH28" s="108">
        <v>8</v>
      </c>
      <c r="CI28" s="108">
        <v>0</v>
      </c>
      <c r="CJ28" s="108">
        <v>0</v>
      </c>
      <c r="CK28" s="108">
        <v>0</v>
      </c>
      <c r="CL28" s="108">
        <v>0</v>
      </c>
      <c r="CM28" s="108">
        <f t="shared" si="0"/>
        <v>44</v>
      </c>
      <c r="CN28" s="108">
        <v>4</v>
      </c>
      <c r="CO28" s="108">
        <v>10</v>
      </c>
      <c r="CP28" s="108">
        <v>6</v>
      </c>
      <c r="CQ28" s="108">
        <v>3</v>
      </c>
      <c r="CR28" s="108">
        <v>0</v>
      </c>
      <c r="CS28" s="108">
        <v>0</v>
      </c>
      <c r="CT28" s="108">
        <v>0</v>
      </c>
      <c r="CU28" s="108">
        <v>0</v>
      </c>
      <c r="CV28" s="108">
        <f>SUM(CN28:CU28)</f>
        <v>23</v>
      </c>
      <c r="CW28" s="223">
        <v>7</v>
      </c>
      <c r="CX28" s="223">
        <v>6</v>
      </c>
      <c r="CY28" s="223">
        <v>2</v>
      </c>
      <c r="CZ28" s="223">
        <v>2</v>
      </c>
      <c r="DA28" s="223">
        <v>0</v>
      </c>
      <c r="DB28" s="223">
        <v>0</v>
      </c>
      <c r="DC28" s="223">
        <v>0</v>
      </c>
      <c r="DD28" s="223">
        <v>0</v>
      </c>
      <c r="DE28" s="223">
        <f>SUM(CW28:DD28)</f>
        <v>17</v>
      </c>
      <c r="DF28" s="108">
        <v>6</v>
      </c>
      <c r="DG28" s="108">
        <v>3</v>
      </c>
      <c r="DH28" s="108">
        <v>2</v>
      </c>
      <c r="DI28" s="108">
        <v>1</v>
      </c>
      <c r="DJ28" s="108">
        <v>0</v>
      </c>
      <c r="DK28" s="108">
        <v>0</v>
      </c>
      <c r="DL28" s="108">
        <v>0</v>
      </c>
      <c r="DM28" s="108">
        <v>0</v>
      </c>
      <c r="DN28" s="108">
        <f>SUM(DF28:DM28)</f>
        <v>12</v>
      </c>
      <c r="DO28" s="109">
        <f t="shared" si="1"/>
        <v>272</v>
      </c>
      <c r="DP28" s="110"/>
    </row>
    <row r="29" spans="2:120" ht="287.25" hidden="1" customHeight="1">
      <c r="B29" s="785" t="s">
        <v>133</v>
      </c>
      <c r="C29" s="785" t="s">
        <v>134</v>
      </c>
      <c r="D29" s="787" t="s">
        <v>135</v>
      </c>
      <c r="E29" s="788"/>
      <c r="F29" s="785" t="s">
        <v>16</v>
      </c>
      <c r="G29" s="785">
        <v>300</v>
      </c>
      <c r="H29" s="785" t="s">
        <v>137</v>
      </c>
      <c r="I29" s="787">
        <v>300</v>
      </c>
      <c r="J29" s="107" t="s">
        <v>65</v>
      </c>
      <c r="K29" s="794">
        <v>41</v>
      </c>
      <c r="L29" s="792"/>
      <c r="M29" s="792"/>
      <c r="N29" s="792"/>
      <c r="O29" s="792"/>
      <c r="P29" s="792"/>
      <c r="Q29" s="792"/>
      <c r="R29" s="793"/>
      <c r="S29" s="117">
        <f>SUM(K29)</f>
        <v>41</v>
      </c>
      <c r="T29" s="794">
        <v>33</v>
      </c>
      <c r="U29" s="792"/>
      <c r="V29" s="792"/>
      <c r="W29" s="792"/>
      <c r="X29" s="792"/>
      <c r="Y29" s="792"/>
      <c r="Z29" s="792"/>
      <c r="AA29" s="793"/>
      <c r="AB29" s="117">
        <f>SUM(T29)</f>
        <v>33</v>
      </c>
      <c r="AC29" s="794">
        <v>30</v>
      </c>
      <c r="AD29" s="792"/>
      <c r="AE29" s="792"/>
      <c r="AF29" s="792"/>
      <c r="AG29" s="792"/>
      <c r="AH29" s="792"/>
      <c r="AI29" s="792"/>
      <c r="AJ29" s="793"/>
      <c r="AK29" s="117">
        <f>SUM(AC29)</f>
        <v>30</v>
      </c>
      <c r="AL29" s="791">
        <v>20</v>
      </c>
      <c r="AM29" s="792"/>
      <c r="AN29" s="792"/>
      <c r="AO29" s="792"/>
      <c r="AP29" s="792"/>
      <c r="AQ29" s="792"/>
      <c r="AR29" s="792"/>
      <c r="AS29" s="793"/>
      <c r="AT29" s="108">
        <f>SUM(AL29)</f>
        <v>20</v>
      </c>
      <c r="AU29" s="791">
        <v>20</v>
      </c>
      <c r="AV29" s="792"/>
      <c r="AW29" s="792"/>
      <c r="AX29" s="792"/>
      <c r="AY29" s="792"/>
      <c r="AZ29" s="792"/>
      <c r="BA29" s="792"/>
      <c r="BB29" s="793"/>
      <c r="BC29" s="108">
        <f>SUM(AU29)</f>
        <v>20</v>
      </c>
      <c r="BD29" s="791">
        <v>20</v>
      </c>
      <c r="BE29" s="792"/>
      <c r="BF29" s="792"/>
      <c r="BG29" s="792"/>
      <c r="BH29" s="792"/>
      <c r="BI29" s="792"/>
      <c r="BJ29" s="792"/>
      <c r="BK29" s="793"/>
      <c r="BL29" s="108">
        <f>SUM(BD29)</f>
        <v>20</v>
      </c>
      <c r="BM29" s="791">
        <v>20</v>
      </c>
      <c r="BN29" s="792"/>
      <c r="BO29" s="792"/>
      <c r="BP29" s="792"/>
      <c r="BQ29" s="792"/>
      <c r="BR29" s="792"/>
      <c r="BS29" s="792"/>
      <c r="BT29" s="793"/>
      <c r="BU29" s="108">
        <f>SUM(BM29)</f>
        <v>20</v>
      </c>
      <c r="BV29" s="791">
        <v>20</v>
      </c>
      <c r="BW29" s="792"/>
      <c r="BX29" s="792"/>
      <c r="BY29" s="792"/>
      <c r="BZ29" s="792"/>
      <c r="CA29" s="792"/>
      <c r="CB29" s="792"/>
      <c r="CC29" s="793"/>
      <c r="CD29" s="108">
        <f>SUM(BV29)</f>
        <v>20</v>
      </c>
      <c r="CE29" s="791">
        <v>20</v>
      </c>
      <c r="CF29" s="792"/>
      <c r="CG29" s="792"/>
      <c r="CH29" s="792"/>
      <c r="CI29" s="792"/>
      <c r="CJ29" s="792"/>
      <c r="CK29" s="792"/>
      <c r="CL29" s="793"/>
      <c r="CM29" s="108">
        <f t="shared" si="0"/>
        <v>20</v>
      </c>
      <c r="CN29" s="791">
        <v>20</v>
      </c>
      <c r="CO29" s="792"/>
      <c r="CP29" s="792"/>
      <c r="CQ29" s="792"/>
      <c r="CR29" s="792"/>
      <c r="CS29" s="792"/>
      <c r="CT29" s="792"/>
      <c r="CU29" s="793"/>
      <c r="CV29" s="108">
        <f>SUM(CN29)</f>
        <v>20</v>
      </c>
      <c r="CW29" s="797">
        <v>30</v>
      </c>
      <c r="CX29" s="798"/>
      <c r="CY29" s="798"/>
      <c r="CZ29" s="798"/>
      <c r="DA29" s="798"/>
      <c r="DB29" s="798"/>
      <c r="DC29" s="798"/>
      <c r="DD29" s="799"/>
      <c r="DE29" s="223">
        <f>SUM(CW29)</f>
        <v>30</v>
      </c>
      <c r="DF29" s="791">
        <v>30</v>
      </c>
      <c r="DG29" s="792"/>
      <c r="DH29" s="792"/>
      <c r="DI29" s="792"/>
      <c r="DJ29" s="792"/>
      <c r="DK29" s="792"/>
      <c r="DL29" s="792"/>
      <c r="DM29" s="793"/>
      <c r="DN29" s="108">
        <f>SUM(DF29)</f>
        <v>30</v>
      </c>
      <c r="DO29" s="109">
        <f t="shared" si="1"/>
        <v>304</v>
      </c>
      <c r="DP29" s="110"/>
    </row>
    <row r="30" spans="2:120" ht="287.25" customHeight="1">
      <c r="B30" s="800"/>
      <c r="C30" s="800"/>
      <c r="D30" s="789"/>
      <c r="E30" s="790"/>
      <c r="F30" s="786"/>
      <c r="G30" s="786"/>
      <c r="H30" s="786"/>
      <c r="I30" s="789"/>
      <c r="J30" s="111" t="s">
        <v>66</v>
      </c>
      <c r="K30" s="112">
        <v>12</v>
      </c>
      <c r="L30" s="108">
        <v>18</v>
      </c>
      <c r="M30" s="108">
        <v>5</v>
      </c>
      <c r="N30" s="108">
        <v>2</v>
      </c>
      <c r="O30" s="108">
        <v>0</v>
      </c>
      <c r="P30" s="108">
        <v>0</v>
      </c>
      <c r="Q30" s="108">
        <v>0</v>
      </c>
      <c r="R30" s="108">
        <v>0</v>
      </c>
      <c r="S30" s="117">
        <f>SUM(K30:R30)</f>
        <v>37</v>
      </c>
      <c r="T30" s="108">
        <v>3</v>
      </c>
      <c r="U30" s="108">
        <v>5</v>
      </c>
      <c r="V30" s="108">
        <v>4</v>
      </c>
      <c r="W30" s="108">
        <v>0</v>
      </c>
      <c r="X30" s="108">
        <v>0</v>
      </c>
      <c r="Y30" s="108">
        <v>0</v>
      </c>
      <c r="Z30" s="108">
        <v>0</v>
      </c>
      <c r="AA30" s="108">
        <v>0</v>
      </c>
      <c r="AB30" s="117">
        <f>SUM(T30:AA30)</f>
        <v>12</v>
      </c>
      <c r="AC30" s="114">
        <v>3</v>
      </c>
      <c r="AD30" s="114">
        <v>2</v>
      </c>
      <c r="AE30" s="114">
        <v>5</v>
      </c>
      <c r="AF30" s="114">
        <v>2</v>
      </c>
      <c r="AG30" s="114">
        <v>0</v>
      </c>
      <c r="AH30" s="114">
        <v>0</v>
      </c>
      <c r="AI30" s="114">
        <v>0</v>
      </c>
      <c r="AJ30" s="114">
        <v>0</v>
      </c>
      <c r="AK30" s="117">
        <f>SUM(AC30:AJ30)</f>
        <v>12</v>
      </c>
      <c r="AL30" s="108">
        <v>6</v>
      </c>
      <c r="AM30" s="108">
        <v>4</v>
      </c>
      <c r="AN30" s="108">
        <v>3</v>
      </c>
      <c r="AO30" s="108">
        <v>5</v>
      </c>
      <c r="AP30" s="108">
        <v>0</v>
      </c>
      <c r="AQ30" s="108">
        <v>0</v>
      </c>
      <c r="AR30" s="108">
        <v>0</v>
      </c>
      <c r="AS30" s="108">
        <v>0</v>
      </c>
      <c r="AT30" s="108">
        <f>SUM(AL30:AS30)</f>
        <v>18</v>
      </c>
      <c r="AU30" s="108">
        <v>6</v>
      </c>
      <c r="AV30" s="108">
        <v>1</v>
      </c>
      <c r="AW30" s="108">
        <v>4</v>
      </c>
      <c r="AX30" s="108">
        <v>1</v>
      </c>
      <c r="AY30" s="108"/>
      <c r="AZ30" s="108"/>
      <c r="BA30" s="108"/>
      <c r="BB30" s="108"/>
      <c r="BC30" s="108">
        <f>SUM(AU30:BB30)</f>
        <v>12</v>
      </c>
      <c r="BD30" s="108">
        <v>3</v>
      </c>
      <c r="BE30" s="108">
        <v>0</v>
      </c>
      <c r="BF30" s="108">
        <v>6</v>
      </c>
      <c r="BG30" s="108">
        <v>0</v>
      </c>
      <c r="BH30" s="108">
        <v>0</v>
      </c>
      <c r="BI30" s="108">
        <v>0</v>
      </c>
      <c r="BJ30" s="108">
        <v>0</v>
      </c>
      <c r="BK30" s="108">
        <v>0</v>
      </c>
      <c r="BL30" s="108">
        <f>SUM(BD30:BK30)</f>
        <v>9</v>
      </c>
      <c r="BM30" s="108">
        <v>0</v>
      </c>
      <c r="BN30" s="108">
        <v>0</v>
      </c>
      <c r="BO30" s="108">
        <v>0</v>
      </c>
      <c r="BP30" s="108">
        <v>3</v>
      </c>
      <c r="BQ30" s="108">
        <v>0</v>
      </c>
      <c r="BR30" s="108">
        <v>0</v>
      </c>
      <c r="BS30" s="108">
        <v>0</v>
      </c>
      <c r="BT30" s="108">
        <v>0</v>
      </c>
      <c r="BU30" s="108">
        <f>SUM(BM30:BT30)</f>
        <v>3</v>
      </c>
      <c r="BV30" s="108">
        <v>2</v>
      </c>
      <c r="BW30" s="108">
        <v>1</v>
      </c>
      <c r="BX30" s="108">
        <v>0</v>
      </c>
      <c r="BY30" s="108">
        <v>3</v>
      </c>
      <c r="BZ30" s="108">
        <v>0</v>
      </c>
      <c r="CA30" s="108">
        <v>0</v>
      </c>
      <c r="CB30" s="108">
        <v>0</v>
      </c>
      <c r="CC30" s="108">
        <v>0</v>
      </c>
      <c r="CD30" s="108">
        <f>SUM(BV30:CC30)</f>
        <v>6</v>
      </c>
      <c r="CE30" s="108">
        <v>6</v>
      </c>
      <c r="CF30" s="108">
        <v>3</v>
      </c>
      <c r="CG30" s="108">
        <v>6</v>
      </c>
      <c r="CH30" s="108">
        <v>2</v>
      </c>
      <c r="CI30" s="108">
        <v>0</v>
      </c>
      <c r="CJ30" s="108">
        <v>0</v>
      </c>
      <c r="CK30" s="108">
        <v>0</v>
      </c>
      <c r="CL30" s="108">
        <v>0</v>
      </c>
      <c r="CM30" s="108">
        <f t="shared" si="0"/>
        <v>17</v>
      </c>
      <c r="CN30" s="108">
        <v>0</v>
      </c>
      <c r="CO30" s="108">
        <v>10</v>
      </c>
      <c r="CP30" s="108">
        <v>3</v>
      </c>
      <c r="CQ30" s="108">
        <v>3</v>
      </c>
      <c r="CR30" s="108">
        <v>0</v>
      </c>
      <c r="CS30" s="108">
        <v>0</v>
      </c>
      <c r="CT30" s="108">
        <v>0</v>
      </c>
      <c r="CU30" s="108">
        <v>0</v>
      </c>
      <c r="CV30" s="108">
        <f>SUM(CN30:CU30)</f>
        <v>16</v>
      </c>
      <c r="CW30" s="223">
        <v>5</v>
      </c>
      <c r="CX30" s="223">
        <v>8</v>
      </c>
      <c r="CY30" s="223">
        <v>0</v>
      </c>
      <c r="CZ30" s="223">
        <v>2</v>
      </c>
      <c r="DA30" s="223">
        <v>0</v>
      </c>
      <c r="DB30" s="223">
        <v>0</v>
      </c>
      <c r="DC30" s="223">
        <v>0</v>
      </c>
      <c r="DD30" s="223">
        <v>0</v>
      </c>
      <c r="DE30" s="223">
        <f>SUM(CW30:DD30)</f>
        <v>15</v>
      </c>
      <c r="DF30" s="108">
        <v>6</v>
      </c>
      <c r="DG30" s="108">
        <v>3</v>
      </c>
      <c r="DH30" s="108">
        <v>0</v>
      </c>
      <c r="DI30" s="108">
        <v>0</v>
      </c>
      <c r="DJ30" s="108">
        <v>0</v>
      </c>
      <c r="DK30" s="108">
        <v>0</v>
      </c>
      <c r="DL30" s="108">
        <v>0</v>
      </c>
      <c r="DM30" s="108">
        <v>0</v>
      </c>
      <c r="DN30" s="108">
        <f>SUM(DF30:DM30)</f>
        <v>9</v>
      </c>
      <c r="DO30" s="109">
        <f t="shared" si="1"/>
        <v>166</v>
      </c>
      <c r="DP30" s="110"/>
    </row>
    <row r="31" spans="2:120" ht="287.25" hidden="1" customHeight="1">
      <c r="B31" s="785" t="s">
        <v>133</v>
      </c>
      <c r="C31" s="785" t="s">
        <v>134</v>
      </c>
      <c r="D31" s="787" t="s">
        <v>135</v>
      </c>
      <c r="E31" s="788"/>
      <c r="F31" s="785" t="s">
        <v>16</v>
      </c>
      <c r="G31" s="785">
        <v>600</v>
      </c>
      <c r="H31" s="785" t="s">
        <v>138</v>
      </c>
      <c r="I31" s="787">
        <v>600</v>
      </c>
      <c r="J31" s="107" t="s">
        <v>65</v>
      </c>
      <c r="K31" s="794">
        <v>50</v>
      </c>
      <c r="L31" s="792"/>
      <c r="M31" s="792"/>
      <c r="N31" s="792"/>
      <c r="O31" s="792"/>
      <c r="P31" s="792"/>
      <c r="Q31" s="792"/>
      <c r="R31" s="793"/>
      <c r="S31" s="117">
        <f>SUM(K31)</f>
        <v>50</v>
      </c>
      <c r="T31" s="794">
        <v>50</v>
      </c>
      <c r="U31" s="792"/>
      <c r="V31" s="792"/>
      <c r="W31" s="792"/>
      <c r="X31" s="792"/>
      <c r="Y31" s="792"/>
      <c r="Z31" s="792"/>
      <c r="AA31" s="793"/>
      <c r="AB31" s="117">
        <f>SUM(T31)</f>
        <v>50</v>
      </c>
      <c r="AC31" s="794">
        <v>50</v>
      </c>
      <c r="AD31" s="792"/>
      <c r="AE31" s="792"/>
      <c r="AF31" s="792"/>
      <c r="AG31" s="792"/>
      <c r="AH31" s="792"/>
      <c r="AI31" s="792"/>
      <c r="AJ31" s="793"/>
      <c r="AK31" s="117">
        <f>SUM(AC31)</f>
        <v>50</v>
      </c>
      <c r="AL31" s="791">
        <v>50</v>
      </c>
      <c r="AM31" s="792"/>
      <c r="AN31" s="792"/>
      <c r="AO31" s="792"/>
      <c r="AP31" s="792"/>
      <c r="AQ31" s="792"/>
      <c r="AR31" s="792"/>
      <c r="AS31" s="793"/>
      <c r="AT31" s="108">
        <f>SUM(AL31)</f>
        <v>50</v>
      </c>
      <c r="AU31" s="791">
        <v>50</v>
      </c>
      <c r="AV31" s="792"/>
      <c r="AW31" s="792"/>
      <c r="AX31" s="792"/>
      <c r="AY31" s="792"/>
      <c r="AZ31" s="792"/>
      <c r="BA31" s="792"/>
      <c r="BB31" s="793"/>
      <c r="BC31" s="108">
        <f>SUM(AU31)</f>
        <v>50</v>
      </c>
      <c r="BD31" s="791">
        <v>50</v>
      </c>
      <c r="BE31" s="792"/>
      <c r="BF31" s="792"/>
      <c r="BG31" s="792"/>
      <c r="BH31" s="792"/>
      <c r="BI31" s="792"/>
      <c r="BJ31" s="792"/>
      <c r="BK31" s="793"/>
      <c r="BL31" s="108">
        <f>SUM(BD31)</f>
        <v>50</v>
      </c>
      <c r="BM31" s="791">
        <v>50</v>
      </c>
      <c r="BN31" s="792"/>
      <c r="BO31" s="792"/>
      <c r="BP31" s="792"/>
      <c r="BQ31" s="792"/>
      <c r="BR31" s="792"/>
      <c r="BS31" s="792"/>
      <c r="BT31" s="793"/>
      <c r="BU31" s="108">
        <f>SUM(BM31)</f>
        <v>50</v>
      </c>
      <c r="BV31" s="791">
        <v>50</v>
      </c>
      <c r="BW31" s="792"/>
      <c r="BX31" s="792"/>
      <c r="BY31" s="792"/>
      <c r="BZ31" s="792"/>
      <c r="CA31" s="792"/>
      <c r="CB31" s="792"/>
      <c r="CC31" s="793"/>
      <c r="CD31" s="108">
        <f>SUM(BV31)</f>
        <v>50</v>
      </c>
      <c r="CE31" s="791">
        <v>50</v>
      </c>
      <c r="CF31" s="792"/>
      <c r="CG31" s="792"/>
      <c r="CH31" s="792"/>
      <c r="CI31" s="792"/>
      <c r="CJ31" s="792"/>
      <c r="CK31" s="792"/>
      <c r="CL31" s="793"/>
      <c r="CM31" s="108">
        <f t="shared" si="0"/>
        <v>50</v>
      </c>
      <c r="CN31" s="791">
        <v>50</v>
      </c>
      <c r="CO31" s="792"/>
      <c r="CP31" s="792"/>
      <c r="CQ31" s="792"/>
      <c r="CR31" s="792"/>
      <c r="CS31" s="792"/>
      <c r="CT31" s="792"/>
      <c r="CU31" s="793"/>
      <c r="CV31" s="108">
        <f>SUM(CN31)</f>
        <v>50</v>
      </c>
      <c r="CW31" s="797">
        <v>50</v>
      </c>
      <c r="CX31" s="798"/>
      <c r="CY31" s="798"/>
      <c r="CZ31" s="798"/>
      <c r="DA31" s="798"/>
      <c r="DB31" s="798"/>
      <c r="DC31" s="798"/>
      <c r="DD31" s="799"/>
      <c r="DE31" s="223">
        <f>SUM(CW31)</f>
        <v>50</v>
      </c>
      <c r="DF31" s="791">
        <v>50</v>
      </c>
      <c r="DG31" s="792"/>
      <c r="DH31" s="792"/>
      <c r="DI31" s="792"/>
      <c r="DJ31" s="792"/>
      <c r="DK31" s="792"/>
      <c r="DL31" s="792"/>
      <c r="DM31" s="793"/>
      <c r="DN31" s="108">
        <f>SUM(DF31)</f>
        <v>50</v>
      </c>
      <c r="DO31" s="109">
        <f t="shared" si="1"/>
        <v>600</v>
      </c>
      <c r="DP31" s="110"/>
    </row>
    <row r="32" spans="2:120" ht="287.25" customHeight="1">
      <c r="B32" s="800"/>
      <c r="C32" s="800"/>
      <c r="D32" s="789"/>
      <c r="E32" s="790"/>
      <c r="F32" s="786"/>
      <c r="G32" s="786"/>
      <c r="H32" s="786"/>
      <c r="I32" s="789"/>
      <c r="J32" s="111" t="s">
        <v>66</v>
      </c>
      <c r="K32" s="112">
        <v>13</v>
      </c>
      <c r="L32" s="108">
        <v>15</v>
      </c>
      <c r="M32" s="108">
        <v>10</v>
      </c>
      <c r="N32" s="108">
        <v>10</v>
      </c>
      <c r="O32" s="108">
        <v>0</v>
      </c>
      <c r="P32" s="108">
        <v>0</v>
      </c>
      <c r="Q32" s="108">
        <v>0</v>
      </c>
      <c r="R32" s="108">
        <v>0</v>
      </c>
      <c r="S32" s="117">
        <f>SUM(K32:R32)</f>
        <v>48</v>
      </c>
      <c r="T32" s="108">
        <v>25</v>
      </c>
      <c r="U32" s="108">
        <v>12</v>
      </c>
      <c r="V32" s="108">
        <v>5</v>
      </c>
      <c r="W32" s="108">
        <v>10</v>
      </c>
      <c r="X32" s="108">
        <v>0</v>
      </c>
      <c r="Y32" s="108">
        <v>0</v>
      </c>
      <c r="Z32" s="108">
        <v>0</v>
      </c>
      <c r="AA32" s="108">
        <v>0</v>
      </c>
      <c r="AB32" s="117">
        <f>SUM(T32:AA32)</f>
        <v>52</v>
      </c>
      <c r="AC32" s="114">
        <v>2</v>
      </c>
      <c r="AD32" s="114">
        <v>2</v>
      </c>
      <c r="AE32" s="114">
        <v>3</v>
      </c>
      <c r="AF32" s="114">
        <v>3</v>
      </c>
      <c r="AG32" s="114">
        <v>0</v>
      </c>
      <c r="AH32" s="114">
        <v>0</v>
      </c>
      <c r="AI32" s="114">
        <v>0</v>
      </c>
      <c r="AJ32" s="114">
        <v>0</v>
      </c>
      <c r="AK32" s="117">
        <f>SUM(AC32:AJ32)</f>
        <v>10</v>
      </c>
      <c r="AL32" s="108">
        <v>6</v>
      </c>
      <c r="AM32" s="108">
        <v>6</v>
      </c>
      <c r="AN32" s="108">
        <v>27</v>
      </c>
      <c r="AO32" s="108">
        <v>8</v>
      </c>
      <c r="AP32" s="108">
        <v>0</v>
      </c>
      <c r="AQ32" s="108">
        <v>0</v>
      </c>
      <c r="AR32" s="108">
        <v>0</v>
      </c>
      <c r="AS32" s="108">
        <v>0</v>
      </c>
      <c r="AT32" s="108">
        <f>SUM(AL32:AS32)</f>
        <v>47</v>
      </c>
      <c r="AU32" s="108">
        <v>2</v>
      </c>
      <c r="AV32" s="108">
        <v>1</v>
      </c>
      <c r="AW32" s="108">
        <v>13</v>
      </c>
      <c r="AX32" s="108">
        <v>3</v>
      </c>
      <c r="AY32" s="108">
        <v>0</v>
      </c>
      <c r="AZ32" s="108">
        <v>0</v>
      </c>
      <c r="BA32" s="108">
        <v>0</v>
      </c>
      <c r="BB32" s="108">
        <v>0</v>
      </c>
      <c r="BC32" s="108">
        <f>SUM(AU32:BB32)</f>
        <v>19</v>
      </c>
      <c r="BD32" s="108">
        <v>2</v>
      </c>
      <c r="BE32" s="108">
        <v>0</v>
      </c>
      <c r="BF32" s="108">
        <v>10</v>
      </c>
      <c r="BG32" s="108">
        <v>1</v>
      </c>
      <c r="BH32" s="108">
        <v>0</v>
      </c>
      <c r="BI32" s="108">
        <v>0</v>
      </c>
      <c r="BJ32" s="108">
        <v>0</v>
      </c>
      <c r="BK32" s="108">
        <v>0</v>
      </c>
      <c r="BL32" s="108">
        <f>SUM(BD32:BK32)</f>
        <v>13</v>
      </c>
      <c r="BM32" s="108">
        <v>3</v>
      </c>
      <c r="BN32" s="108">
        <v>2</v>
      </c>
      <c r="BO32" s="108">
        <v>11</v>
      </c>
      <c r="BP32" s="108">
        <v>9</v>
      </c>
      <c r="BQ32" s="108">
        <v>0</v>
      </c>
      <c r="BR32" s="108">
        <v>0</v>
      </c>
      <c r="BS32" s="108">
        <v>0</v>
      </c>
      <c r="BT32" s="108">
        <v>0</v>
      </c>
      <c r="BU32" s="108">
        <f>SUM(BM32:BT32)</f>
        <v>25</v>
      </c>
      <c r="BV32" s="108">
        <v>4</v>
      </c>
      <c r="BW32" s="108">
        <v>17</v>
      </c>
      <c r="BX32" s="108">
        <v>8</v>
      </c>
      <c r="BY32" s="108">
        <v>5</v>
      </c>
      <c r="BZ32" s="108">
        <v>0</v>
      </c>
      <c r="CA32" s="108">
        <v>0</v>
      </c>
      <c r="CB32" s="108">
        <v>0</v>
      </c>
      <c r="CC32" s="108">
        <v>0</v>
      </c>
      <c r="CD32" s="108">
        <f>SUM(BV32:CC32)</f>
        <v>34</v>
      </c>
      <c r="CE32" s="108">
        <v>10</v>
      </c>
      <c r="CF32" s="108">
        <v>3</v>
      </c>
      <c r="CG32" s="108">
        <v>7</v>
      </c>
      <c r="CH32" s="108">
        <v>1</v>
      </c>
      <c r="CI32" s="108">
        <v>0</v>
      </c>
      <c r="CJ32" s="108">
        <v>0</v>
      </c>
      <c r="CK32" s="108">
        <v>0</v>
      </c>
      <c r="CL32" s="108">
        <v>0</v>
      </c>
      <c r="CM32" s="108">
        <f t="shared" si="0"/>
        <v>21</v>
      </c>
      <c r="CN32" s="108">
        <v>5</v>
      </c>
      <c r="CO32" s="108">
        <v>11</v>
      </c>
      <c r="CP32" s="108">
        <v>10</v>
      </c>
      <c r="CQ32" s="108">
        <v>3</v>
      </c>
      <c r="CR32" s="108">
        <v>0</v>
      </c>
      <c r="CS32" s="108">
        <v>0</v>
      </c>
      <c r="CT32" s="108">
        <v>0</v>
      </c>
      <c r="CU32" s="108">
        <v>0</v>
      </c>
      <c r="CV32" s="108">
        <f>SUM(CN32:CU32)</f>
        <v>29</v>
      </c>
      <c r="CW32" s="223">
        <v>8</v>
      </c>
      <c r="CX32" s="223">
        <v>15</v>
      </c>
      <c r="CY32" s="223">
        <v>7</v>
      </c>
      <c r="CZ32" s="223">
        <v>1</v>
      </c>
      <c r="DA32" s="223">
        <v>0</v>
      </c>
      <c r="DB32" s="223">
        <v>0</v>
      </c>
      <c r="DC32" s="223">
        <v>0</v>
      </c>
      <c r="DD32" s="223">
        <v>0</v>
      </c>
      <c r="DE32" s="223">
        <f>SUM(CW32:DD32)</f>
        <v>31</v>
      </c>
      <c r="DF32" s="108">
        <v>7</v>
      </c>
      <c r="DG32" s="108">
        <v>3</v>
      </c>
      <c r="DH32" s="108">
        <v>2</v>
      </c>
      <c r="DI32" s="108">
        <v>0</v>
      </c>
      <c r="DJ32" s="108">
        <v>0</v>
      </c>
      <c r="DK32" s="108">
        <v>0</v>
      </c>
      <c r="DL32" s="108">
        <v>0</v>
      </c>
      <c r="DM32" s="108">
        <v>0</v>
      </c>
      <c r="DN32" s="108">
        <f>SUM(DF32:DM32)</f>
        <v>12</v>
      </c>
      <c r="DO32" s="109">
        <f t="shared" si="1"/>
        <v>341</v>
      </c>
      <c r="DP32" s="110"/>
    </row>
    <row r="33" spans="2:120" ht="287.25" hidden="1" customHeight="1">
      <c r="B33" s="785" t="s">
        <v>133</v>
      </c>
      <c r="C33" s="785" t="s">
        <v>134</v>
      </c>
      <c r="D33" s="787" t="s">
        <v>135</v>
      </c>
      <c r="E33" s="788"/>
      <c r="F33" s="785" t="s">
        <v>16</v>
      </c>
      <c r="G33" s="785">
        <v>500</v>
      </c>
      <c r="H33" s="785" t="s">
        <v>139</v>
      </c>
      <c r="I33" s="787">
        <v>500</v>
      </c>
      <c r="J33" s="107" t="s">
        <v>65</v>
      </c>
      <c r="K33" s="794">
        <v>75</v>
      </c>
      <c r="L33" s="792"/>
      <c r="M33" s="792"/>
      <c r="N33" s="792"/>
      <c r="O33" s="792"/>
      <c r="P33" s="792"/>
      <c r="Q33" s="792"/>
      <c r="R33" s="793"/>
      <c r="S33" s="117">
        <f>SUM(K33)</f>
        <v>75</v>
      </c>
      <c r="T33" s="794">
        <v>28</v>
      </c>
      <c r="U33" s="792"/>
      <c r="V33" s="792"/>
      <c r="W33" s="792"/>
      <c r="X33" s="792"/>
      <c r="Y33" s="792"/>
      <c r="Z33" s="792"/>
      <c r="AA33" s="793"/>
      <c r="AB33" s="117">
        <f>SUM(T33)</f>
        <v>28</v>
      </c>
      <c r="AC33" s="794">
        <v>20</v>
      </c>
      <c r="AD33" s="792"/>
      <c r="AE33" s="792"/>
      <c r="AF33" s="792"/>
      <c r="AG33" s="792"/>
      <c r="AH33" s="792"/>
      <c r="AI33" s="792"/>
      <c r="AJ33" s="793"/>
      <c r="AK33" s="117">
        <f>SUM(AC33)</f>
        <v>20</v>
      </c>
      <c r="AL33" s="791">
        <v>30</v>
      </c>
      <c r="AM33" s="792"/>
      <c r="AN33" s="792"/>
      <c r="AO33" s="792"/>
      <c r="AP33" s="792"/>
      <c r="AQ33" s="792"/>
      <c r="AR33" s="792"/>
      <c r="AS33" s="793"/>
      <c r="AT33" s="108">
        <f>SUM(AL33)</f>
        <v>30</v>
      </c>
      <c r="AU33" s="791">
        <v>40</v>
      </c>
      <c r="AV33" s="792"/>
      <c r="AW33" s="792"/>
      <c r="AX33" s="792"/>
      <c r="AY33" s="792"/>
      <c r="AZ33" s="792"/>
      <c r="BA33" s="792"/>
      <c r="BB33" s="793"/>
      <c r="BC33" s="108">
        <f>SUM(AU33)</f>
        <v>40</v>
      </c>
      <c r="BD33" s="791">
        <v>40</v>
      </c>
      <c r="BE33" s="792"/>
      <c r="BF33" s="792"/>
      <c r="BG33" s="792"/>
      <c r="BH33" s="792"/>
      <c r="BI33" s="792"/>
      <c r="BJ33" s="792"/>
      <c r="BK33" s="793"/>
      <c r="BL33" s="108">
        <f>SUM(BD33)</f>
        <v>40</v>
      </c>
      <c r="BM33" s="791">
        <v>47</v>
      </c>
      <c r="BN33" s="792"/>
      <c r="BO33" s="792"/>
      <c r="BP33" s="792"/>
      <c r="BQ33" s="792"/>
      <c r="BR33" s="792"/>
      <c r="BS33" s="792"/>
      <c r="BT33" s="793"/>
      <c r="BU33" s="108">
        <f>SUM(BM33)</f>
        <v>47</v>
      </c>
      <c r="BV33" s="791">
        <v>47</v>
      </c>
      <c r="BW33" s="792"/>
      <c r="BX33" s="792"/>
      <c r="BY33" s="792"/>
      <c r="BZ33" s="792"/>
      <c r="CA33" s="792"/>
      <c r="CB33" s="792"/>
      <c r="CC33" s="793"/>
      <c r="CD33" s="108">
        <f>SUM(BV33)</f>
        <v>47</v>
      </c>
      <c r="CE33" s="791">
        <v>47</v>
      </c>
      <c r="CF33" s="792"/>
      <c r="CG33" s="792"/>
      <c r="CH33" s="792"/>
      <c r="CI33" s="792"/>
      <c r="CJ33" s="792"/>
      <c r="CK33" s="792"/>
      <c r="CL33" s="793"/>
      <c r="CM33" s="108">
        <f t="shared" si="0"/>
        <v>47</v>
      </c>
      <c r="CN33" s="791">
        <v>40</v>
      </c>
      <c r="CO33" s="792"/>
      <c r="CP33" s="792"/>
      <c r="CQ33" s="792"/>
      <c r="CR33" s="792"/>
      <c r="CS33" s="792"/>
      <c r="CT33" s="792"/>
      <c r="CU33" s="793"/>
      <c r="CV33" s="108">
        <f>SUM(CN33)</f>
        <v>40</v>
      </c>
      <c r="CW33" s="797">
        <v>40</v>
      </c>
      <c r="CX33" s="798"/>
      <c r="CY33" s="798"/>
      <c r="CZ33" s="798"/>
      <c r="DA33" s="798"/>
      <c r="DB33" s="798"/>
      <c r="DC33" s="798"/>
      <c r="DD33" s="799"/>
      <c r="DE33" s="223">
        <f>SUM(CW33)</f>
        <v>40</v>
      </c>
      <c r="DF33" s="791">
        <v>40</v>
      </c>
      <c r="DG33" s="792"/>
      <c r="DH33" s="792"/>
      <c r="DI33" s="792"/>
      <c r="DJ33" s="792"/>
      <c r="DK33" s="792"/>
      <c r="DL33" s="792"/>
      <c r="DM33" s="793"/>
      <c r="DN33" s="108">
        <f>SUM(DF33)</f>
        <v>40</v>
      </c>
      <c r="DO33" s="109">
        <f t="shared" si="1"/>
        <v>494</v>
      </c>
      <c r="DP33" s="110"/>
    </row>
    <row r="34" spans="2:120" ht="287.25" customHeight="1">
      <c r="B34" s="800"/>
      <c r="C34" s="800"/>
      <c r="D34" s="789"/>
      <c r="E34" s="790"/>
      <c r="F34" s="786"/>
      <c r="G34" s="786"/>
      <c r="H34" s="786"/>
      <c r="I34" s="789"/>
      <c r="J34" s="111" t="s">
        <v>66</v>
      </c>
      <c r="K34" s="112">
        <v>18</v>
      </c>
      <c r="L34" s="108">
        <v>12</v>
      </c>
      <c r="M34" s="108">
        <v>20</v>
      </c>
      <c r="N34" s="108">
        <v>25</v>
      </c>
      <c r="O34" s="108">
        <v>0</v>
      </c>
      <c r="P34" s="108">
        <v>0</v>
      </c>
      <c r="Q34" s="108">
        <v>0</v>
      </c>
      <c r="R34" s="108">
        <v>0</v>
      </c>
      <c r="S34" s="117">
        <f>SUM(K34:R34)</f>
        <v>75</v>
      </c>
      <c r="T34" s="108">
        <v>5</v>
      </c>
      <c r="U34" s="108">
        <v>8</v>
      </c>
      <c r="V34" s="108">
        <v>10</v>
      </c>
      <c r="W34" s="108">
        <v>5</v>
      </c>
      <c r="X34" s="108">
        <v>0</v>
      </c>
      <c r="Y34" s="108">
        <v>0</v>
      </c>
      <c r="Z34" s="108">
        <v>0</v>
      </c>
      <c r="AA34" s="108">
        <v>0</v>
      </c>
      <c r="AB34" s="117">
        <f>SUM(T34:AA34)</f>
        <v>28</v>
      </c>
      <c r="AC34" s="114">
        <v>10</v>
      </c>
      <c r="AD34" s="114">
        <v>5</v>
      </c>
      <c r="AE34" s="114">
        <v>3</v>
      </c>
      <c r="AF34" s="114">
        <v>5</v>
      </c>
      <c r="AG34" s="114">
        <v>0</v>
      </c>
      <c r="AH34" s="114">
        <v>0</v>
      </c>
      <c r="AI34" s="114">
        <v>0</v>
      </c>
      <c r="AJ34" s="114">
        <v>0</v>
      </c>
      <c r="AK34" s="117">
        <f>SUM(AC34:AJ34)</f>
        <v>23</v>
      </c>
      <c r="AL34" s="108">
        <v>0</v>
      </c>
      <c r="AM34" s="108">
        <v>0</v>
      </c>
      <c r="AN34" s="108">
        <v>14</v>
      </c>
      <c r="AO34" s="108">
        <v>14</v>
      </c>
      <c r="AP34" s="108">
        <v>0</v>
      </c>
      <c r="AQ34" s="108">
        <v>0</v>
      </c>
      <c r="AR34" s="108">
        <v>0</v>
      </c>
      <c r="AS34" s="108">
        <v>0</v>
      </c>
      <c r="AT34" s="108">
        <f>SUM(AL34:AS34)</f>
        <v>28</v>
      </c>
      <c r="AU34" s="108">
        <v>2</v>
      </c>
      <c r="AV34" s="108">
        <v>4</v>
      </c>
      <c r="AW34" s="108">
        <v>13</v>
      </c>
      <c r="AX34" s="108">
        <v>11</v>
      </c>
      <c r="AY34" s="108">
        <v>0</v>
      </c>
      <c r="AZ34" s="108">
        <v>0</v>
      </c>
      <c r="BA34" s="108">
        <v>0</v>
      </c>
      <c r="BB34" s="108">
        <v>0</v>
      </c>
      <c r="BC34" s="108">
        <f>SUM(AU34:BB34)</f>
        <v>30</v>
      </c>
      <c r="BD34" s="108">
        <v>0</v>
      </c>
      <c r="BE34" s="108">
        <v>3</v>
      </c>
      <c r="BF34" s="108">
        <v>7</v>
      </c>
      <c r="BG34" s="108">
        <v>1</v>
      </c>
      <c r="BH34" s="108">
        <v>0</v>
      </c>
      <c r="BI34" s="108">
        <v>0</v>
      </c>
      <c r="BJ34" s="108">
        <v>0</v>
      </c>
      <c r="BK34" s="108">
        <v>0</v>
      </c>
      <c r="BL34" s="108">
        <f>SUM(BD34:BK34)</f>
        <v>11</v>
      </c>
      <c r="BM34" s="108">
        <v>0</v>
      </c>
      <c r="BN34" s="108">
        <v>0</v>
      </c>
      <c r="BO34" s="108">
        <v>5</v>
      </c>
      <c r="BP34" s="108">
        <v>3</v>
      </c>
      <c r="BQ34" s="108">
        <v>0</v>
      </c>
      <c r="BR34" s="108">
        <v>0</v>
      </c>
      <c r="BS34" s="108">
        <v>0</v>
      </c>
      <c r="BT34" s="108">
        <v>0</v>
      </c>
      <c r="BU34" s="108">
        <f>SUM(BM34:BT34)</f>
        <v>8</v>
      </c>
      <c r="BV34" s="108">
        <v>1</v>
      </c>
      <c r="BW34" s="108">
        <v>7</v>
      </c>
      <c r="BX34" s="108">
        <v>5</v>
      </c>
      <c r="BY34" s="108">
        <v>7</v>
      </c>
      <c r="BZ34" s="108">
        <v>0</v>
      </c>
      <c r="CA34" s="108">
        <v>0</v>
      </c>
      <c r="CB34" s="108">
        <v>0</v>
      </c>
      <c r="CC34" s="108">
        <v>0</v>
      </c>
      <c r="CD34" s="108">
        <f>SUM(BV34:CC34)</f>
        <v>20</v>
      </c>
      <c r="CE34" s="108">
        <v>2</v>
      </c>
      <c r="CF34" s="108">
        <v>0</v>
      </c>
      <c r="CG34" s="108">
        <v>11</v>
      </c>
      <c r="CH34" s="108">
        <v>3</v>
      </c>
      <c r="CI34" s="108">
        <v>0</v>
      </c>
      <c r="CJ34" s="108">
        <v>0</v>
      </c>
      <c r="CK34" s="108">
        <v>0</v>
      </c>
      <c r="CL34" s="108">
        <v>0</v>
      </c>
      <c r="CM34" s="108">
        <f t="shared" si="0"/>
        <v>16</v>
      </c>
      <c r="CN34" s="108">
        <v>1</v>
      </c>
      <c r="CO34" s="108">
        <v>2</v>
      </c>
      <c r="CP34" s="108">
        <v>10</v>
      </c>
      <c r="CQ34" s="108">
        <v>4</v>
      </c>
      <c r="CR34" s="108">
        <v>0</v>
      </c>
      <c r="CS34" s="108">
        <v>0</v>
      </c>
      <c r="CT34" s="108">
        <v>0</v>
      </c>
      <c r="CU34" s="108">
        <v>0</v>
      </c>
      <c r="CV34" s="108">
        <f>SUM(CN34:CU34)</f>
        <v>17</v>
      </c>
      <c r="CW34" s="223">
        <v>2</v>
      </c>
      <c r="CX34" s="223">
        <v>3</v>
      </c>
      <c r="CY34" s="223">
        <v>14</v>
      </c>
      <c r="CZ34" s="223">
        <v>6</v>
      </c>
      <c r="DA34" s="223">
        <v>0</v>
      </c>
      <c r="DB34" s="223">
        <v>0</v>
      </c>
      <c r="DC34" s="223">
        <v>0</v>
      </c>
      <c r="DD34" s="223">
        <v>0</v>
      </c>
      <c r="DE34" s="223">
        <f>SUM(CW34:DD34)</f>
        <v>25</v>
      </c>
      <c r="DF34" s="108">
        <v>3</v>
      </c>
      <c r="DG34" s="108">
        <v>2</v>
      </c>
      <c r="DH34" s="108">
        <v>6</v>
      </c>
      <c r="DI34" s="108">
        <v>5</v>
      </c>
      <c r="DJ34" s="108">
        <v>0</v>
      </c>
      <c r="DK34" s="108">
        <v>0</v>
      </c>
      <c r="DL34" s="108">
        <v>0</v>
      </c>
      <c r="DM34" s="108">
        <v>0</v>
      </c>
      <c r="DN34" s="108">
        <f>SUM(DF34:DM34)</f>
        <v>16</v>
      </c>
      <c r="DO34" s="109">
        <f t="shared" si="1"/>
        <v>297</v>
      </c>
      <c r="DP34" s="110"/>
    </row>
    <row r="35" spans="2:120" ht="287.25" hidden="1" customHeight="1">
      <c r="B35" s="785" t="s">
        <v>133</v>
      </c>
      <c r="C35" s="785" t="s">
        <v>134</v>
      </c>
      <c r="D35" s="787" t="s">
        <v>135</v>
      </c>
      <c r="E35" s="788"/>
      <c r="F35" s="785" t="s">
        <v>16</v>
      </c>
      <c r="G35" s="785">
        <v>500</v>
      </c>
      <c r="H35" s="785" t="s">
        <v>140</v>
      </c>
      <c r="I35" s="787">
        <v>50</v>
      </c>
      <c r="J35" s="107" t="s">
        <v>65</v>
      </c>
      <c r="K35" s="794"/>
      <c r="L35" s="792"/>
      <c r="M35" s="792"/>
      <c r="N35" s="792"/>
      <c r="O35" s="792"/>
      <c r="P35" s="792"/>
      <c r="Q35" s="792"/>
      <c r="R35" s="793"/>
      <c r="S35" s="117">
        <f>SUM(K35)</f>
        <v>0</v>
      </c>
      <c r="T35" s="794">
        <v>20</v>
      </c>
      <c r="U35" s="792"/>
      <c r="V35" s="792"/>
      <c r="W35" s="792"/>
      <c r="X35" s="792"/>
      <c r="Y35" s="792"/>
      <c r="Z35" s="792"/>
      <c r="AA35" s="793"/>
      <c r="AB35" s="117">
        <f>SUM(T35)</f>
        <v>20</v>
      </c>
      <c r="AC35" s="794">
        <v>20</v>
      </c>
      <c r="AD35" s="792"/>
      <c r="AE35" s="792"/>
      <c r="AF35" s="792"/>
      <c r="AG35" s="792"/>
      <c r="AH35" s="792"/>
      <c r="AI35" s="792"/>
      <c r="AJ35" s="793"/>
      <c r="AK35" s="117">
        <f>SUM(AC35)</f>
        <v>20</v>
      </c>
      <c r="AL35" s="791">
        <v>10</v>
      </c>
      <c r="AM35" s="792"/>
      <c r="AN35" s="792"/>
      <c r="AO35" s="792"/>
      <c r="AP35" s="792"/>
      <c r="AQ35" s="792"/>
      <c r="AR35" s="792"/>
      <c r="AS35" s="793"/>
      <c r="AT35" s="108">
        <f>SUM(AL35)</f>
        <v>10</v>
      </c>
      <c r="AU35" s="791"/>
      <c r="AV35" s="792"/>
      <c r="AW35" s="792"/>
      <c r="AX35" s="792"/>
      <c r="AY35" s="792"/>
      <c r="AZ35" s="792"/>
      <c r="BA35" s="792"/>
      <c r="BB35" s="793"/>
      <c r="BC35" s="108">
        <f>SUM(AU35)</f>
        <v>0</v>
      </c>
      <c r="BD35" s="791"/>
      <c r="BE35" s="792"/>
      <c r="BF35" s="792"/>
      <c r="BG35" s="792"/>
      <c r="BH35" s="792"/>
      <c r="BI35" s="792"/>
      <c r="BJ35" s="792"/>
      <c r="BK35" s="793"/>
      <c r="BL35" s="108">
        <f>SUM(BD35)</f>
        <v>0</v>
      </c>
      <c r="BM35" s="791"/>
      <c r="BN35" s="792"/>
      <c r="BO35" s="792"/>
      <c r="BP35" s="792"/>
      <c r="BQ35" s="792"/>
      <c r="BR35" s="792"/>
      <c r="BS35" s="792"/>
      <c r="BT35" s="793"/>
      <c r="BU35" s="108">
        <f>SUM(BM35)</f>
        <v>0</v>
      </c>
      <c r="BV35" s="791"/>
      <c r="BW35" s="792"/>
      <c r="BX35" s="792"/>
      <c r="BY35" s="792"/>
      <c r="BZ35" s="792"/>
      <c r="CA35" s="792"/>
      <c r="CB35" s="792"/>
      <c r="CC35" s="793"/>
      <c r="CD35" s="108">
        <f>SUM(BV35)</f>
        <v>0</v>
      </c>
      <c r="CE35" s="791"/>
      <c r="CF35" s="792"/>
      <c r="CG35" s="792"/>
      <c r="CH35" s="792"/>
      <c r="CI35" s="792"/>
      <c r="CJ35" s="792"/>
      <c r="CK35" s="792"/>
      <c r="CL35" s="793"/>
      <c r="CM35" s="108">
        <f t="shared" si="0"/>
        <v>0</v>
      </c>
      <c r="CN35" s="791"/>
      <c r="CO35" s="792"/>
      <c r="CP35" s="792"/>
      <c r="CQ35" s="792"/>
      <c r="CR35" s="792"/>
      <c r="CS35" s="792"/>
      <c r="CT35" s="792"/>
      <c r="CU35" s="793"/>
      <c r="CV35" s="108">
        <f>SUM(CN35)</f>
        <v>0</v>
      </c>
      <c r="CW35" s="797"/>
      <c r="CX35" s="798"/>
      <c r="CY35" s="798"/>
      <c r="CZ35" s="798"/>
      <c r="DA35" s="798"/>
      <c r="DB35" s="798"/>
      <c r="DC35" s="798"/>
      <c r="DD35" s="799"/>
      <c r="DE35" s="223">
        <f>SUM(CW35)</f>
        <v>0</v>
      </c>
      <c r="DF35" s="791"/>
      <c r="DG35" s="792"/>
      <c r="DH35" s="792"/>
      <c r="DI35" s="792"/>
      <c r="DJ35" s="792"/>
      <c r="DK35" s="792"/>
      <c r="DL35" s="792"/>
      <c r="DM35" s="793"/>
      <c r="DN35" s="108">
        <f>SUM(DF35)</f>
        <v>0</v>
      </c>
      <c r="DO35" s="109">
        <f t="shared" si="1"/>
        <v>50</v>
      </c>
      <c r="DP35" s="110"/>
    </row>
    <row r="36" spans="2:120" ht="287.25" customHeight="1">
      <c r="B36" s="800"/>
      <c r="C36" s="800"/>
      <c r="D36" s="789"/>
      <c r="E36" s="790"/>
      <c r="F36" s="786"/>
      <c r="G36" s="786"/>
      <c r="H36" s="786"/>
      <c r="I36" s="789"/>
      <c r="J36" s="111" t="s">
        <v>66</v>
      </c>
      <c r="K36" s="112"/>
      <c r="L36" s="108"/>
      <c r="M36" s="108"/>
      <c r="N36" s="108"/>
      <c r="O36" s="108"/>
      <c r="P36" s="108"/>
      <c r="Q36" s="108"/>
      <c r="R36" s="108"/>
      <c r="S36" s="117">
        <f>SUM(K36:R36)</f>
        <v>0</v>
      </c>
      <c r="T36" s="108"/>
      <c r="U36" s="108"/>
      <c r="V36" s="108"/>
      <c r="W36" s="108"/>
      <c r="X36" s="108"/>
      <c r="Y36" s="108"/>
      <c r="Z36" s="108"/>
      <c r="AA36" s="108"/>
      <c r="AB36" s="117">
        <f>SUM(T36:AA36)</f>
        <v>0</v>
      </c>
      <c r="AC36" s="114"/>
      <c r="AD36" s="114"/>
      <c r="AE36" s="114"/>
      <c r="AF36" s="114"/>
      <c r="AG36" s="114"/>
      <c r="AH36" s="114"/>
      <c r="AI36" s="114"/>
      <c r="AJ36" s="114"/>
      <c r="AK36" s="117">
        <f>SUM(AC36:AJ36)</f>
        <v>0</v>
      </c>
      <c r="AL36" s="108">
        <v>0</v>
      </c>
      <c r="AM36" s="108">
        <v>0</v>
      </c>
      <c r="AN36" s="108">
        <v>0</v>
      </c>
      <c r="AO36" s="108">
        <v>0</v>
      </c>
      <c r="AP36" s="108">
        <v>0</v>
      </c>
      <c r="AQ36" s="108">
        <v>0</v>
      </c>
      <c r="AR36" s="108">
        <v>0</v>
      </c>
      <c r="AS36" s="108">
        <v>0</v>
      </c>
      <c r="AT36" s="108">
        <f>SUM(AL36:AS36)</f>
        <v>0</v>
      </c>
      <c r="AU36" s="108"/>
      <c r="AV36" s="108"/>
      <c r="AW36" s="108"/>
      <c r="AX36" s="108"/>
      <c r="AY36" s="108"/>
      <c r="AZ36" s="108"/>
      <c r="BA36" s="108"/>
      <c r="BB36" s="108"/>
      <c r="BC36" s="108">
        <f>SUM(AU36:BB36)</f>
        <v>0</v>
      </c>
      <c r="BD36" s="108">
        <v>0</v>
      </c>
      <c r="BE36" s="108">
        <v>0</v>
      </c>
      <c r="BF36" s="108">
        <v>0</v>
      </c>
      <c r="BG36" s="108">
        <v>0</v>
      </c>
      <c r="BH36" s="108">
        <v>0</v>
      </c>
      <c r="BI36" s="108">
        <v>0</v>
      </c>
      <c r="BJ36" s="108">
        <v>0</v>
      </c>
      <c r="BK36" s="108">
        <v>0</v>
      </c>
      <c r="BL36" s="108">
        <f>SUM(BD36:BK36)</f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  <c r="BR36" s="108">
        <v>0</v>
      </c>
      <c r="BS36" s="108">
        <v>0</v>
      </c>
      <c r="BT36" s="108">
        <v>0</v>
      </c>
      <c r="BU36" s="108">
        <f>SUM(BM36:BT36)</f>
        <v>0</v>
      </c>
      <c r="BV36" s="108">
        <v>0</v>
      </c>
      <c r="BW36" s="108">
        <v>0</v>
      </c>
      <c r="BX36" s="108">
        <v>0</v>
      </c>
      <c r="BY36" s="108">
        <v>0</v>
      </c>
      <c r="BZ36" s="108">
        <v>0</v>
      </c>
      <c r="CA36" s="108">
        <v>0</v>
      </c>
      <c r="CB36" s="108">
        <v>0</v>
      </c>
      <c r="CC36" s="108">
        <v>0</v>
      </c>
      <c r="CD36" s="108">
        <f>SUM(BV36:CC36)</f>
        <v>0</v>
      </c>
      <c r="CE36" s="108">
        <v>0</v>
      </c>
      <c r="CF36" s="108">
        <v>0</v>
      </c>
      <c r="CG36" s="108">
        <v>0</v>
      </c>
      <c r="CH36" s="108">
        <v>0</v>
      </c>
      <c r="CI36" s="108">
        <v>0</v>
      </c>
      <c r="CJ36" s="108">
        <v>0</v>
      </c>
      <c r="CK36" s="108">
        <v>0</v>
      </c>
      <c r="CL36" s="108">
        <v>0</v>
      </c>
      <c r="CM36" s="108">
        <f t="shared" si="0"/>
        <v>0</v>
      </c>
      <c r="CN36" s="108">
        <v>0</v>
      </c>
      <c r="CO36" s="108">
        <v>0</v>
      </c>
      <c r="CP36" s="108">
        <v>0</v>
      </c>
      <c r="CQ36" s="108">
        <v>0</v>
      </c>
      <c r="CR36" s="108">
        <v>0</v>
      </c>
      <c r="CS36" s="108">
        <v>0</v>
      </c>
      <c r="CT36" s="108">
        <v>0</v>
      </c>
      <c r="CU36" s="108">
        <v>0</v>
      </c>
      <c r="CV36" s="108">
        <f>SUM(CN36:CU36)</f>
        <v>0</v>
      </c>
      <c r="CW36" s="223">
        <v>0</v>
      </c>
      <c r="CX36" s="223">
        <v>0</v>
      </c>
      <c r="CY36" s="223">
        <v>0</v>
      </c>
      <c r="CZ36" s="223">
        <v>0</v>
      </c>
      <c r="DA36" s="223">
        <v>0</v>
      </c>
      <c r="DB36" s="223">
        <v>0</v>
      </c>
      <c r="DC36" s="223">
        <v>0</v>
      </c>
      <c r="DD36" s="223">
        <v>0</v>
      </c>
      <c r="DE36" s="223">
        <f>SUM(CW36:DD36)</f>
        <v>0</v>
      </c>
      <c r="DF36" s="108">
        <v>0</v>
      </c>
      <c r="DG36" s="108">
        <v>0</v>
      </c>
      <c r="DH36" s="108">
        <v>0</v>
      </c>
      <c r="DI36" s="108">
        <v>0</v>
      </c>
      <c r="DJ36" s="108">
        <v>0</v>
      </c>
      <c r="DK36" s="108">
        <v>0</v>
      </c>
      <c r="DL36" s="108">
        <v>0</v>
      </c>
      <c r="DM36" s="108">
        <v>0</v>
      </c>
      <c r="DN36" s="108">
        <f>SUM(DF36:DM36)</f>
        <v>0</v>
      </c>
      <c r="DO36" s="109">
        <f t="shared" si="1"/>
        <v>0</v>
      </c>
      <c r="DP36" s="110"/>
    </row>
    <row r="37" spans="2:120" ht="287.25" hidden="1" customHeight="1">
      <c r="B37" s="118" t="s">
        <v>141</v>
      </c>
      <c r="C37" s="118" t="s">
        <v>74</v>
      </c>
      <c r="D37" s="787" t="s">
        <v>142</v>
      </c>
      <c r="E37" s="788"/>
      <c r="F37" s="118" t="s">
        <v>14</v>
      </c>
      <c r="G37" s="118">
        <v>4509</v>
      </c>
      <c r="H37" s="118" t="s">
        <v>143</v>
      </c>
      <c r="I37" s="119">
        <v>4509</v>
      </c>
      <c r="J37" s="107" t="s">
        <v>65</v>
      </c>
      <c r="K37" s="794">
        <v>250</v>
      </c>
      <c r="L37" s="792"/>
      <c r="M37" s="792"/>
      <c r="N37" s="792"/>
      <c r="O37" s="792"/>
      <c r="P37" s="792"/>
      <c r="Q37" s="792"/>
      <c r="R37" s="793"/>
      <c r="S37" s="113">
        <f>SUM(K37)</f>
        <v>250</v>
      </c>
      <c r="T37" s="794">
        <v>77</v>
      </c>
      <c r="U37" s="792"/>
      <c r="V37" s="792"/>
      <c r="W37" s="792"/>
      <c r="X37" s="792"/>
      <c r="Y37" s="792"/>
      <c r="Z37" s="792"/>
      <c r="AA37" s="793"/>
      <c r="AB37" s="113">
        <f>SUM(T37)</f>
        <v>77</v>
      </c>
      <c r="AC37" s="794">
        <v>350</v>
      </c>
      <c r="AD37" s="792"/>
      <c r="AE37" s="792"/>
      <c r="AF37" s="792"/>
      <c r="AG37" s="792"/>
      <c r="AH37" s="792"/>
      <c r="AI37" s="792"/>
      <c r="AJ37" s="793"/>
      <c r="AK37" s="113">
        <f>SUM(AC37)</f>
        <v>350</v>
      </c>
      <c r="AL37" s="791">
        <v>350</v>
      </c>
      <c r="AM37" s="792"/>
      <c r="AN37" s="792"/>
      <c r="AO37" s="792"/>
      <c r="AP37" s="792"/>
      <c r="AQ37" s="792"/>
      <c r="AR37" s="792"/>
      <c r="AS37" s="793"/>
      <c r="AT37" s="108">
        <f>SUM(AL37)</f>
        <v>350</v>
      </c>
      <c r="AU37" s="791">
        <v>350</v>
      </c>
      <c r="AV37" s="792"/>
      <c r="AW37" s="792"/>
      <c r="AX37" s="792"/>
      <c r="AY37" s="792"/>
      <c r="AZ37" s="792"/>
      <c r="BA37" s="792"/>
      <c r="BB37" s="793"/>
      <c r="BC37" s="108">
        <f>SUM(AU37)</f>
        <v>350</v>
      </c>
      <c r="BD37" s="791">
        <v>350</v>
      </c>
      <c r="BE37" s="792"/>
      <c r="BF37" s="792"/>
      <c r="BG37" s="792"/>
      <c r="BH37" s="792"/>
      <c r="BI37" s="792"/>
      <c r="BJ37" s="792"/>
      <c r="BK37" s="793"/>
      <c r="BL37" s="108">
        <f>SUM(BD37)</f>
        <v>350</v>
      </c>
      <c r="BM37" s="791">
        <v>350</v>
      </c>
      <c r="BN37" s="792"/>
      <c r="BO37" s="792"/>
      <c r="BP37" s="792"/>
      <c r="BQ37" s="792"/>
      <c r="BR37" s="792"/>
      <c r="BS37" s="792"/>
      <c r="BT37" s="793"/>
      <c r="BU37" s="108">
        <f>SUM(BM37)</f>
        <v>350</v>
      </c>
      <c r="BV37" s="791">
        <v>350</v>
      </c>
      <c r="BW37" s="792"/>
      <c r="BX37" s="792"/>
      <c r="BY37" s="792"/>
      <c r="BZ37" s="792"/>
      <c r="CA37" s="792"/>
      <c r="CB37" s="792"/>
      <c r="CC37" s="793"/>
      <c r="CD37" s="108">
        <f>SUM(BV37)</f>
        <v>350</v>
      </c>
      <c r="CE37" s="791">
        <v>350</v>
      </c>
      <c r="CF37" s="792"/>
      <c r="CG37" s="792"/>
      <c r="CH37" s="792"/>
      <c r="CI37" s="792"/>
      <c r="CJ37" s="792"/>
      <c r="CK37" s="792"/>
      <c r="CL37" s="793"/>
      <c r="CM37" s="108">
        <f t="shared" si="0"/>
        <v>350</v>
      </c>
      <c r="CN37" s="791">
        <v>270</v>
      </c>
      <c r="CO37" s="792"/>
      <c r="CP37" s="792"/>
      <c r="CQ37" s="792"/>
      <c r="CR37" s="792"/>
      <c r="CS37" s="792"/>
      <c r="CT37" s="792"/>
      <c r="CU37" s="793"/>
      <c r="CV37" s="108">
        <f>SUM(CN37)</f>
        <v>270</v>
      </c>
      <c r="CW37" s="797">
        <v>122</v>
      </c>
      <c r="CX37" s="798"/>
      <c r="CY37" s="798"/>
      <c r="CZ37" s="798"/>
      <c r="DA37" s="798"/>
      <c r="DB37" s="798"/>
      <c r="DC37" s="798"/>
      <c r="DD37" s="799"/>
      <c r="DE37" s="223">
        <f>SUM(CW37)</f>
        <v>122</v>
      </c>
      <c r="DF37" s="791">
        <v>229</v>
      </c>
      <c r="DG37" s="792"/>
      <c r="DH37" s="792"/>
      <c r="DI37" s="792"/>
      <c r="DJ37" s="792"/>
      <c r="DK37" s="792"/>
      <c r="DL37" s="792"/>
      <c r="DM37" s="793"/>
      <c r="DN37" s="108">
        <f>SUM(DF37)</f>
        <v>229</v>
      </c>
      <c r="DO37" s="109">
        <f t="shared" si="1"/>
        <v>3398</v>
      </c>
      <c r="DP37" s="110"/>
    </row>
    <row r="38" spans="2:120" ht="287.25" hidden="1" customHeight="1">
      <c r="B38" s="785" t="s">
        <v>144</v>
      </c>
      <c r="C38" s="785" t="s">
        <v>68</v>
      </c>
      <c r="D38" s="787" t="s">
        <v>69</v>
      </c>
      <c r="E38" s="788"/>
      <c r="F38" s="785" t="s">
        <v>14</v>
      </c>
      <c r="G38" s="785">
        <v>1474</v>
      </c>
      <c r="H38" s="785" t="s">
        <v>145</v>
      </c>
      <c r="I38" s="785">
        <v>1474</v>
      </c>
      <c r="J38" s="107" t="s">
        <v>65</v>
      </c>
      <c r="K38" s="794">
        <v>126</v>
      </c>
      <c r="L38" s="792"/>
      <c r="M38" s="792"/>
      <c r="N38" s="792"/>
      <c r="O38" s="792"/>
      <c r="P38" s="792"/>
      <c r="Q38" s="792"/>
      <c r="R38" s="793"/>
      <c r="S38" s="113">
        <f>SUM(K38)</f>
        <v>126</v>
      </c>
      <c r="T38" s="794">
        <v>134</v>
      </c>
      <c r="U38" s="792"/>
      <c r="V38" s="792"/>
      <c r="W38" s="792"/>
      <c r="X38" s="792"/>
      <c r="Y38" s="792"/>
      <c r="Z38" s="792"/>
      <c r="AA38" s="793"/>
      <c r="AB38" s="113">
        <f>SUM(T38)</f>
        <v>134</v>
      </c>
      <c r="AC38" s="794">
        <v>120</v>
      </c>
      <c r="AD38" s="792"/>
      <c r="AE38" s="792"/>
      <c r="AF38" s="792"/>
      <c r="AG38" s="792"/>
      <c r="AH38" s="792"/>
      <c r="AI38" s="792"/>
      <c r="AJ38" s="793"/>
      <c r="AK38" s="113">
        <f>SUM(AC38)</f>
        <v>120</v>
      </c>
      <c r="AL38" s="791">
        <v>120</v>
      </c>
      <c r="AM38" s="792"/>
      <c r="AN38" s="792"/>
      <c r="AO38" s="792"/>
      <c r="AP38" s="792"/>
      <c r="AQ38" s="792"/>
      <c r="AR38" s="792"/>
      <c r="AS38" s="793"/>
      <c r="AT38" s="108">
        <f>SUM(AL38)</f>
        <v>120</v>
      </c>
      <c r="AU38" s="791">
        <v>120</v>
      </c>
      <c r="AV38" s="792"/>
      <c r="AW38" s="792"/>
      <c r="AX38" s="792"/>
      <c r="AY38" s="792"/>
      <c r="AZ38" s="792"/>
      <c r="BA38" s="792"/>
      <c r="BB38" s="793"/>
      <c r="BC38" s="108">
        <f>SUM(AU38)</f>
        <v>120</v>
      </c>
      <c r="BD38" s="791">
        <v>120</v>
      </c>
      <c r="BE38" s="792"/>
      <c r="BF38" s="792"/>
      <c r="BG38" s="792"/>
      <c r="BH38" s="792"/>
      <c r="BI38" s="792"/>
      <c r="BJ38" s="792"/>
      <c r="BK38" s="793"/>
      <c r="BL38" s="108">
        <f>SUM(BD38)</f>
        <v>120</v>
      </c>
      <c r="BM38" s="791">
        <v>124</v>
      </c>
      <c r="BN38" s="792"/>
      <c r="BO38" s="792"/>
      <c r="BP38" s="792"/>
      <c r="BQ38" s="792"/>
      <c r="BR38" s="792"/>
      <c r="BS38" s="792"/>
      <c r="BT38" s="793"/>
      <c r="BU38" s="108">
        <f>SUM(BM38)</f>
        <v>124</v>
      </c>
      <c r="BV38" s="791">
        <v>124</v>
      </c>
      <c r="BW38" s="792"/>
      <c r="BX38" s="792"/>
      <c r="BY38" s="792"/>
      <c r="BZ38" s="792"/>
      <c r="CA38" s="792"/>
      <c r="CB38" s="792"/>
      <c r="CC38" s="793"/>
      <c r="CD38" s="108">
        <f>SUM(BV38)</f>
        <v>124</v>
      </c>
      <c r="CE38" s="108">
        <v>50</v>
      </c>
      <c r="CF38" s="108">
        <v>53</v>
      </c>
      <c r="CG38" s="108">
        <v>62</v>
      </c>
      <c r="CH38" s="108">
        <v>31</v>
      </c>
      <c r="CI38" s="108">
        <v>12</v>
      </c>
      <c r="CJ38" s="108">
        <v>5</v>
      </c>
      <c r="CK38" s="108">
        <v>6</v>
      </c>
      <c r="CL38" s="108">
        <v>4</v>
      </c>
      <c r="CM38" s="108">
        <f t="shared" si="0"/>
        <v>223</v>
      </c>
      <c r="CN38" s="791">
        <v>122</v>
      </c>
      <c r="CO38" s="792"/>
      <c r="CP38" s="792"/>
      <c r="CQ38" s="792"/>
      <c r="CR38" s="792"/>
      <c r="CS38" s="792"/>
      <c r="CT38" s="792"/>
      <c r="CU38" s="793"/>
      <c r="CV38" s="108">
        <f>SUM(CN38)</f>
        <v>122</v>
      </c>
      <c r="CW38" s="223">
        <v>7</v>
      </c>
      <c r="CX38" s="223">
        <v>6</v>
      </c>
      <c r="CY38" s="223">
        <v>3</v>
      </c>
      <c r="CZ38" s="223">
        <v>1</v>
      </c>
      <c r="DA38" s="223">
        <v>0</v>
      </c>
      <c r="DB38" s="223">
        <v>0</v>
      </c>
      <c r="DC38" s="223">
        <v>0</v>
      </c>
      <c r="DD38" s="223">
        <v>0</v>
      </c>
      <c r="DE38" s="223">
        <f>SUM(CW38:DD38)</f>
        <v>17</v>
      </c>
      <c r="DF38" s="791">
        <v>122</v>
      </c>
      <c r="DG38" s="792"/>
      <c r="DH38" s="792"/>
      <c r="DI38" s="792"/>
      <c r="DJ38" s="792"/>
      <c r="DK38" s="792"/>
      <c r="DL38" s="792"/>
      <c r="DM38" s="793"/>
      <c r="DN38" s="108">
        <f>SUM(DF38)</f>
        <v>122</v>
      </c>
      <c r="DO38" s="109">
        <f t="shared" si="1"/>
        <v>1472</v>
      </c>
      <c r="DP38" s="110"/>
    </row>
    <row r="39" spans="2:120" ht="287.25" customHeight="1">
      <c r="B39" s="800"/>
      <c r="C39" s="786"/>
      <c r="D39" s="789"/>
      <c r="E39" s="790"/>
      <c r="F39" s="786"/>
      <c r="G39" s="786"/>
      <c r="H39" s="786"/>
      <c r="I39" s="786"/>
      <c r="J39" s="111" t="s">
        <v>66</v>
      </c>
      <c r="K39" s="112">
        <v>40</v>
      </c>
      <c r="L39" s="108">
        <v>50</v>
      </c>
      <c r="M39" s="108">
        <v>16</v>
      </c>
      <c r="N39" s="108">
        <v>20</v>
      </c>
      <c r="O39" s="108">
        <v>0</v>
      </c>
      <c r="P39" s="108">
        <v>0</v>
      </c>
      <c r="Q39" s="108">
        <v>0</v>
      </c>
      <c r="R39" s="108">
        <v>0</v>
      </c>
      <c r="S39" s="113">
        <f>SUM(K39:R39)</f>
        <v>126</v>
      </c>
      <c r="T39" s="108">
        <v>39</v>
      </c>
      <c r="U39" s="108">
        <v>38</v>
      </c>
      <c r="V39" s="108">
        <v>26</v>
      </c>
      <c r="W39" s="108">
        <v>31</v>
      </c>
      <c r="X39" s="108">
        <v>0</v>
      </c>
      <c r="Y39" s="108">
        <v>0</v>
      </c>
      <c r="Z39" s="108">
        <v>0</v>
      </c>
      <c r="AA39" s="108">
        <v>0</v>
      </c>
      <c r="AB39" s="113">
        <f>SUM(T39:AA39)</f>
        <v>134</v>
      </c>
      <c r="AC39" s="114">
        <v>13</v>
      </c>
      <c r="AD39" s="114">
        <v>18</v>
      </c>
      <c r="AE39" s="114">
        <v>23</v>
      </c>
      <c r="AF39" s="114">
        <v>17</v>
      </c>
      <c r="AG39" s="114">
        <v>0</v>
      </c>
      <c r="AH39" s="114">
        <v>0</v>
      </c>
      <c r="AI39" s="114">
        <v>0</v>
      </c>
      <c r="AJ39" s="114">
        <v>0</v>
      </c>
      <c r="AK39" s="113">
        <f>SUM(AC39:AJ39)</f>
        <v>71</v>
      </c>
      <c r="AL39" s="108">
        <v>7</v>
      </c>
      <c r="AM39" s="108">
        <v>9</v>
      </c>
      <c r="AN39" s="108">
        <v>10</v>
      </c>
      <c r="AO39" s="108">
        <v>3</v>
      </c>
      <c r="AP39" s="108">
        <v>0</v>
      </c>
      <c r="AQ39" s="108">
        <v>0</v>
      </c>
      <c r="AR39" s="108">
        <v>0</v>
      </c>
      <c r="AS39" s="108">
        <v>0</v>
      </c>
      <c r="AT39" s="115">
        <f>SUM(AL39:AS39)</f>
        <v>29</v>
      </c>
      <c r="AU39" s="108">
        <v>6</v>
      </c>
      <c r="AV39" s="108">
        <v>8</v>
      </c>
      <c r="AW39" s="108">
        <v>3</v>
      </c>
      <c r="AX39" s="108">
        <v>1</v>
      </c>
      <c r="AY39" s="108">
        <v>0</v>
      </c>
      <c r="AZ39" s="108">
        <v>0</v>
      </c>
      <c r="BA39" s="108">
        <v>0</v>
      </c>
      <c r="BB39" s="108">
        <v>0</v>
      </c>
      <c r="BC39" s="115">
        <f>SUM(AU39:BB39)</f>
        <v>18</v>
      </c>
      <c r="BD39" s="108">
        <v>2</v>
      </c>
      <c r="BE39" s="108">
        <v>3</v>
      </c>
      <c r="BF39" s="108">
        <v>5</v>
      </c>
      <c r="BG39" s="108">
        <v>1</v>
      </c>
      <c r="BH39" s="108">
        <v>0</v>
      </c>
      <c r="BI39" s="108">
        <v>0</v>
      </c>
      <c r="BJ39" s="108">
        <v>0</v>
      </c>
      <c r="BK39" s="108">
        <v>0</v>
      </c>
      <c r="BL39" s="115">
        <f>SUM(BD39:BK39)</f>
        <v>11</v>
      </c>
      <c r="BM39" s="108">
        <v>6</v>
      </c>
      <c r="BN39" s="108">
        <v>0</v>
      </c>
      <c r="BO39" s="108">
        <v>5</v>
      </c>
      <c r="BP39" s="108">
        <v>0</v>
      </c>
      <c r="BQ39" s="108">
        <v>0</v>
      </c>
      <c r="BR39" s="108">
        <v>0</v>
      </c>
      <c r="BS39" s="108">
        <v>0</v>
      </c>
      <c r="BT39" s="108">
        <v>0</v>
      </c>
      <c r="BU39" s="115">
        <f>SUM(BM39:BT39)</f>
        <v>11</v>
      </c>
      <c r="BV39" s="108">
        <v>3</v>
      </c>
      <c r="BW39" s="108">
        <v>5</v>
      </c>
      <c r="BX39" s="108">
        <v>3</v>
      </c>
      <c r="BY39" s="108">
        <v>11</v>
      </c>
      <c r="BZ39" s="108">
        <v>0</v>
      </c>
      <c r="CA39" s="108">
        <v>0</v>
      </c>
      <c r="CB39" s="108">
        <v>0</v>
      </c>
      <c r="CC39" s="108">
        <v>0</v>
      </c>
      <c r="CD39" s="115">
        <f>SUM(BV39:CC39)</f>
        <v>22</v>
      </c>
      <c r="CE39" s="791">
        <v>20</v>
      </c>
      <c r="CF39" s="792"/>
      <c r="CG39" s="792"/>
      <c r="CH39" s="792"/>
      <c r="CI39" s="792"/>
      <c r="CJ39" s="792"/>
      <c r="CK39" s="792"/>
      <c r="CL39" s="793"/>
      <c r="CM39" s="108">
        <f t="shared" si="0"/>
        <v>20</v>
      </c>
      <c r="CN39" s="108">
        <v>2</v>
      </c>
      <c r="CO39" s="108">
        <v>4</v>
      </c>
      <c r="CP39" s="108">
        <v>3</v>
      </c>
      <c r="CQ39" s="108">
        <v>2</v>
      </c>
      <c r="CR39" s="108">
        <v>0</v>
      </c>
      <c r="CS39" s="108">
        <v>0</v>
      </c>
      <c r="CT39" s="108">
        <v>0</v>
      </c>
      <c r="CU39" s="108">
        <v>0</v>
      </c>
      <c r="CV39" s="108">
        <f>SUM(CN39:CU39)</f>
        <v>11</v>
      </c>
      <c r="CW39" s="797">
        <v>275</v>
      </c>
      <c r="CX39" s="798"/>
      <c r="CY39" s="798"/>
      <c r="CZ39" s="798"/>
      <c r="DA39" s="798"/>
      <c r="DB39" s="798"/>
      <c r="DC39" s="798"/>
      <c r="DD39" s="799"/>
      <c r="DE39" s="223">
        <f>SUM(CW39)</f>
        <v>275</v>
      </c>
      <c r="DF39" s="108">
        <v>5</v>
      </c>
      <c r="DG39" s="108">
        <v>1</v>
      </c>
      <c r="DH39" s="108">
        <v>3</v>
      </c>
      <c r="DI39" s="108">
        <v>1</v>
      </c>
      <c r="DJ39" s="108">
        <v>0</v>
      </c>
      <c r="DK39" s="108">
        <v>0</v>
      </c>
      <c r="DL39" s="108">
        <v>1</v>
      </c>
      <c r="DM39" s="108">
        <v>0</v>
      </c>
      <c r="DN39" s="108">
        <f>SUM(DF39:DM39)</f>
        <v>11</v>
      </c>
      <c r="DO39" s="109">
        <f t="shared" si="1"/>
        <v>739</v>
      </c>
      <c r="DP39" s="110"/>
    </row>
    <row r="40" spans="2:120" ht="287.25" hidden="1" customHeight="1">
      <c r="B40" s="785" t="s">
        <v>144</v>
      </c>
      <c r="C40" s="785" t="s">
        <v>68</v>
      </c>
      <c r="D40" s="787" t="s">
        <v>69</v>
      </c>
      <c r="E40" s="788"/>
      <c r="F40" s="785" t="s">
        <v>14</v>
      </c>
      <c r="G40" s="785">
        <v>3160</v>
      </c>
      <c r="H40" s="785" t="s">
        <v>146</v>
      </c>
      <c r="I40" s="785">
        <v>3160</v>
      </c>
      <c r="J40" s="107" t="s">
        <v>65</v>
      </c>
      <c r="K40" s="794">
        <v>264</v>
      </c>
      <c r="L40" s="792"/>
      <c r="M40" s="792"/>
      <c r="N40" s="792"/>
      <c r="O40" s="792"/>
      <c r="P40" s="792"/>
      <c r="Q40" s="792"/>
      <c r="R40" s="793"/>
      <c r="S40" s="113">
        <f>SUM(K40)</f>
        <v>264</v>
      </c>
      <c r="T40" s="794">
        <v>262</v>
      </c>
      <c r="U40" s="792"/>
      <c r="V40" s="792"/>
      <c r="W40" s="792"/>
      <c r="X40" s="792"/>
      <c r="Y40" s="792"/>
      <c r="Z40" s="792"/>
      <c r="AA40" s="793"/>
      <c r="AB40" s="113">
        <f t="shared" ref="AB40:AB55" si="2">SUM(T40:AA40)</f>
        <v>262</v>
      </c>
      <c r="AC40" s="794">
        <v>263</v>
      </c>
      <c r="AD40" s="792"/>
      <c r="AE40" s="792"/>
      <c r="AF40" s="792"/>
      <c r="AG40" s="792"/>
      <c r="AH40" s="792"/>
      <c r="AI40" s="792"/>
      <c r="AJ40" s="793"/>
      <c r="AK40" s="113">
        <f>SUM(AC40)</f>
        <v>263</v>
      </c>
      <c r="AL40" s="791">
        <v>260</v>
      </c>
      <c r="AM40" s="792"/>
      <c r="AN40" s="792"/>
      <c r="AO40" s="792"/>
      <c r="AP40" s="792"/>
      <c r="AQ40" s="792"/>
      <c r="AR40" s="792"/>
      <c r="AS40" s="793"/>
      <c r="AT40" s="115">
        <f>SUM(AL40)</f>
        <v>260</v>
      </c>
      <c r="AU40" s="791">
        <v>260</v>
      </c>
      <c r="AV40" s="792"/>
      <c r="AW40" s="792"/>
      <c r="AX40" s="792"/>
      <c r="AY40" s="792"/>
      <c r="AZ40" s="792"/>
      <c r="BA40" s="792"/>
      <c r="BB40" s="793"/>
      <c r="BC40" s="115">
        <f t="shared" ref="BC40:BC69" si="3">SUM(AU40:BB40)</f>
        <v>260</v>
      </c>
      <c r="BD40" s="791">
        <v>260</v>
      </c>
      <c r="BE40" s="792"/>
      <c r="BF40" s="792"/>
      <c r="BG40" s="792"/>
      <c r="BH40" s="792"/>
      <c r="BI40" s="792"/>
      <c r="BJ40" s="792"/>
      <c r="BK40" s="793"/>
      <c r="BL40" s="115">
        <f>SUM(BD40)</f>
        <v>260</v>
      </c>
      <c r="BM40" s="791">
        <v>260</v>
      </c>
      <c r="BN40" s="792"/>
      <c r="BO40" s="792"/>
      <c r="BP40" s="792"/>
      <c r="BQ40" s="792"/>
      <c r="BR40" s="792"/>
      <c r="BS40" s="792"/>
      <c r="BT40" s="793"/>
      <c r="BU40" s="115">
        <f t="shared" ref="BU40:BU56" si="4">SUM(BM40:BT40)</f>
        <v>260</v>
      </c>
      <c r="BV40" s="791">
        <v>260</v>
      </c>
      <c r="BW40" s="792"/>
      <c r="BX40" s="792"/>
      <c r="BY40" s="792"/>
      <c r="BZ40" s="792"/>
      <c r="CA40" s="792"/>
      <c r="CB40" s="792"/>
      <c r="CC40" s="793"/>
      <c r="CD40" s="115">
        <f t="shared" ref="CD40:CD55" si="5">SUM(BV40:CC40)</f>
        <v>260</v>
      </c>
      <c r="CE40" s="108">
        <v>3</v>
      </c>
      <c r="CF40" s="108">
        <v>5</v>
      </c>
      <c r="CG40" s="108">
        <v>1</v>
      </c>
      <c r="CH40" s="108">
        <v>2</v>
      </c>
      <c r="CI40" s="108">
        <v>2</v>
      </c>
      <c r="CJ40" s="108">
        <v>1</v>
      </c>
      <c r="CK40" s="108">
        <v>0</v>
      </c>
      <c r="CL40" s="108">
        <v>0</v>
      </c>
      <c r="CM40" s="108">
        <f t="shared" si="0"/>
        <v>14</v>
      </c>
      <c r="CN40" s="791">
        <v>264</v>
      </c>
      <c r="CO40" s="792"/>
      <c r="CP40" s="792"/>
      <c r="CQ40" s="792"/>
      <c r="CR40" s="792"/>
      <c r="CS40" s="792"/>
      <c r="CT40" s="792"/>
      <c r="CU40" s="793"/>
      <c r="CV40" s="108">
        <f>SUM(CN40)</f>
        <v>264</v>
      </c>
      <c r="CW40" s="223">
        <v>2</v>
      </c>
      <c r="CX40" s="223">
        <v>2</v>
      </c>
      <c r="CY40" s="223">
        <v>1</v>
      </c>
      <c r="CZ40" s="223">
        <v>1</v>
      </c>
      <c r="DA40" s="223">
        <v>4</v>
      </c>
      <c r="DB40" s="223">
        <v>1</v>
      </c>
      <c r="DC40" s="223">
        <v>0</v>
      </c>
      <c r="DD40" s="223">
        <v>0</v>
      </c>
      <c r="DE40" s="223">
        <f>SUM(CW40:DD40)</f>
        <v>11</v>
      </c>
      <c r="DF40" s="791">
        <v>275</v>
      </c>
      <c r="DG40" s="792"/>
      <c r="DH40" s="792"/>
      <c r="DI40" s="792"/>
      <c r="DJ40" s="792"/>
      <c r="DK40" s="792"/>
      <c r="DL40" s="792"/>
      <c r="DM40" s="793"/>
      <c r="DN40" s="108">
        <f>SUM(DF40)</f>
        <v>275</v>
      </c>
      <c r="DO40" s="109">
        <f t="shared" si="1"/>
        <v>2653</v>
      </c>
      <c r="DP40" s="110"/>
    </row>
    <row r="41" spans="2:120" ht="287.25" customHeight="1">
      <c r="B41" s="800"/>
      <c r="C41" s="786"/>
      <c r="D41" s="789"/>
      <c r="E41" s="790"/>
      <c r="F41" s="786"/>
      <c r="G41" s="786"/>
      <c r="H41" s="786"/>
      <c r="I41" s="786"/>
      <c r="J41" s="111" t="s">
        <v>66</v>
      </c>
      <c r="K41" s="112">
        <v>80</v>
      </c>
      <c r="L41" s="108">
        <v>70</v>
      </c>
      <c r="M41" s="108">
        <v>50</v>
      </c>
      <c r="N41" s="108">
        <v>62</v>
      </c>
      <c r="O41" s="108">
        <v>0</v>
      </c>
      <c r="P41" s="108">
        <v>0</v>
      </c>
      <c r="Q41" s="108">
        <v>0</v>
      </c>
      <c r="R41" s="108">
        <v>0</v>
      </c>
      <c r="S41" s="113">
        <f>SUM(K41:R41)</f>
        <v>262</v>
      </c>
      <c r="T41" s="108">
        <v>50</v>
      </c>
      <c r="U41" s="108">
        <v>90</v>
      </c>
      <c r="V41" s="108">
        <v>73</v>
      </c>
      <c r="W41" s="108">
        <v>85</v>
      </c>
      <c r="X41" s="108">
        <v>0</v>
      </c>
      <c r="Y41" s="108">
        <v>0</v>
      </c>
      <c r="Z41" s="108">
        <v>0</v>
      </c>
      <c r="AA41" s="108">
        <v>0</v>
      </c>
      <c r="AB41" s="113">
        <f t="shared" si="2"/>
        <v>298</v>
      </c>
      <c r="AC41" s="114">
        <v>10</v>
      </c>
      <c r="AD41" s="114">
        <v>5</v>
      </c>
      <c r="AE41" s="114">
        <v>8</v>
      </c>
      <c r="AF41" s="114">
        <v>12</v>
      </c>
      <c r="AG41" s="114">
        <v>0</v>
      </c>
      <c r="AH41" s="114">
        <v>0</v>
      </c>
      <c r="AI41" s="114">
        <v>0</v>
      </c>
      <c r="AJ41" s="114">
        <v>0</v>
      </c>
      <c r="AK41" s="113">
        <f>SUM(AC41:AJ41)</f>
        <v>35</v>
      </c>
      <c r="AL41" s="108">
        <v>5</v>
      </c>
      <c r="AM41" s="108">
        <v>3</v>
      </c>
      <c r="AN41" s="108">
        <v>8</v>
      </c>
      <c r="AO41" s="108">
        <v>7</v>
      </c>
      <c r="AP41" s="108">
        <v>0</v>
      </c>
      <c r="AQ41" s="108">
        <v>0</v>
      </c>
      <c r="AR41" s="108">
        <v>0</v>
      </c>
      <c r="AS41" s="108">
        <v>0</v>
      </c>
      <c r="AT41" s="115">
        <f>SUM(AL41:AS41)</f>
        <v>23</v>
      </c>
      <c r="AU41" s="108">
        <v>7</v>
      </c>
      <c r="AV41" s="108">
        <v>6</v>
      </c>
      <c r="AW41" s="108">
        <v>3</v>
      </c>
      <c r="AX41" s="108">
        <v>5</v>
      </c>
      <c r="AY41" s="108">
        <v>0</v>
      </c>
      <c r="AZ41" s="108">
        <v>0</v>
      </c>
      <c r="BA41" s="108">
        <v>0</v>
      </c>
      <c r="BB41" s="108">
        <v>0</v>
      </c>
      <c r="BC41" s="115">
        <f t="shared" si="3"/>
        <v>21</v>
      </c>
      <c r="BD41" s="108">
        <v>15</v>
      </c>
      <c r="BE41" s="108">
        <v>13</v>
      </c>
      <c r="BF41" s="108">
        <v>3</v>
      </c>
      <c r="BG41" s="108">
        <v>3</v>
      </c>
      <c r="BH41" s="108">
        <v>0</v>
      </c>
      <c r="BI41" s="108">
        <v>0</v>
      </c>
      <c r="BJ41" s="108">
        <v>0</v>
      </c>
      <c r="BK41" s="108">
        <v>0</v>
      </c>
      <c r="BL41" s="115">
        <f>SUM(BD41:BK41)</f>
        <v>34</v>
      </c>
      <c r="BM41" s="108">
        <v>10</v>
      </c>
      <c r="BN41" s="108">
        <v>8</v>
      </c>
      <c r="BO41" s="108">
        <v>6</v>
      </c>
      <c r="BP41" s="108">
        <v>6</v>
      </c>
      <c r="BQ41" s="108">
        <v>13</v>
      </c>
      <c r="BR41" s="108">
        <v>4</v>
      </c>
      <c r="BS41" s="108">
        <v>0</v>
      </c>
      <c r="BT41" s="108">
        <v>0</v>
      </c>
      <c r="BU41" s="115">
        <f t="shared" si="4"/>
        <v>47</v>
      </c>
      <c r="BV41" s="108">
        <v>3</v>
      </c>
      <c r="BW41" s="108">
        <v>2</v>
      </c>
      <c r="BX41" s="108">
        <v>16</v>
      </c>
      <c r="BY41" s="108">
        <v>3</v>
      </c>
      <c r="BZ41" s="108">
        <v>35</v>
      </c>
      <c r="CA41" s="108">
        <v>15</v>
      </c>
      <c r="CB41" s="108">
        <v>0</v>
      </c>
      <c r="CC41" s="108">
        <v>0</v>
      </c>
      <c r="CD41" s="115">
        <f t="shared" si="5"/>
        <v>74</v>
      </c>
      <c r="CE41" s="791">
        <v>1</v>
      </c>
      <c r="CF41" s="792"/>
      <c r="CG41" s="792"/>
      <c r="CH41" s="792"/>
      <c r="CI41" s="792"/>
      <c r="CJ41" s="792"/>
      <c r="CK41" s="792"/>
      <c r="CL41" s="793"/>
      <c r="CM41" s="108">
        <f t="shared" si="0"/>
        <v>1</v>
      </c>
      <c r="CN41" s="108">
        <v>4</v>
      </c>
      <c r="CO41" s="108">
        <v>8</v>
      </c>
      <c r="CP41" s="108">
        <v>13</v>
      </c>
      <c r="CQ41" s="108">
        <v>5</v>
      </c>
      <c r="CR41" s="108">
        <v>23</v>
      </c>
      <c r="CS41" s="108">
        <v>18</v>
      </c>
      <c r="CT41" s="108">
        <v>2</v>
      </c>
      <c r="CU41" s="108">
        <v>1</v>
      </c>
      <c r="CV41" s="108">
        <f>SUM(CN41:CU41)</f>
        <v>74</v>
      </c>
      <c r="CW41" s="797">
        <v>190</v>
      </c>
      <c r="CX41" s="798"/>
      <c r="CY41" s="798"/>
      <c r="CZ41" s="798"/>
      <c r="DA41" s="798"/>
      <c r="DB41" s="798"/>
      <c r="DC41" s="798"/>
      <c r="DD41" s="799"/>
      <c r="DE41" s="223">
        <f>SUM(CW41)</f>
        <v>190</v>
      </c>
      <c r="DF41" s="108">
        <v>12</v>
      </c>
      <c r="DG41" s="108">
        <v>9</v>
      </c>
      <c r="DH41" s="108">
        <v>6</v>
      </c>
      <c r="DI41" s="108">
        <v>2</v>
      </c>
      <c r="DJ41" s="108">
        <v>9</v>
      </c>
      <c r="DK41" s="108">
        <v>10</v>
      </c>
      <c r="DL41" s="108">
        <v>1</v>
      </c>
      <c r="DM41" s="108">
        <v>2</v>
      </c>
      <c r="DN41" s="108">
        <f>SUM(DF41:DM41)</f>
        <v>51</v>
      </c>
      <c r="DO41" s="109">
        <f t="shared" si="1"/>
        <v>1110</v>
      </c>
      <c r="DP41" s="110"/>
    </row>
    <row r="42" spans="2:120" ht="287.25" hidden="1" customHeight="1">
      <c r="B42" s="785" t="s">
        <v>144</v>
      </c>
      <c r="C42" s="785" t="s">
        <v>68</v>
      </c>
      <c r="D42" s="787" t="s">
        <v>69</v>
      </c>
      <c r="E42" s="788"/>
      <c r="F42" s="785" t="s">
        <v>14</v>
      </c>
      <c r="G42" s="785">
        <v>1536</v>
      </c>
      <c r="H42" s="785" t="s">
        <v>147</v>
      </c>
      <c r="I42" s="785">
        <v>1536</v>
      </c>
      <c r="J42" s="107" t="s">
        <v>65</v>
      </c>
      <c r="K42" s="794">
        <v>126</v>
      </c>
      <c r="L42" s="792"/>
      <c r="M42" s="792"/>
      <c r="N42" s="792"/>
      <c r="O42" s="792"/>
      <c r="P42" s="792"/>
      <c r="Q42" s="792"/>
      <c r="R42" s="793"/>
      <c r="S42" s="113">
        <f>SUM(K42)</f>
        <v>126</v>
      </c>
      <c r="T42" s="794">
        <v>78</v>
      </c>
      <c r="U42" s="792"/>
      <c r="V42" s="792"/>
      <c r="W42" s="792"/>
      <c r="X42" s="792"/>
      <c r="Y42" s="792"/>
      <c r="Z42" s="792"/>
      <c r="AA42" s="793"/>
      <c r="AB42" s="113">
        <f t="shared" si="2"/>
        <v>78</v>
      </c>
      <c r="AC42" s="794">
        <v>80</v>
      </c>
      <c r="AD42" s="792"/>
      <c r="AE42" s="792"/>
      <c r="AF42" s="792"/>
      <c r="AG42" s="792"/>
      <c r="AH42" s="792"/>
      <c r="AI42" s="792"/>
      <c r="AJ42" s="793"/>
      <c r="AK42" s="113">
        <f>SUM(AC42)</f>
        <v>80</v>
      </c>
      <c r="AL42" s="791">
        <v>78</v>
      </c>
      <c r="AM42" s="792"/>
      <c r="AN42" s="792"/>
      <c r="AO42" s="792"/>
      <c r="AP42" s="792"/>
      <c r="AQ42" s="792"/>
      <c r="AR42" s="792"/>
      <c r="AS42" s="793"/>
      <c r="AT42" s="115">
        <f>SUM(AL42)</f>
        <v>78</v>
      </c>
      <c r="AU42" s="791">
        <v>70</v>
      </c>
      <c r="AV42" s="792"/>
      <c r="AW42" s="792"/>
      <c r="AX42" s="792"/>
      <c r="AY42" s="792"/>
      <c r="AZ42" s="792"/>
      <c r="BA42" s="792"/>
      <c r="BB42" s="793"/>
      <c r="BC42" s="115">
        <f t="shared" si="3"/>
        <v>70</v>
      </c>
      <c r="BD42" s="791">
        <v>120</v>
      </c>
      <c r="BE42" s="792"/>
      <c r="BF42" s="792"/>
      <c r="BG42" s="792"/>
      <c r="BH42" s="792"/>
      <c r="BI42" s="792"/>
      <c r="BJ42" s="792"/>
      <c r="BK42" s="793"/>
      <c r="BL42" s="115">
        <f>SUM(BD42)</f>
        <v>120</v>
      </c>
      <c r="BM42" s="791">
        <v>120</v>
      </c>
      <c r="BN42" s="792"/>
      <c r="BO42" s="792"/>
      <c r="BP42" s="792"/>
      <c r="BQ42" s="792"/>
      <c r="BR42" s="792"/>
      <c r="BS42" s="792"/>
      <c r="BT42" s="793"/>
      <c r="BU42" s="115">
        <f t="shared" si="4"/>
        <v>120</v>
      </c>
      <c r="BV42" s="791">
        <v>120</v>
      </c>
      <c r="BW42" s="792"/>
      <c r="BX42" s="792"/>
      <c r="BY42" s="792"/>
      <c r="BZ42" s="792"/>
      <c r="CA42" s="792"/>
      <c r="CB42" s="792"/>
      <c r="CC42" s="793"/>
      <c r="CD42" s="115">
        <f t="shared" si="5"/>
        <v>120</v>
      </c>
      <c r="CE42" s="108">
        <v>0</v>
      </c>
      <c r="CF42" s="108">
        <v>0</v>
      </c>
      <c r="CG42" s="108">
        <v>0</v>
      </c>
      <c r="CH42" s="108">
        <v>0</v>
      </c>
      <c r="CI42" s="108">
        <v>0</v>
      </c>
      <c r="CJ42" s="108">
        <v>0</v>
      </c>
      <c r="CK42" s="108">
        <v>0</v>
      </c>
      <c r="CL42" s="108">
        <v>0</v>
      </c>
      <c r="CM42" s="108">
        <f t="shared" si="0"/>
        <v>0</v>
      </c>
      <c r="CN42" s="791">
        <v>190</v>
      </c>
      <c r="CO42" s="792"/>
      <c r="CP42" s="792"/>
      <c r="CQ42" s="792"/>
      <c r="CR42" s="792"/>
      <c r="CS42" s="792"/>
      <c r="CT42" s="792"/>
      <c r="CU42" s="793"/>
      <c r="CV42" s="108">
        <f>SUM(CN42)</f>
        <v>190</v>
      </c>
      <c r="CW42" s="223">
        <v>39</v>
      </c>
      <c r="CX42" s="223">
        <v>1</v>
      </c>
      <c r="CY42" s="223">
        <v>0</v>
      </c>
      <c r="CZ42" s="223">
        <v>2</v>
      </c>
      <c r="DA42" s="223">
        <v>4</v>
      </c>
      <c r="DB42" s="223">
        <v>4</v>
      </c>
      <c r="DC42" s="223">
        <v>0</v>
      </c>
      <c r="DD42" s="223">
        <v>0</v>
      </c>
      <c r="DE42" s="223">
        <f>SUM(CW42:DD42)</f>
        <v>50</v>
      </c>
      <c r="DF42" s="791">
        <v>190</v>
      </c>
      <c r="DG42" s="792"/>
      <c r="DH42" s="792"/>
      <c r="DI42" s="792"/>
      <c r="DJ42" s="792"/>
      <c r="DK42" s="792"/>
      <c r="DL42" s="792"/>
      <c r="DM42" s="793"/>
      <c r="DN42" s="108">
        <f>SUM(DF42)</f>
        <v>190</v>
      </c>
      <c r="DO42" s="109">
        <f t="shared" si="1"/>
        <v>1222</v>
      </c>
      <c r="DP42" s="110"/>
    </row>
    <row r="43" spans="2:120" ht="287.25" customHeight="1">
      <c r="B43" s="800"/>
      <c r="C43" s="786"/>
      <c r="D43" s="789"/>
      <c r="E43" s="790"/>
      <c r="F43" s="786"/>
      <c r="G43" s="786"/>
      <c r="H43" s="786"/>
      <c r="I43" s="786"/>
      <c r="J43" s="111" t="s">
        <v>66</v>
      </c>
      <c r="K43" s="112">
        <v>40</v>
      </c>
      <c r="L43" s="108">
        <v>40</v>
      </c>
      <c r="M43" s="108">
        <v>23</v>
      </c>
      <c r="N43" s="108">
        <v>23</v>
      </c>
      <c r="O43" s="108">
        <v>0</v>
      </c>
      <c r="P43" s="108">
        <v>0</v>
      </c>
      <c r="Q43" s="108">
        <v>0</v>
      </c>
      <c r="R43" s="108">
        <v>0</v>
      </c>
      <c r="S43" s="113">
        <f>SUM(K43:R43)</f>
        <v>126</v>
      </c>
      <c r="T43" s="108">
        <v>20</v>
      </c>
      <c r="U43" s="108">
        <v>15</v>
      </c>
      <c r="V43" s="108">
        <v>25</v>
      </c>
      <c r="W43" s="108">
        <v>18</v>
      </c>
      <c r="X43" s="108"/>
      <c r="Y43" s="108"/>
      <c r="Z43" s="108"/>
      <c r="AA43" s="108"/>
      <c r="AB43" s="113">
        <f t="shared" si="2"/>
        <v>78</v>
      </c>
      <c r="AC43" s="114">
        <v>6</v>
      </c>
      <c r="AD43" s="114">
        <v>7</v>
      </c>
      <c r="AE43" s="114">
        <v>9</v>
      </c>
      <c r="AF43" s="114">
        <v>7</v>
      </c>
      <c r="AG43" s="114">
        <v>0</v>
      </c>
      <c r="AH43" s="114">
        <v>0</v>
      </c>
      <c r="AI43" s="114">
        <v>0</v>
      </c>
      <c r="AJ43" s="114">
        <v>0</v>
      </c>
      <c r="AK43" s="113">
        <f>SUM(AC43:AJ43)</f>
        <v>29</v>
      </c>
      <c r="AL43" s="108">
        <v>9</v>
      </c>
      <c r="AM43" s="108">
        <v>5</v>
      </c>
      <c r="AN43" s="108">
        <v>7</v>
      </c>
      <c r="AO43" s="108">
        <v>5</v>
      </c>
      <c r="AP43" s="108">
        <v>0</v>
      </c>
      <c r="AQ43" s="108">
        <v>0</v>
      </c>
      <c r="AR43" s="108">
        <v>0</v>
      </c>
      <c r="AS43" s="108">
        <v>0</v>
      </c>
      <c r="AT43" s="115">
        <f>SUM(AL43:AS43)</f>
        <v>26</v>
      </c>
      <c r="AU43" s="108">
        <v>20</v>
      </c>
      <c r="AV43" s="108">
        <v>25</v>
      </c>
      <c r="AW43" s="108">
        <v>18</v>
      </c>
      <c r="AX43" s="108">
        <v>13</v>
      </c>
      <c r="AY43" s="108">
        <v>0</v>
      </c>
      <c r="AZ43" s="108">
        <v>0</v>
      </c>
      <c r="BA43" s="108">
        <v>0</v>
      </c>
      <c r="BB43" s="108">
        <v>0</v>
      </c>
      <c r="BC43" s="115">
        <f t="shared" si="3"/>
        <v>76</v>
      </c>
      <c r="BD43" s="108">
        <v>24</v>
      </c>
      <c r="BE43" s="108">
        <v>11</v>
      </c>
      <c r="BF43" s="108">
        <v>30</v>
      </c>
      <c r="BG43" s="108">
        <v>9</v>
      </c>
      <c r="BH43" s="108">
        <v>0</v>
      </c>
      <c r="BI43" s="108">
        <v>0</v>
      </c>
      <c r="BJ43" s="108">
        <v>0</v>
      </c>
      <c r="BK43" s="108">
        <v>0</v>
      </c>
      <c r="BL43" s="115">
        <f>SUM(BD43:BK43)</f>
        <v>74</v>
      </c>
      <c r="BM43" s="108">
        <v>22</v>
      </c>
      <c r="BN43" s="108">
        <v>20</v>
      </c>
      <c r="BO43" s="108">
        <v>22</v>
      </c>
      <c r="BP43" s="108">
        <v>11</v>
      </c>
      <c r="BQ43" s="108">
        <v>12</v>
      </c>
      <c r="BR43" s="108">
        <v>5</v>
      </c>
      <c r="BS43" s="108">
        <v>0</v>
      </c>
      <c r="BT43" s="108">
        <v>0</v>
      </c>
      <c r="BU43" s="115">
        <f t="shared" si="4"/>
        <v>92</v>
      </c>
      <c r="BV43" s="108">
        <v>34</v>
      </c>
      <c r="BW43" s="108">
        <v>27</v>
      </c>
      <c r="BX43" s="108">
        <v>27</v>
      </c>
      <c r="BY43" s="108">
        <v>40</v>
      </c>
      <c r="BZ43" s="108">
        <v>27</v>
      </c>
      <c r="CA43" s="108">
        <v>9</v>
      </c>
      <c r="CB43" s="108">
        <v>0</v>
      </c>
      <c r="CC43" s="108">
        <v>0</v>
      </c>
      <c r="CD43" s="115">
        <f t="shared" si="5"/>
        <v>164</v>
      </c>
      <c r="CE43" s="791">
        <v>22</v>
      </c>
      <c r="CF43" s="792"/>
      <c r="CG43" s="792"/>
      <c r="CH43" s="792"/>
      <c r="CI43" s="792"/>
      <c r="CJ43" s="792"/>
      <c r="CK43" s="792"/>
      <c r="CL43" s="793"/>
      <c r="CM43" s="108">
        <f t="shared" si="0"/>
        <v>22</v>
      </c>
      <c r="CN43" s="108">
        <v>36</v>
      </c>
      <c r="CO43" s="108">
        <v>17</v>
      </c>
      <c r="CP43" s="108">
        <v>26</v>
      </c>
      <c r="CQ43" s="108">
        <v>17</v>
      </c>
      <c r="CR43" s="108">
        <v>15</v>
      </c>
      <c r="CS43" s="108">
        <v>8</v>
      </c>
      <c r="CT43" s="108">
        <v>3</v>
      </c>
      <c r="CU43" s="108">
        <v>3</v>
      </c>
      <c r="CV43" s="108">
        <f>SUM(CN43:CU43)</f>
        <v>125</v>
      </c>
      <c r="CW43" s="797">
        <v>20</v>
      </c>
      <c r="CX43" s="798"/>
      <c r="CY43" s="798"/>
      <c r="CZ43" s="798"/>
      <c r="DA43" s="798"/>
      <c r="DB43" s="798"/>
      <c r="DC43" s="798"/>
      <c r="DD43" s="799"/>
      <c r="DE43" s="223">
        <f>SUM(CW43)</f>
        <v>20</v>
      </c>
      <c r="DF43" s="108">
        <v>28</v>
      </c>
      <c r="DG43" s="108">
        <v>27</v>
      </c>
      <c r="DH43" s="108">
        <v>25</v>
      </c>
      <c r="DI43" s="108">
        <v>16</v>
      </c>
      <c r="DJ43" s="108">
        <v>24</v>
      </c>
      <c r="DK43" s="108">
        <v>9</v>
      </c>
      <c r="DL43" s="108">
        <v>3</v>
      </c>
      <c r="DM43" s="108">
        <v>1</v>
      </c>
      <c r="DN43" s="108">
        <f>SUM(DF43:DM43)</f>
        <v>133</v>
      </c>
      <c r="DO43" s="109">
        <f t="shared" si="1"/>
        <v>965</v>
      </c>
      <c r="DP43" s="110"/>
    </row>
    <row r="44" spans="2:120" ht="216" hidden="1" customHeight="1">
      <c r="B44" s="785" t="s">
        <v>144</v>
      </c>
      <c r="C44" s="785" t="s">
        <v>68</v>
      </c>
      <c r="D44" s="787" t="s">
        <v>69</v>
      </c>
      <c r="E44" s="788"/>
      <c r="F44" s="785" t="s">
        <v>14</v>
      </c>
      <c r="G44" s="785">
        <v>218</v>
      </c>
      <c r="H44" s="785" t="s">
        <v>148</v>
      </c>
      <c r="I44" s="785">
        <v>218</v>
      </c>
      <c r="J44" s="107" t="s">
        <v>65</v>
      </c>
      <c r="K44" s="794">
        <v>14</v>
      </c>
      <c r="L44" s="792"/>
      <c r="M44" s="792"/>
      <c r="N44" s="792"/>
      <c r="O44" s="792"/>
      <c r="P44" s="792"/>
      <c r="Q44" s="792"/>
      <c r="R44" s="793"/>
      <c r="S44" s="113">
        <f>SUM(K44)</f>
        <v>14</v>
      </c>
      <c r="T44" s="794">
        <v>19</v>
      </c>
      <c r="U44" s="792"/>
      <c r="V44" s="792"/>
      <c r="W44" s="792"/>
      <c r="X44" s="792"/>
      <c r="Y44" s="792"/>
      <c r="Z44" s="792"/>
      <c r="AA44" s="793"/>
      <c r="AB44" s="113">
        <f t="shared" si="2"/>
        <v>19</v>
      </c>
      <c r="AC44" s="794">
        <v>12</v>
      </c>
      <c r="AD44" s="792"/>
      <c r="AE44" s="792"/>
      <c r="AF44" s="792"/>
      <c r="AG44" s="792"/>
      <c r="AH44" s="792"/>
      <c r="AI44" s="792"/>
      <c r="AJ44" s="793"/>
      <c r="AK44" s="113">
        <f>SUM(AC44)</f>
        <v>12</v>
      </c>
      <c r="AL44" s="791">
        <v>10</v>
      </c>
      <c r="AM44" s="792"/>
      <c r="AN44" s="792"/>
      <c r="AO44" s="792"/>
      <c r="AP44" s="792"/>
      <c r="AQ44" s="792"/>
      <c r="AR44" s="792"/>
      <c r="AS44" s="793"/>
      <c r="AT44" s="115">
        <f>SUM(AL44)</f>
        <v>10</v>
      </c>
      <c r="AU44" s="791">
        <v>10</v>
      </c>
      <c r="AV44" s="792"/>
      <c r="AW44" s="792"/>
      <c r="AX44" s="792"/>
      <c r="AY44" s="792"/>
      <c r="AZ44" s="792"/>
      <c r="BA44" s="792"/>
      <c r="BB44" s="793"/>
      <c r="BC44" s="115">
        <f t="shared" si="3"/>
        <v>10</v>
      </c>
      <c r="BD44" s="791">
        <v>10</v>
      </c>
      <c r="BE44" s="792"/>
      <c r="BF44" s="792"/>
      <c r="BG44" s="792"/>
      <c r="BH44" s="792"/>
      <c r="BI44" s="792"/>
      <c r="BJ44" s="792"/>
      <c r="BK44" s="793"/>
      <c r="BL44" s="115">
        <f>SUM(BD44)</f>
        <v>10</v>
      </c>
      <c r="BM44" s="791">
        <v>35</v>
      </c>
      <c r="BN44" s="792"/>
      <c r="BO44" s="792"/>
      <c r="BP44" s="792"/>
      <c r="BQ44" s="792"/>
      <c r="BR44" s="792"/>
      <c r="BS44" s="792"/>
      <c r="BT44" s="793"/>
      <c r="BU44" s="115">
        <f t="shared" si="4"/>
        <v>35</v>
      </c>
      <c r="BV44" s="791">
        <v>35</v>
      </c>
      <c r="BW44" s="792"/>
      <c r="BX44" s="792"/>
      <c r="BY44" s="792"/>
      <c r="BZ44" s="792"/>
      <c r="CA44" s="792"/>
      <c r="CB44" s="792"/>
      <c r="CC44" s="793"/>
      <c r="CD44" s="115">
        <f t="shared" si="5"/>
        <v>35</v>
      </c>
      <c r="CE44" s="108">
        <v>0</v>
      </c>
      <c r="CF44" s="108">
        <v>0</v>
      </c>
      <c r="CG44" s="108">
        <v>0</v>
      </c>
      <c r="CH44" s="108">
        <v>0</v>
      </c>
      <c r="CI44" s="108">
        <v>0</v>
      </c>
      <c r="CJ44" s="108">
        <v>0</v>
      </c>
      <c r="CK44" s="108">
        <v>0</v>
      </c>
      <c r="CL44" s="108">
        <v>0</v>
      </c>
      <c r="CM44" s="108">
        <f t="shared" si="0"/>
        <v>0</v>
      </c>
      <c r="CN44" s="791">
        <v>25</v>
      </c>
      <c r="CO44" s="792"/>
      <c r="CP44" s="792"/>
      <c r="CQ44" s="792"/>
      <c r="CR44" s="792"/>
      <c r="CS44" s="792"/>
      <c r="CT44" s="792"/>
      <c r="CU44" s="793"/>
      <c r="CV44" s="108">
        <f>SUM(CN44)</f>
        <v>25</v>
      </c>
      <c r="CW44" s="223">
        <v>7</v>
      </c>
      <c r="CX44" s="223">
        <v>3</v>
      </c>
      <c r="CY44" s="223">
        <v>2</v>
      </c>
      <c r="CZ44" s="223">
        <v>6</v>
      </c>
      <c r="DA44" s="223">
        <v>0</v>
      </c>
      <c r="DB44" s="223">
        <v>0</v>
      </c>
      <c r="DC44" s="223">
        <v>0</v>
      </c>
      <c r="DD44" s="223">
        <v>0</v>
      </c>
      <c r="DE44" s="223">
        <f>SUM(CW44:DD44)</f>
        <v>18</v>
      </c>
      <c r="DF44" s="791">
        <v>20</v>
      </c>
      <c r="DG44" s="792"/>
      <c r="DH44" s="792"/>
      <c r="DI44" s="792"/>
      <c r="DJ44" s="792"/>
      <c r="DK44" s="792"/>
      <c r="DL44" s="792"/>
      <c r="DM44" s="793"/>
      <c r="DN44" s="108">
        <f>SUM(DF44)</f>
        <v>20</v>
      </c>
      <c r="DO44" s="109">
        <f t="shared" si="1"/>
        <v>208</v>
      </c>
      <c r="DP44" s="110"/>
    </row>
    <row r="45" spans="2:120" ht="178.5" customHeight="1">
      <c r="B45" s="800"/>
      <c r="C45" s="786"/>
      <c r="D45" s="789"/>
      <c r="E45" s="790"/>
      <c r="F45" s="786"/>
      <c r="G45" s="786"/>
      <c r="H45" s="786"/>
      <c r="I45" s="786"/>
      <c r="J45" s="111" t="s">
        <v>66</v>
      </c>
      <c r="K45" s="112">
        <v>3</v>
      </c>
      <c r="L45" s="108">
        <v>2</v>
      </c>
      <c r="M45" s="108">
        <v>7</v>
      </c>
      <c r="N45" s="108">
        <v>2</v>
      </c>
      <c r="O45" s="108">
        <v>0</v>
      </c>
      <c r="P45" s="108">
        <v>0</v>
      </c>
      <c r="Q45" s="108">
        <v>0</v>
      </c>
      <c r="R45" s="108">
        <v>0</v>
      </c>
      <c r="S45" s="113">
        <f>SUM(K45:R45)</f>
        <v>14</v>
      </c>
      <c r="T45" s="108">
        <v>3</v>
      </c>
      <c r="U45" s="108">
        <v>5</v>
      </c>
      <c r="V45" s="108">
        <v>6</v>
      </c>
      <c r="W45" s="108">
        <v>5</v>
      </c>
      <c r="X45" s="108">
        <v>0</v>
      </c>
      <c r="Y45" s="108">
        <v>0</v>
      </c>
      <c r="Z45" s="108">
        <v>0</v>
      </c>
      <c r="AA45" s="108">
        <v>0</v>
      </c>
      <c r="AB45" s="113">
        <f t="shared" si="2"/>
        <v>19</v>
      </c>
      <c r="AC45" s="114">
        <v>2</v>
      </c>
      <c r="AD45" s="114">
        <v>3</v>
      </c>
      <c r="AE45" s="114">
        <v>0</v>
      </c>
      <c r="AF45" s="114">
        <v>0</v>
      </c>
      <c r="AG45" s="114">
        <v>0</v>
      </c>
      <c r="AH45" s="114">
        <v>0</v>
      </c>
      <c r="AI45" s="114">
        <v>0</v>
      </c>
      <c r="AJ45" s="114">
        <v>0</v>
      </c>
      <c r="AK45" s="113">
        <f>SUM(AC45:AJ45)</f>
        <v>5</v>
      </c>
      <c r="AL45" s="108">
        <v>2</v>
      </c>
      <c r="AM45" s="108">
        <v>2</v>
      </c>
      <c r="AN45" s="108">
        <v>1</v>
      </c>
      <c r="AO45" s="108">
        <v>1</v>
      </c>
      <c r="AP45" s="108">
        <v>0</v>
      </c>
      <c r="AQ45" s="108">
        <v>0</v>
      </c>
      <c r="AR45" s="108">
        <v>0</v>
      </c>
      <c r="AS45" s="108">
        <v>0</v>
      </c>
      <c r="AT45" s="115">
        <f>SUM(AL45:AS45)</f>
        <v>6</v>
      </c>
      <c r="AU45" s="108">
        <v>2</v>
      </c>
      <c r="AV45" s="108">
        <v>1</v>
      </c>
      <c r="AW45" s="108">
        <v>4</v>
      </c>
      <c r="AX45" s="108">
        <v>0</v>
      </c>
      <c r="AY45" s="108">
        <v>0</v>
      </c>
      <c r="AZ45" s="108">
        <v>0</v>
      </c>
      <c r="BA45" s="108">
        <v>0</v>
      </c>
      <c r="BB45" s="108">
        <v>0</v>
      </c>
      <c r="BC45" s="115">
        <f t="shared" si="3"/>
        <v>7</v>
      </c>
      <c r="BD45" s="108">
        <v>5</v>
      </c>
      <c r="BE45" s="108">
        <v>3</v>
      </c>
      <c r="BF45" s="108">
        <v>9</v>
      </c>
      <c r="BG45" s="108">
        <v>1</v>
      </c>
      <c r="BH45" s="108">
        <v>0</v>
      </c>
      <c r="BI45" s="108">
        <v>0</v>
      </c>
      <c r="BJ45" s="108">
        <v>0</v>
      </c>
      <c r="BK45" s="108">
        <v>0</v>
      </c>
      <c r="BL45" s="115">
        <f>SUM(BD45:BK45)</f>
        <v>18</v>
      </c>
      <c r="BM45" s="108">
        <v>2</v>
      </c>
      <c r="BN45" s="108">
        <v>7</v>
      </c>
      <c r="BO45" s="108">
        <v>2</v>
      </c>
      <c r="BP45" s="108">
        <v>0</v>
      </c>
      <c r="BQ45" s="108">
        <v>1</v>
      </c>
      <c r="BR45" s="108">
        <v>0</v>
      </c>
      <c r="BS45" s="108">
        <v>0</v>
      </c>
      <c r="BT45" s="108">
        <v>0</v>
      </c>
      <c r="BU45" s="115">
        <f t="shared" si="4"/>
        <v>12</v>
      </c>
      <c r="BV45" s="108">
        <v>6</v>
      </c>
      <c r="BW45" s="108">
        <v>10</v>
      </c>
      <c r="BX45" s="108">
        <v>5</v>
      </c>
      <c r="BY45" s="108">
        <v>5</v>
      </c>
      <c r="BZ45" s="108">
        <v>0</v>
      </c>
      <c r="CA45" s="108">
        <v>0</v>
      </c>
      <c r="CB45" s="108">
        <v>0</v>
      </c>
      <c r="CC45" s="108">
        <v>0</v>
      </c>
      <c r="CD45" s="115">
        <f t="shared" si="5"/>
        <v>26</v>
      </c>
      <c r="CE45" s="791">
        <v>124</v>
      </c>
      <c r="CF45" s="792"/>
      <c r="CG45" s="792"/>
      <c r="CH45" s="792"/>
      <c r="CI45" s="792"/>
      <c r="CJ45" s="792"/>
      <c r="CK45" s="792"/>
      <c r="CL45" s="793"/>
      <c r="CM45" s="108">
        <f t="shared" si="0"/>
        <v>124</v>
      </c>
      <c r="CN45" s="108">
        <v>7</v>
      </c>
      <c r="CO45" s="108">
        <v>4</v>
      </c>
      <c r="CP45" s="108">
        <v>7</v>
      </c>
      <c r="CQ45" s="108">
        <v>5</v>
      </c>
      <c r="CR45" s="108">
        <v>3</v>
      </c>
      <c r="CS45" s="108">
        <v>0</v>
      </c>
      <c r="CT45" s="108">
        <v>0</v>
      </c>
      <c r="CU45" s="108">
        <v>0</v>
      </c>
      <c r="CV45" s="108">
        <f>SUM(CN45:CU45)</f>
        <v>26</v>
      </c>
      <c r="CW45" s="797">
        <v>151</v>
      </c>
      <c r="CX45" s="798"/>
      <c r="CY45" s="798"/>
      <c r="CZ45" s="798"/>
      <c r="DA45" s="798"/>
      <c r="DB45" s="798"/>
      <c r="DC45" s="798"/>
      <c r="DD45" s="799"/>
      <c r="DE45" s="223">
        <f>SUM(CW45)</f>
        <v>151</v>
      </c>
      <c r="DF45" s="108">
        <v>4</v>
      </c>
      <c r="DG45" s="108">
        <v>4</v>
      </c>
      <c r="DH45" s="108">
        <v>5</v>
      </c>
      <c r="DI45" s="108">
        <v>2</v>
      </c>
      <c r="DJ45" s="108">
        <v>2</v>
      </c>
      <c r="DK45" s="108">
        <v>0</v>
      </c>
      <c r="DL45" s="108">
        <v>0</v>
      </c>
      <c r="DM45" s="108">
        <v>0</v>
      </c>
      <c r="DN45" s="108">
        <f>SUM(DF45:DM45)</f>
        <v>17</v>
      </c>
      <c r="DO45" s="109">
        <f t="shared" si="1"/>
        <v>425</v>
      </c>
      <c r="DP45" s="110"/>
    </row>
    <row r="46" spans="2:120" ht="287.25" hidden="1" customHeight="1">
      <c r="B46" s="785" t="s">
        <v>144</v>
      </c>
      <c r="C46" s="785" t="s">
        <v>68</v>
      </c>
      <c r="D46" s="787" t="s">
        <v>69</v>
      </c>
      <c r="E46" s="788"/>
      <c r="F46" s="785" t="s">
        <v>14</v>
      </c>
      <c r="G46" s="785">
        <v>2420</v>
      </c>
      <c r="H46" s="785" t="s">
        <v>149</v>
      </c>
      <c r="I46" s="785">
        <v>2420</v>
      </c>
      <c r="J46" s="107" t="s">
        <v>65</v>
      </c>
      <c r="K46" s="794">
        <v>154</v>
      </c>
      <c r="L46" s="792"/>
      <c r="M46" s="792"/>
      <c r="N46" s="792"/>
      <c r="O46" s="792"/>
      <c r="P46" s="792"/>
      <c r="Q46" s="792"/>
      <c r="R46" s="793"/>
      <c r="S46" s="113">
        <f>SUM(K46)</f>
        <v>154</v>
      </c>
      <c r="T46" s="794">
        <v>152</v>
      </c>
      <c r="U46" s="792"/>
      <c r="V46" s="792"/>
      <c r="W46" s="792"/>
      <c r="X46" s="792"/>
      <c r="Y46" s="792"/>
      <c r="Z46" s="792"/>
      <c r="AA46" s="793"/>
      <c r="AB46" s="113">
        <f t="shared" si="2"/>
        <v>152</v>
      </c>
      <c r="AC46" s="794">
        <v>313</v>
      </c>
      <c r="AD46" s="792"/>
      <c r="AE46" s="792"/>
      <c r="AF46" s="792"/>
      <c r="AG46" s="792"/>
      <c r="AH46" s="792"/>
      <c r="AI46" s="792"/>
      <c r="AJ46" s="793"/>
      <c r="AK46" s="113">
        <f>SUM(AC46)</f>
        <v>313</v>
      </c>
      <c r="AL46" s="791">
        <v>300</v>
      </c>
      <c r="AM46" s="792"/>
      <c r="AN46" s="792"/>
      <c r="AO46" s="792"/>
      <c r="AP46" s="792"/>
      <c r="AQ46" s="792"/>
      <c r="AR46" s="792"/>
      <c r="AS46" s="793"/>
      <c r="AT46" s="115">
        <f>SUM(AL46)</f>
        <v>300</v>
      </c>
      <c r="AU46" s="791">
        <v>200</v>
      </c>
      <c r="AV46" s="792"/>
      <c r="AW46" s="792"/>
      <c r="AX46" s="792"/>
      <c r="AY46" s="792"/>
      <c r="AZ46" s="792"/>
      <c r="BA46" s="792"/>
      <c r="BB46" s="793"/>
      <c r="BC46" s="115">
        <f t="shared" si="3"/>
        <v>200</v>
      </c>
      <c r="BD46" s="791">
        <v>200</v>
      </c>
      <c r="BE46" s="792"/>
      <c r="BF46" s="792"/>
      <c r="BG46" s="792"/>
      <c r="BH46" s="792"/>
      <c r="BI46" s="792"/>
      <c r="BJ46" s="792"/>
      <c r="BK46" s="793"/>
      <c r="BL46" s="115">
        <f>SUM(BD46)</f>
        <v>200</v>
      </c>
      <c r="BM46" s="791">
        <v>200</v>
      </c>
      <c r="BN46" s="792"/>
      <c r="BO46" s="792"/>
      <c r="BP46" s="792"/>
      <c r="BQ46" s="792"/>
      <c r="BR46" s="792"/>
      <c r="BS46" s="792"/>
      <c r="BT46" s="793"/>
      <c r="BU46" s="115">
        <f t="shared" si="4"/>
        <v>200</v>
      </c>
      <c r="BV46" s="791">
        <v>200</v>
      </c>
      <c r="BW46" s="792"/>
      <c r="BX46" s="792"/>
      <c r="BY46" s="792"/>
      <c r="BZ46" s="792"/>
      <c r="CA46" s="792"/>
      <c r="CB46" s="792"/>
      <c r="CC46" s="793"/>
      <c r="CD46" s="115">
        <f t="shared" si="5"/>
        <v>200</v>
      </c>
      <c r="CE46" s="108">
        <v>0</v>
      </c>
      <c r="CF46" s="108">
        <v>0</v>
      </c>
      <c r="CG46" s="108">
        <v>1</v>
      </c>
      <c r="CH46" s="108">
        <v>2</v>
      </c>
      <c r="CI46" s="108">
        <v>0</v>
      </c>
      <c r="CJ46" s="108">
        <v>1</v>
      </c>
      <c r="CK46" s="108">
        <v>0</v>
      </c>
      <c r="CL46" s="108">
        <v>0</v>
      </c>
      <c r="CM46" s="108">
        <f t="shared" si="0"/>
        <v>4</v>
      </c>
      <c r="CN46" s="791">
        <v>200</v>
      </c>
      <c r="CO46" s="792"/>
      <c r="CP46" s="792"/>
      <c r="CQ46" s="792"/>
      <c r="CR46" s="792"/>
      <c r="CS46" s="792"/>
      <c r="CT46" s="792"/>
      <c r="CU46" s="793"/>
      <c r="CV46" s="108">
        <f>SUM(CN46)</f>
        <v>200</v>
      </c>
      <c r="CW46" s="223">
        <v>1</v>
      </c>
      <c r="CX46" s="223">
        <v>21</v>
      </c>
      <c r="CY46" s="223">
        <v>3</v>
      </c>
      <c r="CZ46" s="223">
        <v>1</v>
      </c>
      <c r="DA46" s="223">
        <v>4</v>
      </c>
      <c r="DB46" s="223">
        <v>4</v>
      </c>
      <c r="DC46" s="223">
        <v>0</v>
      </c>
      <c r="DD46" s="223">
        <v>0</v>
      </c>
      <c r="DE46" s="223">
        <f>SUM(CW46:DD46)</f>
        <v>34</v>
      </c>
      <c r="DF46" s="791">
        <v>151</v>
      </c>
      <c r="DG46" s="792"/>
      <c r="DH46" s="792"/>
      <c r="DI46" s="792"/>
      <c r="DJ46" s="792"/>
      <c r="DK46" s="792"/>
      <c r="DL46" s="792"/>
      <c r="DM46" s="793"/>
      <c r="DN46" s="108">
        <f>SUM(DF46)</f>
        <v>151</v>
      </c>
      <c r="DO46" s="109">
        <f t="shared" si="1"/>
        <v>2108</v>
      </c>
      <c r="DP46" s="110"/>
    </row>
    <row r="47" spans="2:120" ht="287.25" customHeight="1">
      <c r="B47" s="800"/>
      <c r="C47" s="786"/>
      <c r="D47" s="789"/>
      <c r="E47" s="790"/>
      <c r="F47" s="786"/>
      <c r="G47" s="786"/>
      <c r="H47" s="786"/>
      <c r="I47" s="786"/>
      <c r="J47" s="111" t="s">
        <v>66</v>
      </c>
      <c r="K47" s="112">
        <v>30</v>
      </c>
      <c r="L47" s="108">
        <v>50</v>
      </c>
      <c r="M47" s="108">
        <v>25</v>
      </c>
      <c r="N47" s="108">
        <v>49</v>
      </c>
      <c r="O47" s="108">
        <v>0</v>
      </c>
      <c r="P47" s="108">
        <v>0</v>
      </c>
      <c r="Q47" s="108">
        <v>0</v>
      </c>
      <c r="R47" s="108">
        <v>0</v>
      </c>
      <c r="S47" s="113">
        <f>SUM(K47:R47)</f>
        <v>154</v>
      </c>
      <c r="T47" s="108">
        <v>35</v>
      </c>
      <c r="U47" s="108">
        <v>45</v>
      </c>
      <c r="V47" s="108">
        <v>32</v>
      </c>
      <c r="W47" s="108">
        <v>40</v>
      </c>
      <c r="X47" s="108">
        <v>0</v>
      </c>
      <c r="Y47" s="108">
        <v>0</v>
      </c>
      <c r="Z47" s="108">
        <v>0</v>
      </c>
      <c r="AA47" s="108">
        <v>0</v>
      </c>
      <c r="AB47" s="113">
        <f t="shared" si="2"/>
        <v>152</v>
      </c>
      <c r="AC47" s="114">
        <v>14</v>
      </c>
      <c r="AD47" s="114">
        <v>10</v>
      </c>
      <c r="AE47" s="114">
        <v>8</v>
      </c>
      <c r="AF47" s="114">
        <v>9</v>
      </c>
      <c r="AG47" s="114">
        <v>0</v>
      </c>
      <c r="AH47" s="114">
        <v>0</v>
      </c>
      <c r="AI47" s="114">
        <v>0</v>
      </c>
      <c r="AJ47" s="114">
        <v>0</v>
      </c>
      <c r="AK47" s="113">
        <f>SUM(AC47:AJ47)</f>
        <v>41</v>
      </c>
      <c r="AL47" s="108">
        <v>3</v>
      </c>
      <c r="AM47" s="108">
        <v>5</v>
      </c>
      <c r="AN47" s="108">
        <v>4</v>
      </c>
      <c r="AO47" s="108">
        <v>0</v>
      </c>
      <c r="AP47" s="108">
        <v>0</v>
      </c>
      <c r="AQ47" s="108">
        <v>0</v>
      </c>
      <c r="AR47" s="108">
        <v>0</v>
      </c>
      <c r="AS47" s="108">
        <v>0</v>
      </c>
      <c r="AT47" s="115">
        <f>SUM(AL47:AS47)</f>
        <v>12</v>
      </c>
      <c r="AU47" s="108">
        <v>22</v>
      </c>
      <c r="AV47" s="108">
        <v>12</v>
      </c>
      <c r="AW47" s="108">
        <v>23</v>
      </c>
      <c r="AX47" s="108">
        <v>7</v>
      </c>
      <c r="AY47" s="108">
        <v>0</v>
      </c>
      <c r="AZ47" s="108">
        <v>0</v>
      </c>
      <c r="BA47" s="108">
        <v>0</v>
      </c>
      <c r="BB47" s="108">
        <v>0</v>
      </c>
      <c r="BC47" s="115">
        <f t="shared" si="3"/>
        <v>64</v>
      </c>
      <c r="BD47" s="108">
        <v>14</v>
      </c>
      <c r="BE47" s="108">
        <v>10</v>
      </c>
      <c r="BF47" s="108">
        <v>22</v>
      </c>
      <c r="BG47" s="108">
        <v>6</v>
      </c>
      <c r="BH47" s="108">
        <v>0</v>
      </c>
      <c r="BI47" s="108">
        <v>0</v>
      </c>
      <c r="BJ47" s="108">
        <v>0</v>
      </c>
      <c r="BK47" s="108">
        <v>0</v>
      </c>
      <c r="BL47" s="115">
        <f>SUM(BD47:BK47)</f>
        <v>52</v>
      </c>
      <c r="BM47" s="108">
        <v>14</v>
      </c>
      <c r="BN47" s="108">
        <v>7</v>
      </c>
      <c r="BO47" s="108">
        <v>16</v>
      </c>
      <c r="BP47" s="108">
        <v>4</v>
      </c>
      <c r="BQ47" s="108">
        <v>11</v>
      </c>
      <c r="BR47" s="108">
        <v>3</v>
      </c>
      <c r="BS47" s="108">
        <v>0</v>
      </c>
      <c r="BT47" s="108">
        <v>0</v>
      </c>
      <c r="BU47" s="115">
        <f t="shared" si="4"/>
        <v>55</v>
      </c>
      <c r="BV47" s="108">
        <v>28</v>
      </c>
      <c r="BW47" s="108">
        <v>29</v>
      </c>
      <c r="BX47" s="108">
        <v>16</v>
      </c>
      <c r="BY47" s="108">
        <v>8</v>
      </c>
      <c r="BZ47" s="108">
        <v>8</v>
      </c>
      <c r="CA47" s="108">
        <v>7</v>
      </c>
      <c r="CB47" s="108">
        <v>0</v>
      </c>
      <c r="CC47" s="108">
        <v>0</v>
      </c>
      <c r="CD47" s="115">
        <f t="shared" si="5"/>
        <v>96</v>
      </c>
      <c r="CE47" s="791">
        <v>260</v>
      </c>
      <c r="CF47" s="792"/>
      <c r="CG47" s="792"/>
      <c r="CH47" s="792"/>
      <c r="CI47" s="792"/>
      <c r="CJ47" s="792"/>
      <c r="CK47" s="792"/>
      <c r="CL47" s="793"/>
      <c r="CM47" s="108">
        <f t="shared" si="0"/>
        <v>260</v>
      </c>
      <c r="CN47" s="108">
        <v>22</v>
      </c>
      <c r="CO47" s="108">
        <v>8</v>
      </c>
      <c r="CP47" s="108">
        <v>18</v>
      </c>
      <c r="CQ47" s="108">
        <v>11</v>
      </c>
      <c r="CR47" s="108">
        <v>7</v>
      </c>
      <c r="CS47" s="108">
        <v>2</v>
      </c>
      <c r="CT47" s="108">
        <v>0</v>
      </c>
      <c r="CU47" s="108">
        <v>0</v>
      </c>
      <c r="CV47" s="108">
        <f>SUM(CN47:CU47)</f>
        <v>68</v>
      </c>
      <c r="CW47" s="797">
        <v>40</v>
      </c>
      <c r="CX47" s="798"/>
      <c r="CY47" s="798"/>
      <c r="CZ47" s="798"/>
      <c r="DA47" s="798"/>
      <c r="DB47" s="798"/>
      <c r="DC47" s="798"/>
      <c r="DD47" s="799"/>
      <c r="DE47" s="223">
        <f>SUM(CW47)</f>
        <v>40</v>
      </c>
      <c r="DF47" s="108">
        <v>12</v>
      </c>
      <c r="DG47" s="108">
        <v>16</v>
      </c>
      <c r="DH47" s="108">
        <v>11</v>
      </c>
      <c r="DI47" s="108">
        <v>13</v>
      </c>
      <c r="DJ47" s="108">
        <v>3</v>
      </c>
      <c r="DK47" s="108">
        <v>0</v>
      </c>
      <c r="DL47" s="108">
        <v>2</v>
      </c>
      <c r="DM47" s="108">
        <v>1</v>
      </c>
      <c r="DN47" s="108">
        <f>SUM(DF47:DM47)</f>
        <v>58</v>
      </c>
      <c r="DO47" s="109">
        <f t="shared" si="1"/>
        <v>1052</v>
      </c>
      <c r="DP47" s="110"/>
    </row>
    <row r="48" spans="2:120" ht="208.5" hidden="1" customHeight="1">
      <c r="B48" s="785" t="s">
        <v>144</v>
      </c>
      <c r="C48" s="785" t="s">
        <v>68</v>
      </c>
      <c r="D48" s="787" t="s">
        <v>69</v>
      </c>
      <c r="E48" s="788"/>
      <c r="F48" s="785" t="s">
        <v>14</v>
      </c>
      <c r="G48" s="785">
        <v>356</v>
      </c>
      <c r="H48" s="785" t="s">
        <v>150</v>
      </c>
      <c r="I48" s="785">
        <v>356</v>
      </c>
      <c r="J48" s="107" t="s">
        <v>65</v>
      </c>
      <c r="K48" s="794">
        <v>22</v>
      </c>
      <c r="L48" s="792"/>
      <c r="M48" s="792"/>
      <c r="N48" s="792"/>
      <c r="O48" s="792"/>
      <c r="P48" s="792"/>
      <c r="Q48" s="792"/>
      <c r="R48" s="793"/>
      <c r="S48" s="113">
        <f>SUM(K48)</f>
        <v>22</v>
      </c>
      <c r="T48" s="794">
        <v>35</v>
      </c>
      <c r="U48" s="792"/>
      <c r="V48" s="792"/>
      <c r="W48" s="792"/>
      <c r="X48" s="792"/>
      <c r="Y48" s="792"/>
      <c r="Z48" s="792"/>
      <c r="AA48" s="793"/>
      <c r="AB48" s="113">
        <f t="shared" si="2"/>
        <v>35</v>
      </c>
      <c r="AC48" s="794">
        <v>25</v>
      </c>
      <c r="AD48" s="792"/>
      <c r="AE48" s="792"/>
      <c r="AF48" s="792"/>
      <c r="AG48" s="792"/>
      <c r="AH48" s="792"/>
      <c r="AI48" s="792"/>
      <c r="AJ48" s="793"/>
      <c r="AK48" s="113">
        <f>SUM(AC48)</f>
        <v>25</v>
      </c>
      <c r="AL48" s="791">
        <v>35</v>
      </c>
      <c r="AM48" s="792"/>
      <c r="AN48" s="792"/>
      <c r="AO48" s="792"/>
      <c r="AP48" s="792"/>
      <c r="AQ48" s="792"/>
      <c r="AR48" s="792"/>
      <c r="AS48" s="793"/>
      <c r="AT48" s="115">
        <f>SUM(AL48)</f>
        <v>35</v>
      </c>
      <c r="AU48" s="791">
        <v>30</v>
      </c>
      <c r="AV48" s="792"/>
      <c r="AW48" s="792"/>
      <c r="AX48" s="792"/>
      <c r="AY48" s="792"/>
      <c r="AZ48" s="792"/>
      <c r="BA48" s="792"/>
      <c r="BB48" s="793"/>
      <c r="BC48" s="115">
        <f t="shared" si="3"/>
        <v>30</v>
      </c>
      <c r="BD48" s="791">
        <v>20</v>
      </c>
      <c r="BE48" s="792"/>
      <c r="BF48" s="792"/>
      <c r="BG48" s="792"/>
      <c r="BH48" s="792"/>
      <c r="BI48" s="792"/>
      <c r="BJ48" s="792"/>
      <c r="BK48" s="793"/>
      <c r="BL48" s="115">
        <f>SUM(BD48)</f>
        <v>20</v>
      </c>
      <c r="BM48" s="791">
        <v>25</v>
      </c>
      <c r="BN48" s="792"/>
      <c r="BO48" s="792"/>
      <c r="BP48" s="792"/>
      <c r="BQ48" s="792"/>
      <c r="BR48" s="792"/>
      <c r="BS48" s="792"/>
      <c r="BT48" s="793"/>
      <c r="BU48" s="115">
        <f t="shared" si="4"/>
        <v>25</v>
      </c>
      <c r="BV48" s="791">
        <v>25</v>
      </c>
      <c r="BW48" s="792"/>
      <c r="BX48" s="792"/>
      <c r="BY48" s="792"/>
      <c r="BZ48" s="792"/>
      <c r="CA48" s="792"/>
      <c r="CB48" s="792"/>
      <c r="CC48" s="793"/>
      <c r="CD48" s="115">
        <f t="shared" si="5"/>
        <v>25</v>
      </c>
      <c r="CE48" s="108">
        <v>7</v>
      </c>
      <c r="CF48" s="108">
        <v>7</v>
      </c>
      <c r="CG48" s="108">
        <v>6</v>
      </c>
      <c r="CH48" s="108">
        <v>4</v>
      </c>
      <c r="CI48" s="108">
        <v>42</v>
      </c>
      <c r="CJ48" s="108">
        <v>22</v>
      </c>
      <c r="CK48" s="108">
        <v>4</v>
      </c>
      <c r="CL48" s="108">
        <v>2</v>
      </c>
      <c r="CM48" s="108">
        <f t="shared" si="0"/>
        <v>94</v>
      </c>
      <c r="CN48" s="791">
        <v>35</v>
      </c>
      <c r="CO48" s="792"/>
      <c r="CP48" s="792"/>
      <c r="CQ48" s="792"/>
      <c r="CR48" s="792"/>
      <c r="CS48" s="792"/>
      <c r="CT48" s="792"/>
      <c r="CU48" s="793"/>
      <c r="CV48" s="108">
        <f>SUM(CN48)</f>
        <v>35</v>
      </c>
      <c r="CW48" s="223">
        <v>1</v>
      </c>
      <c r="CX48" s="223">
        <v>7</v>
      </c>
      <c r="CY48" s="223">
        <v>1</v>
      </c>
      <c r="CZ48" s="223">
        <v>1</v>
      </c>
      <c r="DA48" s="223">
        <v>5</v>
      </c>
      <c r="DB48" s="223">
        <v>0</v>
      </c>
      <c r="DC48" s="223">
        <v>0</v>
      </c>
      <c r="DD48" s="223">
        <v>0</v>
      </c>
      <c r="DE48" s="223">
        <f>SUM(CW48:DD48)</f>
        <v>15</v>
      </c>
      <c r="DF48" s="791">
        <v>40</v>
      </c>
      <c r="DG48" s="792"/>
      <c r="DH48" s="792"/>
      <c r="DI48" s="792"/>
      <c r="DJ48" s="792"/>
      <c r="DK48" s="792"/>
      <c r="DL48" s="792"/>
      <c r="DM48" s="793"/>
      <c r="DN48" s="108">
        <f>SUM(DF48)</f>
        <v>40</v>
      </c>
      <c r="DO48" s="109">
        <f t="shared" si="1"/>
        <v>401</v>
      </c>
      <c r="DP48" s="110"/>
    </row>
    <row r="49" spans="2:120" ht="201" customHeight="1">
      <c r="B49" s="800"/>
      <c r="C49" s="786"/>
      <c r="D49" s="789"/>
      <c r="E49" s="790"/>
      <c r="F49" s="786"/>
      <c r="G49" s="786"/>
      <c r="H49" s="786"/>
      <c r="I49" s="786"/>
      <c r="J49" s="111" t="s">
        <v>66</v>
      </c>
      <c r="K49" s="112">
        <v>5</v>
      </c>
      <c r="L49" s="108">
        <v>7</v>
      </c>
      <c r="M49" s="108">
        <v>4</v>
      </c>
      <c r="N49" s="108">
        <v>6</v>
      </c>
      <c r="O49" s="108">
        <v>0</v>
      </c>
      <c r="P49" s="108">
        <v>0</v>
      </c>
      <c r="Q49" s="108">
        <v>0</v>
      </c>
      <c r="R49" s="108">
        <v>0</v>
      </c>
      <c r="S49" s="113">
        <f>SUM(K49:R49)</f>
        <v>22</v>
      </c>
      <c r="T49" s="108">
        <v>7</v>
      </c>
      <c r="U49" s="108">
        <v>9</v>
      </c>
      <c r="V49" s="108">
        <v>5</v>
      </c>
      <c r="W49" s="108">
        <v>4</v>
      </c>
      <c r="X49" s="108">
        <v>0</v>
      </c>
      <c r="Y49" s="108">
        <v>0</v>
      </c>
      <c r="Z49" s="108">
        <v>0</v>
      </c>
      <c r="AA49" s="108">
        <v>0</v>
      </c>
      <c r="AB49" s="113">
        <f t="shared" si="2"/>
        <v>25</v>
      </c>
      <c r="AC49" s="114">
        <v>3</v>
      </c>
      <c r="AD49" s="114">
        <v>2</v>
      </c>
      <c r="AE49" s="114">
        <v>2</v>
      </c>
      <c r="AF49" s="114">
        <v>5</v>
      </c>
      <c r="AG49" s="114">
        <v>0</v>
      </c>
      <c r="AH49" s="114">
        <v>0</v>
      </c>
      <c r="AI49" s="114">
        <v>0</v>
      </c>
      <c r="AJ49" s="114">
        <v>0</v>
      </c>
      <c r="AK49" s="113">
        <f>SUM(AC49:AJ49)</f>
        <v>12</v>
      </c>
      <c r="AL49" s="108">
        <v>3</v>
      </c>
      <c r="AM49" s="108">
        <v>2</v>
      </c>
      <c r="AN49" s="108">
        <v>2</v>
      </c>
      <c r="AO49" s="108">
        <v>5</v>
      </c>
      <c r="AP49" s="108">
        <v>0</v>
      </c>
      <c r="AQ49" s="108">
        <v>0</v>
      </c>
      <c r="AR49" s="108">
        <v>0</v>
      </c>
      <c r="AS49" s="108">
        <v>0</v>
      </c>
      <c r="AT49" s="115">
        <f>SUM(AL49:AS49)</f>
        <v>12</v>
      </c>
      <c r="AU49" s="108">
        <v>6</v>
      </c>
      <c r="AV49" s="108">
        <v>20</v>
      </c>
      <c r="AW49" s="108">
        <v>14</v>
      </c>
      <c r="AX49" s="108">
        <v>6</v>
      </c>
      <c r="AY49" s="108">
        <v>0</v>
      </c>
      <c r="AZ49" s="108">
        <v>0</v>
      </c>
      <c r="BA49" s="108">
        <v>0</v>
      </c>
      <c r="BB49" s="108">
        <v>0</v>
      </c>
      <c r="BC49" s="115">
        <f t="shared" si="3"/>
        <v>46</v>
      </c>
      <c r="BD49" s="108">
        <v>26</v>
      </c>
      <c r="BE49" s="108">
        <v>12</v>
      </c>
      <c r="BF49" s="108">
        <v>15</v>
      </c>
      <c r="BG49" s="108">
        <v>4</v>
      </c>
      <c r="BH49" s="108">
        <v>0</v>
      </c>
      <c r="BI49" s="108">
        <v>0</v>
      </c>
      <c r="BJ49" s="108">
        <v>0</v>
      </c>
      <c r="BK49" s="108">
        <v>0</v>
      </c>
      <c r="BL49" s="115">
        <f>SUM(BD49:BK49)</f>
        <v>57</v>
      </c>
      <c r="BM49" s="108">
        <v>12</v>
      </c>
      <c r="BN49" s="108">
        <v>8</v>
      </c>
      <c r="BO49" s="108">
        <v>9</v>
      </c>
      <c r="BP49" s="108">
        <v>7</v>
      </c>
      <c r="BQ49" s="108">
        <v>2</v>
      </c>
      <c r="BR49" s="108">
        <v>0</v>
      </c>
      <c r="BS49" s="108">
        <v>0</v>
      </c>
      <c r="BT49" s="108">
        <v>0</v>
      </c>
      <c r="BU49" s="115">
        <f t="shared" si="4"/>
        <v>38</v>
      </c>
      <c r="BV49" s="108">
        <v>9</v>
      </c>
      <c r="BW49" s="108">
        <v>13</v>
      </c>
      <c r="BX49" s="108">
        <v>6</v>
      </c>
      <c r="BY49" s="108">
        <v>7</v>
      </c>
      <c r="BZ49" s="108">
        <v>0</v>
      </c>
      <c r="CA49" s="108">
        <v>0</v>
      </c>
      <c r="CB49" s="108">
        <v>0</v>
      </c>
      <c r="CC49" s="108">
        <v>0</v>
      </c>
      <c r="CD49" s="115">
        <f t="shared" si="5"/>
        <v>35</v>
      </c>
      <c r="CE49" s="791">
        <v>120</v>
      </c>
      <c r="CF49" s="792"/>
      <c r="CG49" s="792"/>
      <c r="CH49" s="792"/>
      <c r="CI49" s="792"/>
      <c r="CJ49" s="792"/>
      <c r="CK49" s="792"/>
      <c r="CL49" s="793"/>
      <c r="CM49" s="108">
        <f t="shared" si="0"/>
        <v>120</v>
      </c>
      <c r="CN49" s="108">
        <v>10</v>
      </c>
      <c r="CO49" s="108">
        <v>8</v>
      </c>
      <c r="CP49" s="108">
        <v>5</v>
      </c>
      <c r="CQ49" s="108">
        <v>3</v>
      </c>
      <c r="CR49" s="108">
        <v>8</v>
      </c>
      <c r="CS49" s="108">
        <v>0</v>
      </c>
      <c r="CT49" s="108">
        <v>0</v>
      </c>
      <c r="CU49" s="108">
        <v>0</v>
      </c>
      <c r="CV49" s="108">
        <f>SUM(CN49:CU49)</f>
        <v>34</v>
      </c>
      <c r="CW49" s="797">
        <v>15</v>
      </c>
      <c r="CX49" s="798"/>
      <c r="CY49" s="798"/>
      <c r="CZ49" s="798"/>
      <c r="DA49" s="798"/>
      <c r="DB49" s="798"/>
      <c r="DC49" s="798"/>
      <c r="DD49" s="799"/>
      <c r="DE49" s="223">
        <f>SUM(CW49)</f>
        <v>15</v>
      </c>
      <c r="DF49" s="108">
        <v>2</v>
      </c>
      <c r="DG49" s="108">
        <v>2</v>
      </c>
      <c r="DH49" s="108">
        <v>1</v>
      </c>
      <c r="DI49" s="108">
        <v>2</v>
      </c>
      <c r="DJ49" s="108">
        <v>3</v>
      </c>
      <c r="DK49" s="108">
        <v>0</v>
      </c>
      <c r="DL49" s="108">
        <v>0</v>
      </c>
      <c r="DM49" s="108">
        <v>0</v>
      </c>
      <c r="DN49" s="108">
        <f>SUM(DF49:DM49)</f>
        <v>10</v>
      </c>
      <c r="DO49" s="109">
        <f t="shared" si="1"/>
        <v>426</v>
      </c>
      <c r="DP49" s="110"/>
    </row>
    <row r="50" spans="2:120" ht="171" hidden="1" customHeight="1">
      <c r="B50" s="785" t="s">
        <v>144</v>
      </c>
      <c r="C50" s="785" t="s">
        <v>68</v>
      </c>
      <c r="D50" s="787" t="s">
        <v>69</v>
      </c>
      <c r="E50" s="788"/>
      <c r="F50" s="785" t="s">
        <v>14</v>
      </c>
      <c r="G50" s="785">
        <v>254</v>
      </c>
      <c r="H50" s="785" t="s">
        <v>151</v>
      </c>
      <c r="I50" s="785">
        <v>254</v>
      </c>
      <c r="J50" s="107" t="s">
        <v>65</v>
      </c>
      <c r="K50" s="794">
        <v>42</v>
      </c>
      <c r="L50" s="792"/>
      <c r="M50" s="792"/>
      <c r="N50" s="792"/>
      <c r="O50" s="792"/>
      <c r="P50" s="792"/>
      <c r="Q50" s="792"/>
      <c r="R50" s="793"/>
      <c r="S50" s="113">
        <f>SUM(K50)</f>
        <v>42</v>
      </c>
      <c r="T50" s="794">
        <v>6</v>
      </c>
      <c r="U50" s="792"/>
      <c r="V50" s="792"/>
      <c r="W50" s="792"/>
      <c r="X50" s="792"/>
      <c r="Y50" s="792"/>
      <c r="Z50" s="792"/>
      <c r="AA50" s="793"/>
      <c r="AB50" s="113">
        <f t="shared" si="2"/>
        <v>6</v>
      </c>
      <c r="AC50" s="794">
        <v>25</v>
      </c>
      <c r="AD50" s="792"/>
      <c r="AE50" s="792"/>
      <c r="AF50" s="792"/>
      <c r="AG50" s="792"/>
      <c r="AH50" s="792"/>
      <c r="AI50" s="792"/>
      <c r="AJ50" s="793"/>
      <c r="AK50" s="113">
        <f>SUM(AC50)</f>
        <v>25</v>
      </c>
      <c r="AL50" s="791">
        <v>25</v>
      </c>
      <c r="AM50" s="792"/>
      <c r="AN50" s="792"/>
      <c r="AO50" s="792"/>
      <c r="AP50" s="792"/>
      <c r="AQ50" s="792"/>
      <c r="AR50" s="792"/>
      <c r="AS50" s="793"/>
      <c r="AT50" s="115">
        <f>SUM(AL50)</f>
        <v>25</v>
      </c>
      <c r="AU50" s="791">
        <v>25</v>
      </c>
      <c r="AV50" s="792"/>
      <c r="AW50" s="792"/>
      <c r="AX50" s="792"/>
      <c r="AY50" s="792"/>
      <c r="AZ50" s="792"/>
      <c r="BA50" s="792"/>
      <c r="BB50" s="793"/>
      <c r="BC50" s="115">
        <f t="shared" si="3"/>
        <v>25</v>
      </c>
      <c r="BD50" s="791">
        <v>25</v>
      </c>
      <c r="BE50" s="792"/>
      <c r="BF50" s="792"/>
      <c r="BG50" s="792"/>
      <c r="BH50" s="792"/>
      <c r="BI50" s="792"/>
      <c r="BJ50" s="792"/>
      <c r="BK50" s="793"/>
      <c r="BL50" s="115">
        <f>SUM(BD50)</f>
        <v>25</v>
      </c>
      <c r="BM50" s="791">
        <v>25</v>
      </c>
      <c r="BN50" s="792"/>
      <c r="BO50" s="792"/>
      <c r="BP50" s="792"/>
      <c r="BQ50" s="792"/>
      <c r="BR50" s="792"/>
      <c r="BS50" s="792"/>
      <c r="BT50" s="793"/>
      <c r="BU50" s="115">
        <f t="shared" si="4"/>
        <v>25</v>
      </c>
      <c r="BV50" s="791">
        <v>25</v>
      </c>
      <c r="BW50" s="792"/>
      <c r="BX50" s="792"/>
      <c r="BY50" s="792"/>
      <c r="BZ50" s="792"/>
      <c r="CA50" s="792"/>
      <c r="CB50" s="792"/>
      <c r="CC50" s="793"/>
      <c r="CD50" s="115">
        <f t="shared" si="5"/>
        <v>25</v>
      </c>
      <c r="CE50" s="108">
        <v>19</v>
      </c>
      <c r="CF50" s="108">
        <v>24</v>
      </c>
      <c r="CG50" s="108">
        <v>36</v>
      </c>
      <c r="CH50" s="108">
        <v>11</v>
      </c>
      <c r="CI50" s="108">
        <v>20</v>
      </c>
      <c r="CJ50" s="108">
        <v>10</v>
      </c>
      <c r="CK50" s="108">
        <v>1</v>
      </c>
      <c r="CL50" s="108">
        <v>0</v>
      </c>
      <c r="CM50" s="108">
        <f t="shared" si="0"/>
        <v>121</v>
      </c>
      <c r="CN50" s="791">
        <v>15</v>
      </c>
      <c r="CO50" s="792"/>
      <c r="CP50" s="792"/>
      <c r="CQ50" s="792"/>
      <c r="CR50" s="792"/>
      <c r="CS50" s="792"/>
      <c r="CT50" s="792"/>
      <c r="CU50" s="793"/>
      <c r="CV50" s="108">
        <f>SUM(CN50)</f>
        <v>15</v>
      </c>
      <c r="CW50" s="223">
        <v>3</v>
      </c>
      <c r="CX50" s="223">
        <v>7</v>
      </c>
      <c r="CY50" s="223">
        <v>3</v>
      </c>
      <c r="CZ50" s="223">
        <v>0</v>
      </c>
      <c r="DA50" s="223">
        <v>0</v>
      </c>
      <c r="DB50" s="223">
        <v>0</v>
      </c>
      <c r="DC50" s="223">
        <v>0</v>
      </c>
      <c r="DD50" s="223">
        <v>0</v>
      </c>
      <c r="DE50" s="223">
        <f>SUM(CW50:DD50)</f>
        <v>13</v>
      </c>
      <c r="DF50" s="791">
        <v>15</v>
      </c>
      <c r="DG50" s="792"/>
      <c r="DH50" s="792"/>
      <c r="DI50" s="792"/>
      <c r="DJ50" s="792"/>
      <c r="DK50" s="792"/>
      <c r="DL50" s="792"/>
      <c r="DM50" s="793"/>
      <c r="DN50" s="108">
        <f>SUM(DF50)</f>
        <v>15</v>
      </c>
      <c r="DO50" s="109">
        <f t="shared" si="1"/>
        <v>362</v>
      </c>
      <c r="DP50" s="110"/>
    </row>
    <row r="51" spans="2:120" ht="287.25" customHeight="1">
      <c r="B51" s="800"/>
      <c r="C51" s="786"/>
      <c r="D51" s="789"/>
      <c r="E51" s="790"/>
      <c r="F51" s="786"/>
      <c r="G51" s="786"/>
      <c r="H51" s="786"/>
      <c r="I51" s="786"/>
      <c r="J51" s="111" t="s">
        <v>66</v>
      </c>
      <c r="K51" s="112">
        <v>12</v>
      </c>
      <c r="L51" s="108">
        <v>8</v>
      </c>
      <c r="M51" s="108">
        <v>10</v>
      </c>
      <c r="N51" s="108">
        <v>12</v>
      </c>
      <c r="O51" s="108">
        <v>0</v>
      </c>
      <c r="P51" s="108">
        <v>0</v>
      </c>
      <c r="Q51" s="108">
        <v>0</v>
      </c>
      <c r="R51" s="108">
        <v>0</v>
      </c>
      <c r="S51" s="113">
        <f>SUM(K51:R51)</f>
        <v>42</v>
      </c>
      <c r="T51" s="108">
        <v>2</v>
      </c>
      <c r="U51" s="108">
        <v>0</v>
      </c>
      <c r="V51" s="108">
        <v>4</v>
      </c>
      <c r="W51" s="108">
        <v>0</v>
      </c>
      <c r="X51" s="108">
        <v>0</v>
      </c>
      <c r="Y51" s="108">
        <v>0</v>
      </c>
      <c r="Z51" s="108">
        <v>0</v>
      </c>
      <c r="AA51" s="108">
        <v>0</v>
      </c>
      <c r="AB51" s="113">
        <f t="shared" si="2"/>
        <v>6</v>
      </c>
      <c r="AC51" s="114">
        <v>3</v>
      </c>
      <c r="AD51" s="114">
        <v>4</v>
      </c>
      <c r="AE51" s="114">
        <v>3</v>
      </c>
      <c r="AF51" s="114">
        <v>2</v>
      </c>
      <c r="AG51" s="114">
        <v>0</v>
      </c>
      <c r="AH51" s="114">
        <v>0</v>
      </c>
      <c r="AI51" s="114">
        <v>0</v>
      </c>
      <c r="AJ51" s="114">
        <v>0</v>
      </c>
      <c r="AK51" s="113">
        <f>SUM(AC51:AJ51)</f>
        <v>12</v>
      </c>
      <c r="AL51" s="108">
        <v>4</v>
      </c>
      <c r="AM51" s="108">
        <v>4</v>
      </c>
      <c r="AN51" s="108">
        <v>5</v>
      </c>
      <c r="AO51" s="108">
        <v>2</v>
      </c>
      <c r="AP51" s="108">
        <v>0</v>
      </c>
      <c r="AQ51" s="108">
        <v>0</v>
      </c>
      <c r="AR51" s="108">
        <v>0</v>
      </c>
      <c r="AS51" s="108">
        <v>0</v>
      </c>
      <c r="AT51" s="115">
        <f>SUM(AL51:AS51)</f>
        <v>15</v>
      </c>
      <c r="AU51" s="108">
        <v>6</v>
      </c>
      <c r="AV51" s="108">
        <v>9</v>
      </c>
      <c r="AW51" s="108">
        <v>1</v>
      </c>
      <c r="AX51" s="108">
        <v>1</v>
      </c>
      <c r="AY51" s="108">
        <v>0</v>
      </c>
      <c r="AZ51" s="108">
        <v>0</v>
      </c>
      <c r="BA51" s="108">
        <v>0</v>
      </c>
      <c r="BB51" s="108">
        <v>0</v>
      </c>
      <c r="BC51" s="115">
        <f t="shared" si="3"/>
        <v>17</v>
      </c>
      <c r="BD51" s="108">
        <v>4</v>
      </c>
      <c r="BE51" s="108">
        <v>5</v>
      </c>
      <c r="BF51" s="108">
        <v>2</v>
      </c>
      <c r="BG51" s="108">
        <v>1</v>
      </c>
      <c r="BH51" s="108">
        <v>0</v>
      </c>
      <c r="BI51" s="108">
        <v>0</v>
      </c>
      <c r="BJ51" s="108">
        <v>0</v>
      </c>
      <c r="BK51" s="108">
        <v>0</v>
      </c>
      <c r="BL51" s="115">
        <f>SUM(BD51:BK51)</f>
        <v>12</v>
      </c>
      <c r="BM51" s="108">
        <v>1</v>
      </c>
      <c r="BN51" s="108">
        <v>2</v>
      </c>
      <c r="BO51" s="108">
        <v>2</v>
      </c>
      <c r="BP51" s="108">
        <v>1</v>
      </c>
      <c r="BQ51" s="108">
        <v>0</v>
      </c>
      <c r="BR51" s="108">
        <v>0</v>
      </c>
      <c r="BS51" s="108">
        <v>0</v>
      </c>
      <c r="BT51" s="108">
        <v>0</v>
      </c>
      <c r="BU51" s="115">
        <f t="shared" si="4"/>
        <v>6</v>
      </c>
      <c r="BV51" s="108">
        <v>6</v>
      </c>
      <c r="BW51" s="108">
        <v>6</v>
      </c>
      <c r="BX51" s="108">
        <v>4</v>
      </c>
      <c r="BY51" s="108">
        <v>2</v>
      </c>
      <c r="BZ51" s="108">
        <v>0</v>
      </c>
      <c r="CA51" s="108">
        <v>0</v>
      </c>
      <c r="CB51" s="108">
        <v>0</v>
      </c>
      <c r="CC51" s="108">
        <v>0</v>
      </c>
      <c r="CD51" s="115">
        <f t="shared" si="5"/>
        <v>18</v>
      </c>
      <c r="CE51" s="791">
        <v>35</v>
      </c>
      <c r="CF51" s="792"/>
      <c r="CG51" s="792"/>
      <c r="CH51" s="792"/>
      <c r="CI51" s="792"/>
      <c r="CJ51" s="792"/>
      <c r="CK51" s="792"/>
      <c r="CL51" s="793"/>
      <c r="CM51" s="108">
        <f t="shared" si="0"/>
        <v>35</v>
      </c>
      <c r="CN51" s="108">
        <v>9</v>
      </c>
      <c r="CO51" s="108">
        <v>14</v>
      </c>
      <c r="CP51" s="108">
        <v>8</v>
      </c>
      <c r="CQ51" s="108">
        <v>4</v>
      </c>
      <c r="CR51" s="108">
        <v>0</v>
      </c>
      <c r="CS51" s="108">
        <v>0</v>
      </c>
      <c r="CT51" s="108">
        <v>0</v>
      </c>
      <c r="CU51" s="108">
        <v>0</v>
      </c>
      <c r="CV51" s="108">
        <f>SUM(CN51:CU51)</f>
        <v>35</v>
      </c>
      <c r="CW51" s="797">
        <v>3</v>
      </c>
      <c r="CX51" s="798"/>
      <c r="CY51" s="798"/>
      <c r="CZ51" s="798"/>
      <c r="DA51" s="798"/>
      <c r="DB51" s="798"/>
      <c r="DC51" s="798"/>
      <c r="DD51" s="799"/>
      <c r="DE51" s="223">
        <f>SUM(CW51)</f>
        <v>3</v>
      </c>
      <c r="DF51" s="108">
        <v>5</v>
      </c>
      <c r="DG51" s="108">
        <v>4</v>
      </c>
      <c r="DH51" s="108">
        <v>1</v>
      </c>
      <c r="DI51" s="108">
        <v>2</v>
      </c>
      <c r="DJ51" s="108">
        <v>1</v>
      </c>
      <c r="DK51" s="108">
        <v>0</v>
      </c>
      <c r="DL51" s="108">
        <v>0</v>
      </c>
      <c r="DM51" s="108">
        <v>0</v>
      </c>
      <c r="DN51" s="108">
        <f>SUM(DF51:DM51)</f>
        <v>13</v>
      </c>
      <c r="DO51" s="109">
        <f t="shared" si="1"/>
        <v>214</v>
      </c>
      <c r="DP51" s="110"/>
    </row>
    <row r="52" spans="2:120" ht="167.25" hidden="1" customHeight="1">
      <c r="B52" s="785" t="s">
        <v>144</v>
      </c>
      <c r="C52" s="785" t="s">
        <v>68</v>
      </c>
      <c r="D52" s="787" t="s">
        <v>69</v>
      </c>
      <c r="E52" s="788"/>
      <c r="F52" s="785" t="s">
        <v>14</v>
      </c>
      <c r="G52" s="785">
        <v>33</v>
      </c>
      <c r="H52" s="785" t="s">
        <v>152</v>
      </c>
      <c r="I52" s="785">
        <v>33</v>
      </c>
      <c r="J52" s="107" t="s">
        <v>65</v>
      </c>
      <c r="K52" s="794">
        <v>0</v>
      </c>
      <c r="L52" s="792"/>
      <c r="M52" s="792"/>
      <c r="N52" s="792"/>
      <c r="O52" s="792"/>
      <c r="P52" s="792"/>
      <c r="Q52" s="792"/>
      <c r="R52" s="793"/>
      <c r="S52" s="113">
        <f>SUM(K52)</f>
        <v>0</v>
      </c>
      <c r="T52" s="794">
        <v>3</v>
      </c>
      <c r="U52" s="792"/>
      <c r="V52" s="792"/>
      <c r="W52" s="792"/>
      <c r="X52" s="792"/>
      <c r="Y52" s="792"/>
      <c r="Z52" s="792"/>
      <c r="AA52" s="793"/>
      <c r="AB52" s="113">
        <f t="shared" si="2"/>
        <v>3</v>
      </c>
      <c r="AC52" s="794">
        <v>3</v>
      </c>
      <c r="AD52" s="792"/>
      <c r="AE52" s="792"/>
      <c r="AF52" s="792"/>
      <c r="AG52" s="792"/>
      <c r="AH52" s="792"/>
      <c r="AI52" s="792"/>
      <c r="AJ52" s="793"/>
      <c r="AK52" s="113">
        <f>SUM(AC52)</f>
        <v>3</v>
      </c>
      <c r="AL52" s="791">
        <v>3</v>
      </c>
      <c r="AM52" s="792"/>
      <c r="AN52" s="792"/>
      <c r="AO52" s="792"/>
      <c r="AP52" s="792"/>
      <c r="AQ52" s="792"/>
      <c r="AR52" s="792"/>
      <c r="AS52" s="793"/>
      <c r="AT52" s="115">
        <f>SUM(AL52)</f>
        <v>3</v>
      </c>
      <c r="AU52" s="791">
        <v>3</v>
      </c>
      <c r="AV52" s="792"/>
      <c r="AW52" s="792"/>
      <c r="AX52" s="792"/>
      <c r="AY52" s="792"/>
      <c r="AZ52" s="792"/>
      <c r="BA52" s="792"/>
      <c r="BB52" s="793"/>
      <c r="BC52" s="115">
        <f t="shared" si="3"/>
        <v>3</v>
      </c>
      <c r="BD52" s="791">
        <v>3</v>
      </c>
      <c r="BE52" s="792"/>
      <c r="BF52" s="792"/>
      <c r="BG52" s="792"/>
      <c r="BH52" s="792"/>
      <c r="BI52" s="792"/>
      <c r="BJ52" s="792"/>
      <c r="BK52" s="793"/>
      <c r="BL52" s="115">
        <f>SUM(BD52)</f>
        <v>3</v>
      </c>
      <c r="BM52" s="791">
        <v>3</v>
      </c>
      <c r="BN52" s="792"/>
      <c r="BO52" s="792"/>
      <c r="BP52" s="792"/>
      <c r="BQ52" s="792"/>
      <c r="BR52" s="792"/>
      <c r="BS52" s="792"/>
      <c r="BT52" s="793"/>
      <c r="BU52" s="115">
        <f t="shared" si="4"/>
        <v>3</v>
      </c>
      <c r="BV52" s="791">
        <v>3</v>
      </c>
      <c r="BW52" s="792"/>
      <c r="BX52" s="792"/>
      <c r="BY52" s="792"/>
      <c r="BZ52" s="792"/>
      <c r="CA52" s="792"/>
      <c r="CB52" s="792"/>
      <c r="CC52" s="793"/>
      <c r="CD52" s="115">
        <f t="shared" si="5"/>
        <v>3</v>
      </c>
      <c r="CE52" s="108">
        <v>3</v>
      </c>
      <c r="CF52" s="108">
        <v>5</v>
      </c>
      <c r="CG52" s="108">
        <v>3</v>
      </c>
      <c r="CH52" s="108">
        <v>3</v>
      </c>
      <c r="CI52" s="108">
        <v>8</v>
      </c>
      <c r="CJ52" s="108">
        <v>0</v>
      </c>
      <c r="CK52" s="108">
        <v>0</v>
      </c>
      <c r="CL52" s="108">
        <v>0</v>
      </c>
      <c r="CM52" s="108">
        <f t="shared" si="0"/>
        <v>22</v>
      </c>
      <c r="CN52" s="791">
        <v>3</v>
      </c>
      <c r="CO52" s="792"/>
      <c r="CP52" s="792"/>
      <c r="CQ52" s="792"/>
      <c r="CR52" s="792"/>
      <c r="CS52" s="792"/>
      <c r="CT52" s="792"/>
      <c r="CU52" s="793"/>
      <c r="CV52" s="108">
        <f>SUM(CN52)</f>
        <v>3</v>
      </c>
      <c r="CW52" s="223">
        <v>2</v>
      </c>
      <c r="CX52" s="223">
        <v>2</v>
      </c>
      <c r="CY52" s="223">
        <v>0</v>
      </c>
      <c r="CZ52" s="223">
        <v>0</v>
      </c>
      <c r="DA52" s="223">
        <v>0</v>
      </c>
      <c r="DB52" s="223">
        <v>0</v>
      </c>
      <c r="DC52" s="223">
        <v>0</v>
      </c>
      <c r="DD52" s="223">
        <v>0</v>
      </c>
      <c r="DE52" s="223">
        <f>SUM(CW52:DD52)</f>
        <v>4</v>
      </c>
      <c r="DF52" s="791">
        <v>3</v>
      </c>
      <c r="DG52" s="792"/>
      <c r="DH52" s="792"/>
      <c r="DI52" s="792"/>
      <c r="DJ52" s="792"/>
      <c r="DK52" s="792"/>
      <c r="DL52" s="792"/>
      <c r="DM52" s="793"/>
      <c r="DN52" s="108">
        <f>SUM(DF52)</f>
        <v>3</v>
      </c>
      <c r="DO52" s="109">
        <f t="shared" si="1"/>
        <v>53</v>
      </c>
      <c r="DP52" s="110"/>
    </row>
    <row r="53" spans="2:120" ht="208.5" customHeight="1">
      <c r="B53" s="800"/>
      <c r="C53" s="786"/>
      <c r="D53" s="789"/>
      <c r="E53" s="790"/>
      <c r="F53" s="786"/>
      <c r="G53" s="786"/>
      <c r="H53" s="786"/>
      <c r="I53" s="786"/>
      <c r="J53" s="111" t="s">
        <v>66</v>
      </c>
      <c r="K53" s="112">
        <v>0</v>
      </c>
      <c r="L53" s="108">
        <v>0</v>
      </c>
      <c r="M53" s="108">
        <v>0</v>
      </c>
      <c r="N53" s="108">
        <v>0</v>
      </c>
      <c r="O53" s="108">
        <v>0</v>
      </c>
      <c r="P53" s="108">
        <v>0</v>
      </c>
      <c r="Q53" s="108">
        <v>0</v>
      </c>
      <c r="R53" s="108">
        <v>0</v>
      </c>
      <c r="S53" s="113">
        <f>SUM(K53:R53)</f>
        <v>0</v>
      </c>
      <c r="T53" s="108">
        <v>1</v>
      </c>
      <c r="U53" s="108">
        <v>2</v>
      </c>
      <c r="V53" s="108">
        <v>0</v>
      </c>
      <c r="W53" s="108">
        <v>0</v>
      </c>
      <c r="X53" s="108">
        <v>0</v>
      </c>
      <c r="Y53" s="108">
        <v>0</v>
      </c>
      <c r="Z53" s="108">
        <v>0</v>
      </c>
      <c r="AA53" s="108">
        <v>0</v>
      </c>
      <c r="AB53" s="113">
        <f t="shared" si="2"/>
        <v>3</v>
      </c>
      <c r="AC53" s="114">
        <v>0</v>
      </c>
      <c r="AD53" s="114">
        <v>0</v>
      </c>
      <c r="AE53" s="114">
        <v>0</v>
      </c>
      <c r="AF53" s="114">
        <v>0</v>
      </c>
      <c r="AG53" s="114">
        <v>0</v>
      </c>
      <c r="AH53" s="114">
        <v>0</v>
      </c>
      <c r="AI53" s="114">
        <v>0</v>
      </c>
      <c r="AJ53" s="114">
        <v>0</v>
      </c>
      <c r="AK53" s="113">
        <f>SUM(AC53:AJ53)</f>
        <v>0</v>
      </c>
      <c r="AL53" s="108">
        <v>0</v>
      </c>
      <c r="AM53" s="108">
        <v>0</v>
      </c>
      <c r="AN53" s="108">
        <v>0</v>
      </c>
      <c r="AO53" s="108">
        <v>0</v>
      </c>
      <c r="AP53" s="108">
        <v>0</v>
      </c>
      <c r="AQ53" s="108">
        <v>0</v>
      </c>
      <c r="AR53" s="108">
        <v>0</v>
      </c>
      <c r="AS53" s="108">
        <v>0</v>
      </c>
      <c r="AT53" s="115">
        <f>SUM(AL53:AS53)</f>
        <v>0</v>
      </c>
      <c r="AU53" s="108">
        <v>0</v>
      </c>
      <c r="AV53" s="108">
        <v>0</v>
      </c>
      <c r="AW53" s="108">
        <v>0</v>
      </c>
      <c r="AX53" s="108">
        <v>0</v>
      </c>
      <c r="AY53" s="108">
        <v>0</v>
      </c>
      <c r="AZ53" s="108">
        <v>0</v>
      </c>
      <c r="BA53" s="108">
        <v>0</v>
      </c>
      <c r="BB53" s="108">
        <v>0</v>
      </c>
      <c r="BC53" s="115">
        <f t="shared" si="3"/>
        <v>0</v>
      </c>
      <c r="BD53" s="108">
        <v>2</v>
      </c>
      <c r="BE53" s="108">
        <v>0</v>
      </c>
      <c r="BF53" s="108">
        <v>0</v>
      </c>
      <c r="BG53" s="108">
        <v>0</v>
      </c>
      <c r="BH53" s="108">
        <v>0</v>
      </c>
      <c r="BI53" s="108">
        <v>0</v>
      </c>
      <c r="BJ53" s="108">
        <v>0</v>
      </c>
      <c r="BK53" s="108">
        <v>0</v>
      </c>
      <c r="BL53" s="115">
        <f>SUM(BD53:BK53)</f>
        <v>2</v>
      </c>
      <c r="BM53" s="108">
        <v>0</v>
      </c>
      <c r="BN53" s="108">
        <v>6</v>
      </c>
      <c r="BO53" s="108">
        <v>0</v>
      </c>
      <c r="BP53" s="108">
        <v>0</v>
      </c>
      <c r="BQ53" s="108">
        <v>0</v>
      </c>
      <c r="BR53" s="108">
        <v>0</v>
      </c>
      <c r="BS53" s="108">
        <v>0</v>
      </c>
      <c r="BT53" s="108">
        <v>0</v>
      </c>
      <c r="BU53" s="115">
        <f t="shared" si="4"/>
        <v>6</v>
      </c>
      <c r="BV53" s="108">
        <v>1</v>
      </c>
      <c r="BW53" s="108">
        <v>3</v>
      </c>
      <c r="BX53" s="108">
        <v>0</v>
      </c>
      <c r="BY53" s="108">
        <v>0</v>
      </c>
      <c r="BZ53" s="108">
        <v>0</v>
      </c>
      <c r="CA53" s="108">
        <v>0</v>
      </c>
      <c r="CB53" s="108">
        <v>0</v>
      </c>
      <c r="CC53" s="108">
        <v>0</v>
      </c>
      <c r="CD53" s="115">
        <f t="shared" si="5"/>
        <v>4</v>
      </c>
      <c r="CE53" s="791">
        <v>200</v>
      </c>
      <c r="CF53" s="792"/>
      <c r="CG53" s="792"/>
      <c r="CH53" s="792"/>
      <c r="CI53" s="792"/>
      <c r="CJ53" s="792"/>
      <c r="CK53" s="792"/>
      <c r="CL53" s="793"/>
      <c r="CM53" s="108">
        <f t="shared" si="0"/>
        <v>200</v>
      </c>
      <c r="CN53" s="108">
        <v>2</v>
      </c>
      <c r="CO53" s="108">
        <v>2</v>
      </c>
      <c r="CP53" s="108">
        <v>1</v>
      </c>
      <c r="CQ53" s="108">
        <v>0</v>
      </c>
      <c r="CR53" s="108">
        <v>0</v>
      </c>
      <c r="CS53" s="108">
        <v>0</v>
      </c>
      <c r="CT53" s="108">
        <v>0</v>
      </c>
      <c r="CU53" s="108">
        <v>0</v>
      </c>
      <c r="CV53" s="108">
        <f>SUM(CN53:CU53)</f>
        <v>5</v>
      </c>
      <c r="CW53" s="797">
        <v>20</v>
      </c>
      <c r="CX53" s="798"/>
      <c r="CY53" s="798"/>
      <c r="CZ53" s="798"/>
      <c r="DA53" s="798"/>
      <c r="DB53" s="798"/>
      <c r="DC53" s="798"/>
      <c r="DD53" s="799"/>
      <c r="DE53" s="223">
        <f>SUM(CW53)</f>
        <v>20</v>
      </c>
      <c r="DF53" s="108">
        <v>1</v>
      </c>
      <c r="DG53" s="108">
        <v>2</v>
      </c>
      <c r="DH53" s="108">
        <v>0</v>
      </c>
      <c r="DI53" s="108">
        <v>0</v>
      </c>
      <c r="DJ53" s="108">
        <v>0</v>
      </c>
      <c r="DK53" s="108">
        <v>0</v>
      </c>
      <c r="DL53" s="108">
        <v>0</v>
      </c>
      <c r="DM53" s="108">
        <v>0</v>
      </c>
      <c r="DN53" s="108">
        <f>SUM(DF53:DM53)</f>
        <v>3</v>
      </c>
      <c r="DO53" s="109">
        <f t="shared" si="1"/>
        <v>243</v>
      </c>
      <c r="DP53" s="110"/>
    </row>
    <row r="54" spans="2:120" ht="238.5" hidden="1" customHeight="1">
      <c r="B54" s="785" t="s">
        <v>144</v>
      </c>
      <c r="C54" s="785" t="s">
        <v>68</v>
      </c>
      <c r="D54" s="787" t="s">
        <v>69</v>
      </c>
      <c r="E54" s="788"/>
      <c r="F54" s="785" t="s">
        <v>14</v>
      </c>
      <c r="G54" s="785">
        <v>411</v>
      </c>
      <c r="H54" s="785" t="s">
        <v>153</v>
      </c>
      <c r="I54" s="785">
        <v>411</v>
      </c>
      <c r="J54" s="107" t="s">
        <v>65</v>
      </c>
      <c r="K54" s="794">
        <v>25</v>
      </c>
      <c r="L54" s="792"/>
      <c r="M54" s="792"/>
      <c r="N54" s="792"/>
      <c r="O54" s="792"/>
      <c r="P54" s="792"/>
      <c r="Q54" s="792"/>
      <c r="R54" s="793"/>
      <c r="S54" s="113">
        <f>SUM(K54)</f>
        <v>25</v>
      </c>
      <c r="T54" s="794">
        <v>43</v>
      </c>
      <c r="U54" s="792"/>
      <c r="V54" s="792"/>
      <c r="W54" s="792"/>
      <c r="X54" s="792"/>
      <c r="Y54" s="792"/>
      <c r="Z54" s="792"/>
      <c r="AA54" s="793"/>
      <c r="AB54" s="113">
        <f t="shared" si="2"/>
        <v>43</v>
      </c>
      <c r="AC54" s="794">
        <v>35</v>
      </c>
      <c r="AD54" s="792"/>
      <c r="AE54" s="792"/>
      <c r="AF54" s="792"/>
      <c r="AG54" s="792"/>
      <c r="AH54" s="792"/>
      <c r="AI54" s="792"/>
      <c r="AJ54" s="793"/>
      <c r="AK54" s="113">
        <f>SUM(AC54)</f>
        <v>35</v>
      </c>
      <c r="AL54" s="791">
        <v>36</v>
      </c>
      <c r="AM54" s="792"/>
      <c r="AN54" s="792"/>
      <c r="AO54" s="792"/>
      <c r="AP54" s="792"/>
      <c r="AQ54" s="792"/>
      <c r="AR54" s="792"/>
      <c r="AS54" s="793"/>
      <c r="AT54" s="115">
        <f>SUM(AL54)</f>
        <v>36</v>
      </c>
      <c r="AU54" s="791">
        <v>35</v>
      </c>
      <c r="AV54" s="792"/>
      <c r="AW54" s="792"/>
      <c r="AX54" s="792"/>
      <c r="AY54" s="792"/>
      <c r="AZ54" s="792"/>
      <c r="BA54" s="792"/>
      <c r="BB54" s="793"/>
      <c r="BC54" s="115">
        <f t="shared" si="3"/>
        <v>35</v>
      </c>
      <c r="BD54" s="791">
        <v>36</v>
      </c>
      <c r="BE54" s="792"/>
      <c r="BF54" s="792"/>
      <c r="BG54" s="792"/>
      <c r="BH54" s="792"/>
      <c r="BI54" s="792"/>
      <c r="BJ54" s="792"/>
      <c r="BK54" s="793"/>
      <c r="BL54" s="115">
        <f>SUM(BD54)</f>
        <v>36</v>
      </c>
      <c r="BM54" s="791">
        <v>40</v>
      </c>
      <c r="BN54" s="792"/>
      <c r="BO54" s="792"/>
      <c r="BP54" s="792"/>
      <c r="BQ54" s="792"/>
      <c r="BR54" s="792"/>
      <c r="BS54" s="792"/>
      <c r="BT54" s="793"/>
      <c r="BU54" s="115">
        <f t="shared" si="4"/>
        <v>40</v>
      </c>
      <c r="BV54" s="791">
        <v>40</v>
      </c>
      <c r="BW54" s="792"/>
      <c r="BX54" s="792"/>
      <c r="BY54" s="792"/>
      <c r="BZ54" s="792"/>
      <c r="CA54" s="792"/>
      <c r="CB54" s="792"/>
      <c r="CC54" s="793"/>
      <c r="CD54" s="115">
        <f t="shared" si="5"/>
        <v>40</v>
      </c>
      <c r="CE54" s="108">
        <v>10</v>
      </c>
      <c r="CF54" s="108">
        <v>4</v>
      </c>
      <c r="CG54" s="108">
        <v>11</v>
      </c>
      <c r="CH54" s="108">
        <v>2</v>
      </c>
      <c r="CI54" s="108">
        <v>6</v>
      </c>
      <c r="CJ54" s="108">
        <v>4</v>
      </c>
      <c r="CK54" s="108">
        <v>0</v>
      </c>
      <c r="CL54" s="108">
        <v>0</v>
      </c>
      <c r="CM54" s="108">
        <f t="shared" si="0"/>
        <v>37</v>
      </c>
      <c r="CN54" s="791">
        <v>40</v>
      </c>
      <c r="CO54" s="792"/>
      <c r="CP54" s="792"/>
      <c r="CQ54" s="792"/>
      <c r="CR54" s="792"/>
      <c r="CS54" s="792"/>
      <c r="CT54" s="792"/>
      <c r="CU54" s="793"/>
      <c r="CV54" s="108">
        <f>SUM(CN54)</f>
        <v>40</v>
      </c>
      <c r="CW54" s="223">
        <v>14</v>
      </c>
      <c r="CX54" s="223">
        <v>16</v>
      </c>
      <c r="CY54" s="223">
        <v>4</v>
      </c>
      <c r="CZ54" s="223">
        <v>1</v>
      </c>
      <c r="DA54" s="223">
        <v>0</v>
      </c>
      <c r="DB54" s="223">
        <v>0</v>
      </c>
      <c r="DC54" s="223">
        <v>0</v>
      </c>
      <c r="DD54" s="223">
        <v>0</v>
      </c>
      <c r="DE54" s="223">
        <f>SUM(CW54:DD54)</f>
        <v>35</v>
      </c>
      <c r="DF54" s="791">
        <v>20</v>
      </c>
      <c r="DG54" s="792"/>
      <c r="DH54" s="792"/>
      <c r="DI54" s="792"/>
      <c r="DJ54" s="792"/>
      <c r="DK54" s="792"/>
      <c r="DL54" s="792"/>
      <c r="DM54" s="793"/>
      <c r="DN54" s="108">
        <f>SUM(DF54)</f>
        <v>20</v>
      </c>
      <c r="DO54" s="109">
        <f t="shared" si="1"/>
        <v>422</v>
      </c>
      <c r="DP54" s="110"/>
    </row>
    <row r="55" spans="2:120" ht="227.25" customHeight="1">
      <c r="B55" s="800"/>
      <c r="C55" s="786"/>
      <c r="D55" s="789"/>
      <c r="E55" s="790"/>
      <c r="F55" s="786"/>
      <c r="G55" s="786"/>
      <c r="H55" s="786"/>
      <c r="I55" s="786"/>
      <c r="J55" s="111" t="s">
        <v>66</v>
      </c>
      <c r="K55" s="112">
        <v>8</v>
      </c>
      <c r="L55" s="108">
        <v>7</v>
      </c>
      <c r="M55" s="108">
        <v>5</v>
      </c>
      <c r="N55" s="108">
        <v>5</v>
      </c>
      <c r="O55" s="108">
        <v>0</v>
      </c>
      <c r="P55" s="108">
        <v>0</v>
      </c>
      <c r="Q55" s="108">
        <v>0</v>
      </c>
      <c r="R55" s="108">
        <v>0</v>
      </c>
      <c r="S55" s="113">
        <f>SUM(K55:R55)</f>
        <v>25</v>
      </c>
      <c r="T55" s="108">
        <v>8</v>
      </c>
      <c r="U55" s="108">
        <v>8</v>
      </c>
      <c r="V55" s="108">
        <v>12</v>
      </c>
      <c r="W55" s="108">
        <v>15</v>
      </c>
      <c r="X55" s="108">
        <v>0</v>
      </c>
      <c r="Y55" s="108">
        <v>0</v>
      </c>
      <c r="Z55" s="108">
        <v>0</v>
      </c>
      <c r="AA55" s="108">
        <v>0</v>
      </c>
      <c r="AB55" s="113">
        <f t="shared" si="2"/>
        <v>43</v>
      </c>
      <c r="AC55" s="114">
        <v>5</v>
      </c>
      <c r="AD55" s="114">
        <v>2</v>
      </c>
      <c r="AE55" s="114">
        <v>4</v>
      </c>
      <c r="AF55" s="114">
        <v>3</v>
      </c>
      <c r="AG55" s="114">
        <v>0</v>
      </c>
      <c r="AH55" s="114">
        <v>0</v>
      </c>
      <c r="AI55" s="114">
        <v>0</v>
      </c>
      <c r="AJ55" s="114">
        <v>0</v>
      </c>
      <c r="AK55" s="113">
        <f>AC55+AD55+AE55+AF55+AG55+AH55+AI55+AJ55</f>
        <v>14</v>
      </c>
      <c r="AL55" s="108">
        <v>5</v>
      </c>
      <c r="AM55" s="108">
        <v>7</v>
      </c>
      <c r="AN55" s="108">
        <v>3</v>
      </c>
      <c r="AO55" s="108">
        <v>3</v>
      </c>
      <c r="AP55" s="108">
        <v>0</v>
      </c>
      <c r="AQ55" s="108">
        <v>0</v>
      </c>
      <c r="AR55" s="108">
        <v>0</v>
      </c>
      <c r="AS55" s="108">
        <v>0</v>
      </c>
      <c r="AT55" s="115">
        <f>AL55+AM55+AN55+AO55+AP55+AQ55+AR55+AS55</f>
        <v>18</v>
      </c>
      <c r="AU55" s="108">
        <v>1</v>
      </c>
      <c r="AV55" s="108">
        <v>3</v>
      </c>
      <c r="AW55" s="108">
        <v>4</v>
      </c>
      <c r="AX55" s="108">
        <v>0</v>
      </c>
      <c r="AY55" s="108">
        <v>0</v>
      </c>
      <c r="AZ55" s="108">
        <v>0</v>
      </c>
      <c r="BA55" s="108">
        <v>0</v>
      </c>
      <c r="BB55" s="108">
        <v>0</v>
      </c>
      <c r="BC55" s="115">
        <f t="shared" si="3"/>
        <v>8</v>
      </c>
      <c r="BD55" s="108">
        <v>2</v>
      </c>
      <c r="BE55" s="108">
        <v>3</v>
      </c>
      <c r="BF55" s="108">
        <v>0</v>
      </c>
      <c r="BG55" s="108">
        <v>0</v>
      </c>
      <c r="BH55" s="108">
        <v>0</v>
      </c>
      <c r="BI55" s="108">
        <v>0</v>
      </c>
      <c r="BJ55" s="108">
        <v>0</v>
      </c>
      <c r="BK55" s="108">
        <v>0</v>
      </c>
      <c r="BL55" s="115">
        <v>0</v>
      </c>
      <c r="BM55" s="108">
        <v>8</v>
      </c>
      <c r="BN55" s="108">
        <v>8</v>
      </c>
      <c r="BO55" s="108">
        <v>2</v>
      </c>
      <c r="BP55" s="108">
        <v>2</v>
      </c>
      <c r="BQ55" s="108">
        <v>0</v>
      </c>
      <c r="BR55" s="108">
        <v>0</v>
      </c>
      <c r="BS55" s="108">
        <v>0</v>
      </c>
      <c r="BT55" s="108">
        <v>0</v>
      </c>
      <c r="BU55" s="115">
        <f t="shared" si="4"/>
        <v>20</v>
      </c>
      <c r="BV55" s="108">
        <v>2</v>
      </c>
      <c r="BW55" s="108">
        <v>3</v>
      </c>
      <c r="BX55" s="108">
        <v>2</v>
      </c>
      <c r="BY55" s="108">
        <v>0</v>
      </c>
      <c r="BZ55" s="108">
        <v>0</v>
      </c>
      <c r="CA55" s="108">
        <v>0</v>
      </c>
      <c r="CB55" s="108">
        <v>0</v>
      </c>
      <c r="CC55" s="108">
        <v>0</v>
      </c>
      <c r="CD55" s="115">
        <f t="shared" si="5"/>
        <v>7</v>
      </c>
      <c r="CE55" s="791">
        <v>25</v>
      </c>
      <c r="CF55" s="792"/>
      <c r="CG55" s="792"/>
      <c r="CH55" s="792"/>
      <c r="CI55" s="792"/>
      <c r="CJ55" s="792"/>
      <c r="CK55" s="792"/>
      <c r="CL55" s="793"/>
      <c r="CM55" s="108">
        <f t="shared" si="0"/>
        <v>25</v>
      </c>
      <c r="CN55" s="108">
        <v>12</v>
      </c>
      <c r="CO55" s="108">
        <v>13</v>
      </c>
      <c r="CP55" s="108">
        <v>4</v>
      </c>
      <c r="CQ55" s="108">
        <v>5</v>
      </c>
      <c r="CR55" s="108">
        <v>0</v>
      </c>
      <c r="CS55" s="108">
        <v>0</v>
      </c>
      <c r="CT55" s="108">
        <v>0</v>
      </c>
      <c r="CU55" s="108">
        <v>0</v>
      </c>
      <c r="CV55" s="108">
        <v>34</v>
      </c>
      <c r="CW55" s="797"/>
      <c r="CX55" s="798"/>
      <c r="CY55" s="798"/>
      <c r="CZ55" s="798"/>
      <c r="DA55" s="798"/>
      <c r="DB55" s="798"/>
      <c r="DC55" s="798"/>
      <c r="DD55" s="799"/>
      <c r="DE55" s="223">
        <f>SUM(CW55)</f>
        <v>0</v>
      </c>
      <c r="DF55" s="108">
        <v>2</v>
      </c>
      <c r="DG55" s="108">
        <v>4</v>
      </c>
      <c r="DH55" s="108">
        <v>5</v>
      </c>
      <c r="DI55" s="108">
        <v>3</v>
      </c>
      <c r="DJ55" s="108">
        <v>0</v>
      </c>
      <c r="DK55" s="108">
        <v>0</v>
      </c>
      <c r="DL55" s="108">
        <v>0</v>
      </c>
      <c r="DM55" s="108">
        <v>0</v>
      </c>
      <c r="DN55" s="108">
        <v>14</v>
      </c>
      <c r="DO55" s="109">
        <f t="shared" si="1"/>
        <v>208</v>
      </c>
      <c r="DP55" s="110"/>
    </row>
    <row r="56" spans="2:120" ht="227.25" hidden="1" customHeight="1">
      <c r="B56" s="785" t="s">
        <v>154</v>
      </c>
      <c r="C56" s="785" t="s">
        <v>7</v>
      </c>
      <c r="D56" s="787" t="s">
        <v>1</v>
      </c>
      <c r="E56" s="788"/>
      <c r="F56" s="785" t="s">
        <v>6</v>
      </c>
      <c r="G56" s="785">
        <v>1</v>
      </c>
      <c r="H56" s="785" t="s">
        <v>1</v>
      </c>
      <c r="I56" s="785">
        <v>1</v>
      </c>
      <c r="J56" s="107" t="s">
        <v>65</v>
      </c>
      <c r="K56" s="794">
        <v>1</v>
      </c>
      <c r="L56" s="792"/>
      <c r="M56" s="792"/>
      <c r="N56" s="792"/>
      <c r="O56" s="792"/>
      <c r="P56" s="792"/>
      <c r="Q56" s="792"/>
      <c r="R56" s="793"/>
      <c r="S56" s="113">
        <f>SUM(K56)</f>
        <v>1</v>
      </c>
      <c r="T56" s="794"/>
      <c r="U56" s="792"/>
      <c r="V56" s="792"/>
      <c r="W56" s="792"/>
      <c r="X56" s="792"/>
      <c r="Y56" s="792"/>
      <c r="Z56" s="792"/>
      <c r="AA56" s="793"/>
      <c r="AB56" s="113">
        <f>SUM(T56)</f>
        <v>0</v>
      </c>
      <c r="AC56" s="791"/>
      <c r="AD56" s="792"/>
      <c r="AE56" s="792"/>
      <c r="AF56" s="792"/>
      <c r="AG56" s="792"/>
      <c r="AH56" s="792"/>
      <c r="AI56" s="792"/>
      <c r="AJ56" s="793"/>
      <c r="AK56" s="113">
        <f>SUM(AC56)</f>
        <v>0</v>
      </c>
      <c r="AL56" s="791"/>
      <c r="AM56" s="792"/>
      <c r="AN56" s="792"/>
      <c r="AO56" s="792"/>
      <c r="AP56" s="792"/>
      <c r="AQ56" s="792"/>
      <c r="AR56" s="792"/>
      <c r="AS56" s="793"/>
      <c r="AT56" s="108">
        <f>SUM(AL56)</f>
        <v>0</v>
      </c>
      <c r="AU56" s="803"/>
      <c r="AV56" s="804"/>
      <c r="AW56" s="804"/>
      <c r="AX56" s="804"/>
      <c r="AY56" s="804"/>
      <c r="AZ56" s="804"/>
      <c r="BA56" s="804"/>
      <c r="BB56" s="788"/>
      <c r="BC56" s="115">
        <f t="shared" si="3"/>
        <v>0</v>
      </c>
      <c r="BD56" s="791"/>
      <c r="BE56" s="792"/>
      <c r="BF56" s="792"/>
      <c r="BG56" s="792"/>
      <c r="BH56" s="792"/>
      <c r="BI56" s="792"/>
      <c r="BJ56" s="792"/>
      <c r="BK56" s="793"/>
      <c r="BL56" s="108">
        <f>SUM(BD56)</f>
        <v>0</v>
      </c>
      <c r="BM56" s="791"/>
      <c r="BN56" s="792"/>
      <c r="BO56" s="792"/>
      <c r="BP56" s="792"/>
      <c r="BQ56" s="792"/>
      <c r="BR56" s="792"/>
      <c r="BS56" s="792"/>
      <c r="BT56" s="793"/>
      <c r="BU56" s="115">
        <f t="shared" si="4"/>
        <v>0</v>
      </c>
      <c r="BV56" s="791"/>
      <c r="BW56" s="792"/>
      <c r="BX56" s="792"/>
      <c r="BY56" s="792"/>
      <c r="BZ56" s="792"/>
      <c r="CA56" s="792"/>
      <c r="CB56" s="792"/>
      <c r="CC56" s="793"/>
      <c r="CD56" s="108">
        <f>SUM(BV56)</f>
        <v>0</v>
      </c>
      <c r="CE56" s="108">
        <v>7</v>
      </c>
      <c r="CF56" s="108">
        <v>7</v>
      </c>
      <c r="CG56" s="108">
        <v>5</v>
      </c>
      <c r="CH56" s="108">
        <v>7</v>
      </c>
      <c r="CI56" s="108">
        <v>20</v>
      </c>
      <c r="CJ56" s="108">
        <v>2</v>
      </c>
      <c r="CK56" s="108">
        <v>1</v>
      </c>
      <c r="CL56" s="108">
        <v>0</v>
      </c>
      <c r="CM56" s="108">
        <f t="shared" si="0"/>
        <v>49</v>
      </c>
      <c r="CN56" s="791"/>
      <c r="CO56" s="792"/>
      <c r="CP56" s="792"/>
      <c r="CQ56" s="792"/>
      <c r="CR56" s="792"/>
      <c r="CS56" s="792"/>
      <c r="CT56" s="792"/>
      <c r="CU56" s="793"/>
      <c r="CV56" s="108">
        <f>SUM(CN56)</f>
        <v>0</v>
      </c>
      <c r="CW56" s="224"/>
      <c r="CX56" s="225">
        <v>0</v>
      </c>
      <c r="CY56" s="225"/>
      <c r="CZ56" s="225"/>
      <c r="DA56" s="225"/>
      <c r="DB56" s="225"/>
      <c r="DC56" s="225"/>
      <c r="DD56" s="226"/>
      <c r="DE56" s="223"/>
      <c r="DF56" s="791"/>
      <c r="DG56" s="792"/>
      <c r="DH56" s="792"/>
      <c r="DI56" s="792"/>
      <c r="DJ56" s="792"/>
      <c r="DK56" s="792"/>
      <c r="DL56" s="792"/>
      <c r="DM56" s="793"/>
      <c r="DN56" s="108">
        <f>SUM(DF56)</f>
        <v>0</v>
      </c>
      <c r="DO56" s="109">
        <f t="shared" si="1"/>
        <v>50</v>
      </c>
      <c r="DP56" s="110"/>
    </row>
    <row r="57" spans="2:120" ht="227.25" customHeight="1">
      <c r="B57" s="800"/>
      <c r="C57" s="786"/>
      <c r="D57" s="789"/>
      <c r="E57" s="790"/>
      <c r="F57" s="786"/>
      <c r="G57" s="786"/>
      <c r="H57" s="786"/>
      <c r="I57" s="786"/>
      <c r="J57" s="111" t="s">
        <v>66</v>
      </c>
      <c r="K57" s="791">
        <v>1</v>
      </c>
      <c r="L57" s="792"/>
      <c r="M57" s="792"/>
      <c r="N57" s="792"/>
      <c r="O57" s="792"/>
      <c r="P57" s="792"/>
      <c r="Q57" s="792"/>
      <c r="R57" s="793"/>
      <c r="S57" s="113">
        <f>SUM(K57:R57)</f>
        <v>1</v>
      </c>
      <c r="T57" s="791"/>
      <c r="U57" s="792"/>
      <c r="V57" s="792"/>
      <c r="W57" s="792"/>
      <c r="X57" s="792"/>
      <c r="Y57" s="792"/>
      <c r="Z57" s="792"/>
      <c r="AA57" s="793"/>
      <c r="AB57" s="113">
        <f>SUM(T57:AA57)</f>
        <v>0</v>
      </c>
      <c r="AC57" s="120"/>
      <c r="AD57" s="121"/>
      <c r="AE57" s="121"/>
      <c r="AF57" s="121"/>
      <c r="AG57" s="121"/>
      <c r="AH57" s="121"/>
      <c r="AI57" s="121"/>
      <c r="AJ57" s="112"/>
      <c r="AK57" s="113"/>
      <c r="AL57" s="120"/>
      <c r="AM57" s="121"/>
      <c r="AN57" s="121"/>
      <c r="AO57" s="121"/>
      <c r="AP57" s="121"/>
      <c r="AQ57" s="121"/>
      <c r="AR57" s="121"/>
      <c r="AS57" s="112"/>
      <c r="AT57" s="120"/>
      <c r="AU57" s="122">
        <v>1</v>
      </c>
      <c r="AV57" s="122"/>
      <c r="AW57" s="122"/>
      <c r="AX57" s="122"/>
      <c r="AY57" s="122"/>
      <c r="AZ57" s="122"/>
      <c r="BA57" s="122"/>
      <c r="BB57" s="122"/>
      <c r="BC57" s="115">
        <f t="shared" si="3"/>
        <v>1</v>
      </c>
      <c r="BD57" s="120"/>
      <c r="BE57" s="121"/>
      <c r="BF57" s="121"/>
      <c r="BG57" s="121"/>
      <c r="BH57" s="121"/>
      <c r="BI57" s="121"/>
      <c r="BJ57" s="121"/>
      <c r="BK57" s="112"/>
      <c r="BL57" s="108"/>
      <c r="BM57" s="120"/>
      <c r="BN57" s="121"/>
      <c r="BO57" s="121"/>
      <c r="BP57" s="121"/>
      <c r="BQ57" s="121"/>
      <c r="BR57" s="121"/>
      <c r="BS57" s="121"/>
      <c r="BT57" s="112"/>
      <c r="BU57" s="108"/>
      <c r="BV57" s="120"/>
      <c r="BW57" s="121"/>
      <c r="BX57" s="121"/>
      <c r="BY57" s="121"/>
      <c r="BZ57" s="121"/>
      <c r="CA57" s="121"/>
      <c r="CB57" s="121"/>
      <c r="CC57" s="112"/>
      <c r="CD57" s="108"/>
      <c r="CE57" s="791">
        <v>25</v>
      </c>
      <c r="CF57" s="792"/>
      <c r="CG57" s="792"/>
      <c r="CH57" s="792"/>
      <c r="CI57" s="792"/>
      <c r="CJ57" s="792"/>
      <c r="CK57" s="792"/>
      <c r="CL57" s="793"/>
      <c r="CM57" s="108">
        <f t="shared" si="0"/>
        <v>25</v>
      </c>
      <c r="CN57" s="791">
        <v>0</v>
      </c>
      <c r="CO57" s="801"/>
      <c r="CP57" s="801"/>
      <c r="CQ57" s="801"/>
      <c r="CR57" s="801"/>
      <c r="CS57" s="801"/>
      <c r="CT57" s="801"/>
      <c r="CU57" s="802"/>
      <c r="CV57" s="108"/>
      <c r="CW57" s="797"/>
      <c r="CX57" s="798"/>
      <c r="CY57" s="798"/>
      <c r="CZ57" s="798"/>
      <c r="DA57" s="798"/>
      <c r="DB57" s="798"/>
      <c r="DC57" s="798"/>
      <c r="DD57" s="799"/>
      <c r="DE57" s="223">
        <f t="shared" ref="DE57:DE68" si="6">SUM(CW57)</f>
        <v>0</v>
      </c>
      <c r="DF57" s="120"/>
      <c r="DG57" s="121">
        <v>0</v>
      </c>
      <c r="DH57" s="121"/>
      <c r="DI57" s="121"/>
      <c r="DJ57" s="121"/>
      <c r="DK57" s="121"/>
      <c r="DL57" s="121"/>
      <c r="DM57" s="112"/>
      <c r="DN57" s="108"/>
      <c r="DO57" s="109">
        <f t="shared" si="1"/>
        <v>27</v>
      </c>
      <c r="DP57" s="110"/>
    </row>
    <row r="58" spans="2:120" ht="227.25" hidden="1" customHeight="1">
      <c r="B58" s="785" t="s">
        <v>155</v>
      </c>
      <c r="C58" s="785" t="s">
        <v>8</v>
      </c>
      <c r="D58" s="787" t="s">
        <v>156</v>
      </c>
      <c r="E58" s="788"/>
      <c r="F58" s="785" t="s">
        <v>17</v>
      </c>
      <c r="G58" s="785">
        <v>1</v>
      </c>
      <c r="H58" s="785" t="s">
        <v>156</v>
      </c>
      <c r="I58" s="785">
        <v>1</v>
      </c>
      <c r="J58" s="107" t="s">
        <v>65</v>
      </c>
      <c r="K58" s="791"/>
      <c r="L58" s="792"/>
      <c r="M58" s="792"/>
      <c r="N58" s="792"/>
      <c r="O58" s="792"/>
      <c r="P58" s="792"/>
      <c r="Q58" s="792"/>
      <c r="R58" s="793"/>
      <c r="S58" s="113">
        <f t="shared" ref="S58:S69" si="7">SUM(K58)</f>
        <v>0</v>
      </c>
      <c r="T58" s="791"/>
      <c r="U58" s="792"/>
      <c r="V58" s="792"/>
      <c r="W58" s="792"/>
      <c r="X58" s="792"/>
      <c r="Y58" s="792"/>
      <c r="Z58" s="792"/>
      <c r="AA58" s="793"/>
      <c r="AB58" s="113">
        <f t="shared" ref="AB58:AB69" si="8">SUM(T58)</f>
        <v>0</v>
      </c>
      <c r="AC58" s="791">
        <v>1</v>
      </c>
      <c r="AD58" s="792"/>
      <c r="AE58" s="792"/>
      <c r="AF58" s="792"/>
      <c r="AG58" s="792"/>
      <c r="AH58" s="792"/>
      <c r="AI58" s="792"/>
      <c r="AJ58" s="793"/>
      <c r="AK58" s="113">
        <f t="shared" ref="AK58:AK69" si="9">SUM(AC58)</f>
        <v>1</v>
      </c>
      <c r="AL58" s="791"/>
      <c r="AM58" s="792"/>
      <c r="AN58" s="792"/>
      <c r="AO58" s="792"/>
      <c r="AP58" s="792"/>
      <c r="AQ58" s="792"/>
      <c r="AR58" s="792"/>
      <c r="AS58" s="793"/>
      <c r="AT58" s="108">
        <f t="shared" ref="AT58:AT69" si="10">SUM(AL58)</f>
        <v>0</v>
      </c>
      <c r="AU58" s="805"/>
      <c r="AV58" s="806"/>
      <c r="AW58" s="806"/>
      <c r="AX58" s="806"/>
      <c r="AY58" s="806"/>
      <c r="AZ58" s="806"/>
      <c r="BA58" s="806"/>
      <c r="BB58" s="807"/>
      <c r="BC58" s="115">
        <f t="shared" si="3"/>
        <v>0</v>
      </c>
      <c r="BD58" s="791"/>
      <c r="BE58" s="792"/>
      <c r="BF58" s="792"/>
      <c r="BG58" s="792"/>
      <c r="BH58" s="792"/>
      <c r="BI58" s="792"/>
      <c r="BJ58" s="792"/>
      <c r="BK58" s="793"/>
      <c r="BL58" s="108">
        <f t="shared" ref="BL58:BL69" si="11">SUM(BD58)</f>
        <v>0</v>
      </c>
      <c r="BM58" s="791"/>
      <c r="BN58" s="792"/>
      <c r="BO58" s="792"/>
      <c r="BP58" s="792"/>
      <c r="BQ58" s="792"/>
      <c r="BR58" s="792"/>
      <c r="BS58" s="792"/>
      <c r="BT58" s="793"/>
      <c r="BU58" s="108">
        <f t="shared" ref="BU58:BU69" si="12">SUM(BM58)</f>
        <v>0</v>
      </c>
      <c r="BV58" s="791"/>
      <c r="BW58" s="792"/>
      <c r="BX58" s="792"/>
      <c r="BY58" s="792"/>
      <c r="BZ58" s="792"/>
      <c r="CA58" s="792"/>
      <c r="CB58" s="792"/>
      <c r="CC58" s="793"/>
      <c r="CD58" s="108">
        <f t="shared" ref="CD58:CD69" si="13">SUM(BV58)</f>
        <v>0</v>
      </c>
      <c r="CE58" s="108">
        <v>5</v>
      </c>
      <c r="CF58" s="108">
        <v>8</v>
      </c>
      <c r="CG58" s="108">
        <v>4</v>
      </c>
      <c r="CH58" s="108">
        <v>1</v>
      </c>
      <c r="CI58" s="108">
        <v>0</v>
      </c>
      <c r="CJ58" s="108">
        <v>0</v>
      </c>
      <c r="CK58" s="108">
        <v>0</v>
      </c>
      <c r="CL58" s="108">
        <v>0</v>
      </c>
      <c r="CM58" s="108">
        <f t="shared" si="0"/>
        <v>18</v>
      </c>
      <c r="CN58" s="791"/>
      <c r="CO58" s="792"/>
      <c r="CP58" s="792"/>
      <c r="CQ58" s="792"/>
      <c r="CR58" s="792"/>
      <c r="CS58" s="792"/>
      <c r="CT58" s="792"/>
      <c r="CU58" s="793"/>
      <c r="CV58" s="108">
        <f t="shared" ref="CV58:CV69" si="14">SUM(CN58)</f>
        <v>0</v>
      </c>
      <c r="CW58" s="797"/>
      <c r="CX58" s="798"/>
      <c r="CY58" s="798"/>
      <c r="CZ58" s="798"/>
      <c r="DA58" s="798"/>
      <c r="DB58" s="798"/>
      <c r="DC58" s="798"/>
      <c r="DD58" s="799"/>
      <c r="DE58" s="223">
        <f t="shared" si="6"/>
        <v>0</v>
      </c>
      <c r="DF58" s="791"/>
      <c r="DG58" s="792"/>
      <c r="DH58" s="792"/>
      <c r="DI58" s="792"/>
      <c r="DJ58" s="792"/>
      <c r="DK58" s="792"/>
      <c r="DL58" s="792"/>
      <c r="DM58" s="793"/>
      <c r="DN58" s="108">
        <f t="shared" ref="DN58:DN69" si="15">SUM(DF58)</f>
        <v>0</v>
      </c>
      <c r="DO58" s="109">
        <f t="shared" si="1"/>
        <v>19</v>
      </c>
      <c r="DP58" s="110"/>
    </row>
    <row r="59" spans="2:120" ht="227.25" customHeight="1">
      <c r="B59" s="800"/>
      <c r="C59" s="786"/>
      <c r="D59" s="789"/>
      <c r="E59" s="790"/>
      <c r="F59" s="786"/>
      <c r="G59" s="786"/>
      <c r="H59" s="786"/>
      <c r="I59" s="786"/>
      <c r="J59" s="111" t="s">
        <v>66</v>
      </c>
      <c r="K59" s="791"/>
      <c r="L59" s="792"/>
      <c r="M59" s="792"/>
      <c r="N59" s="792"/>
      <c r="O59" s="792"/>
      <c r="P59" s="792"/>
      <c r="Q59" s="792"/>
      <c r="R59" s="793"/>
      <c r="S59" s="113">
        <f t="shared" si="7"/>
        <v>0</v>
      </c>
      <c r="T59" s="791"/>
      <c r="U59" s="792"/>
      <c r="V59" s="792"/>
      <c r="W59" s="792"/>
      <c r="X59" s="792"/>
      <c r="Y59" s="792"/>
      <c r="Z59" s="792"/>
      <c r="AA59" s="793"/>
      <c r="AB59" s="113">
        <f t="shared" si="8"/>
        <v>0</v>
      </c>
      <c r="AC59" s="791"/>
      <c r="AD59" s="792"/>
      <c r="AE59" s="792"/>
      <c r="AF59" s="792"/>
      <c r="AG59" s="792"/>
      <c r="AH59" s="792"/>
      <c r="AI59" s="792"/>
      <c r="AJ59" s="793"/>
      <c r="AK59" s="113">
        <f t="shared" si="9"/>
        <v>0</v>
      </c>
      <c r="AL59" s="791"/>
      <c r="AM59" s="792"/>
      <c r="AN59" s="792"/>
      <c r="AO59" s="792"/>
      <c r="AP59" s="792"/>
      <c r="AQ59" s="792"/>
      <c r="AR59" s="792"/>
      <c r="AS59" s="793"/>
      <c r="AT59" s="120">
        <f t="shared" si="10"/>
        <v>0</v>
      </c>
      <c r="AU59" s="123">
        <v>1</v>
      </c>
      <c r="AV59" s="123"/>
      <c r="AW59" s="123"/>
      <c r="AX59" s="123"/>
      <c r="AY59" s="123"/>
      <c r="AZ59" s="123"/>
      <c r="BA59" s="123"/>
      <c r="BB59" s="123"/>
      <c r="BC59" s="115">
        <f t="shared" si="3"/>
        <v>1</v>
      </c>
      <c r="BD59" s="791"/>
      <c r="BE59" s="792"/>
      <c r="BF59" s="792"/>
      <c r="BG59" s="792"/>
      <c r="BH59" s="792"/>
      <c r="BI59" s="792"/>
      <c r="BJ59" s="792"/>
      <c r="BK59" s="793"/>
      <c r="BL59" s="108">
        <f t="shared" si="11"/>
        <v>0</v>
      </c>
      <c r="BM59" s="791"/>
      <c r="BN59" s="792"/>
      <c r="BO59" s="792"/>
      <c r="BP59" s="792"/>
      <c r="BQ59" s="792"/>
      <c r="BR59" s="792"/>
      <c r="BS59" s="792"/>
      <c r="BT59" s="793"/>
      <c r="BU59" s="108">
        <f t="shared" si="12"/>
        <v>0</v>
      </c>
      <c r="BV59" s="791"/>
      <c r="BW59" s="792"/>
      <c r="BX59" s="792"/>
      <c r="BY59" s="792"/>
      <c r="BZ59" s="792"/>
      <c r="CA59" s="792"/>
      <c r="CB59" s="792"/>
      <c r="CC59" s="793"/>
      <c r="CD59" s="108">
        <f t="shared" si="13"/>
        <v>0</v>
      </c>
      <c r="CE59" s="791">
        <v>3</v>
      </c>
      <c r="CF59" s="792"/>
      <c r="CG59" s="792"/>
      <c r="CH59" s="792"/>
      <c r="CI59" s="792"/>
      <c r="CJ59" s="792"/>
      <c r="CK59" s="792"/>
      <c r="CL59" s="793"/>
      <c r="CM59" s="108">
        <f t="shared" si="0"/>
        <v>3</v>
      </c>
      <c r="CN59" s="791">
        <v>0</v>
      </c>
      <c r="CO59" s="792"/>
      <c r="CP59" s="792"/>
      <c r="CQ59" s="792"/>
      <c r="CR59" s="792"/>
      <c r="CS59" s="792"/>
      <c r="CT59" s="792"/>
      <c r="CU59" s="793"/>
      <c r="CV59" s="108">
        <f t="shared" si="14"/>
        <v>0</v>
      </c>
      <c r="CW59" s="797"/>
      <c r="CX59" s="798"/>
      <c r="CY59" s="798"/>
      <c r="CZ59" s="798"/>
      <c r="DA59" s="798"/>
      <c r="DB59" s="798"/>
      <c r="DC59" s="798"/>
      <c r="DD59" s="799"/>
      <c r="DE59" s="223">
        <f t="shared" si="6"/>
        <v>0</v>
      </c>
      <c r="DF59" s="791"/>
      <c r="DG59" s="792"/>
      <c r="DH59" s="792"/>
      <c r="DI59" s="792"/>
      <c r="DJ59" s="792"/>
      <c r="DK59" s="792"/>
      <c r="DL59" s="792"/>
      <c r="DM59" s="793"/>
      <c r="DN59" s="108">
        <f t="shared" si="15"/>
        <v>0</v>
      </c>
      <c r="DO59" s="109">
        <f t="shared" si="1"/>
        <v>4</v>
      </c>
      <c r="DP59" s="110"/>
    </row>
    <row r="60" spans="2:120" ht="227.25" hidden="1" customHeight="1">
      <c r="B60" s="785" t="s">
        <v>75</v>
      </c>
      <c r="C60" s="785" t="s">
        <v>9</v>
      </c>
      <c r="D60" s="787" t="s">
        <v>157</v>
      </c>
      <c r="E60" s="788"/>
      <c r="F60" s="785" t="s">
        <v>158</v>
      </c>
      <c r="G60" s="785">
        <v>1</v>
      </c>
      <c r="H60" s="785" t="s">
        <v>159</v>
      </c>
      <c r="I60" s="785">
        <v>1</v>
      </c>
      <c r="J60" s="107" t="s">
        <v>65</v>
      </c>
      <c r="K60" s="791"/>
      <c r="L60" s="792"/>
      <c r="M60" s="792"/>
      <c r="N60" s="792"/>
      <c r="O60" s="792"/>
      <c r="P60" s="792"/>
      <c r="Q60" s="792"/>
      <c r="R60" s="793"/>
      <c r="S60" s="113">
        <f t="shared" si="7"/>
        <v>0</v>
      </c>
      <c r="T60" s="791">
        <v>1</v>
      </c>
      <c r="U60" s="792"/>
      <c r="V60" s="792"/>
      <c r="W60" s="792"/>
      <c r="X60" s="792"/>
      <c r="Y60" s="792"/>
      <c r="Z60" s="792"/>
      <c r="AA60" s="793"/>
      <c r="AB60" s="113">
        <f t="shared" si="8"/>
        <v>1</v>
      </c>
      <c r="AC60" s="791"/>
      <c r="AD60" s="792"/>
      <c r="AE60" s="792"/>
      <c r="AF60" s="792"/>
      <c r="AG60" s="792"/>
      <c r="AH60" s="792"/>
      <c r="AI60" s="792"/>
      <c r="AJ60" s="793"/>
      <c r="AK60" s="113">
        <f t="shared" si="9"/>
        <v>0</v>
      </c>
      <c r="AL60" s="791"/>
      <c r="AM60" s="792"/>
      <c r="AN60" s="792"/>
      <c r="AO60" s="792"/>
      <c r="AP60" s="792"/>
      <c r="AQ60" s="792"/>
      <c r="AR60" s="792"/>
      <c r="AS60" s="793"/>
      <c r="AT60" s="108">
        <f t="shared" si="10"/>
        <v>0</v>
      </c>
      <c r="AU60" s="805"/>
      <c r="AV60" s="806"/>
      <c r="AW60" s="806"/>
      <c r="AX60" s="806"/>
      <c r="AY60" s="806"/>
      <c r="AZ60" s="806"/>
      <c r="BA60" s="806"/>
      <c r="BB60" s="807"/>
      <c r="BC60" s="115">
        <f t="shared" si="3"/>
        <v>0</v>
      </c>
      <c r="BD60" s="791"/>
      <c r="BE60" s="792"/>
      <c r="BF60" s="792"/>
      <c r="BG60" s="792"/>
      <c r="BH60" s="792"/>
      <c r="BI60" s="792"/>
      <c r="BJ60" s="792"/>
      <c r="BK60" s="793"/>
      <c r="BL60" s="108">
        <f t="shared" si="11"/>
        <v>0</v>
      </c>
      <c r="BM60" s="791"/>
      <c r="BN60" s="792"/>
      <c r="BO60" s="792"/>
      <c r="BP60" s="792"/>
      <c r="BQ60" s="792"/>
      <c r="BR60" s="792"/>
      <c r="BS60" s="792"/>
      <c r="BT60" s="793"/>
      <c r="BU60" s="108">
        <f t="shared" si="12"/>
        <v>0</v>
      </c>
      <c r="BV60" s="791"/>
      <c r="BW60" s="792"/>
      <c r="BX60" s="792"/>
      <c r="BY60" s="792"/>
      <c r="BZ60" s="792"/>
      <c r="CA60" s="792"/>
      <c r="CB60" s="792"/>
      <c r="CC60" s="793"/>
      <c r="CD60" s="108">
        <f t="shared" si="13"/>
        <v>0</v>
      </c>
      <c r="CE60" s="108">
        <v>0</v>
      </c>
      <c r="CF60" s="108">
        <v>0</v>
      </c>
      <c r="CG60" s="108">
        <v>0</v>
      </c>
      <c r="CH60" s="108">
        <v>0</v>
      </c>
      <c r="CI60" s="108">
        <v>0</v>
      </c>
      <c r="CJ60" s="108">
        <v>0</v>
      </c>
      <c r="CK60" s="108">
        <v>0</v>
      </c>
      <c r="CL60" s="108">
        <v>0</v>
      </c>
      <c r="CM60" s="108">
        <f t="shared" si="0"/>
        <v>0</v>
      </c>
      <c r="CN60" s="791"/>
      <c r="CO60" s="792"/>
      <c r="CP60" s="792"/>
      <c r="CQ60" s="792"/>
      <c r="CR60" s="792"/>
      <c r="CS60" s="792"/>
      <c r="CT60" s="792"/>
      <c r="CU60" s="793"/>
      <c r="CV60" s="108">
        <f t="shared" si="14"/>
        <v>0</v>
      </c>
      <c r="CW60" s="797"/>
      <c r="CX60" s="798"/>
      <c r="CY60" s="798"/>
      <c r="CZ60" s="798"/>
      <c r="DA60" s="798"/>
      <c r="DB60" s="798"/>
      <c r="DC60" s="798"/>
      <c r="DD60" s="799"/>
      <c r="DE60" s="223">
        <f t="shared" si="6"/>
        <v>0</v>
      </c>
      <c r="DF60" s="791"/>
      <c r="DG60" s="792"/>
      <c r="DH60" s="792"/>
      <c r="DI60" s="792"/>
      <c r="DJ60" s="792"/>
      <c r="DK60" s="792"/>
      <c r="DL60" s="792"/>
      <c r="DM60" s="793"/>
      <c r="DN60" s="108">
        <f t="shared" si="15"/>
        <v>0</v>
      </c>
      <c r="DO60" s="109">
        <f t="shared" si="1"/>
        <v>1</v>
      </c>
      <c r="DP60" s="110"/>
    </row>
    <row r="61" spans="2:120" ht="227.25" customHeight="1">
      <c r="B61" s="800"/>
      <c r="C61" s="786"/>
      <c r="D61" s="789"/>
      <c r="E61" s="790"/>
      <c r="F61" s="786"/>
      <c r="G61" s="786"/>
      <c r="H61" s="786"/>
      <c r="I61" s="786"/>
      <c r="J61" s="111" t="s">
        <v>66</v>
      </c>
      <c r="K61" s="791"/>
      <c r="L61" s="792"/>
      <c r="M61" s="792"/>
      <c r="N61" s="792"/>
      <c r="O61" s="792"/>
      <c r="P61" s="792"/>
      <c r="Q61" s="792"/>
      <c r="R61" s="793"/>
      <c r="S61" s="113">
        <f t="shared" si="7"/>
        <v>0</v>
      </c>
      <c r="T61" s="791"/>
      <c r="U61" s="792"/>
      <c r="V61" s="792"/>
      <c r="W61" s="792"/>
      <c r="X61" s="792"/>
      <c r="Y61" s="792"/>
      <c r="Z61" s="792"/>
      <c r="AA61" s="793"/>
      <c r="AB61" s="113">
        <f t="shared" si="8"/>
        <v>0</v>
      </c>
      <c r="AC61" s="791"/>
      <c r="AD61" s="792"/>
      <c r="AE61" s="792"/>
      <c r="AF61" s="792"/>
      <c r="AG61" s="792"/>
      <c r="AH61" s="792"/>
      <c r="AI61" s="792"/>
      <c r="AJ61" s="793"/>
      <c r="AK61" s="113">
        <f t="shared" si="9"/>
        <v>0</v>
      </c>
      <c r="AL61" s="791"/>
      <c r="AM61" s="792"/>
      <c r="AN61" s="792"/>
      <c r="AO61" s="792"/>
      <c r="AP61" s="792"/>
      <c r="AQ61" s="792"/>
      <c r="AR61" s="792"/>
      <c r="AS61" s="793"/>
      <c r="AT61" s="120">
        <f t="shared" si="10"/>
        <v>0</v>
      </c>
      <c r="AU61" s="123">
        <v>1</v>
      </c>
      <c r="AV61" s="123"/>
      <c r="AW61" s="123"/>
      <c r="AX61" s="123"/>
      <c r="AY61" s="123"/>
      <c r="AZ61" s="123"/>
      <c r="BA61" s="123"/>
      <c r="BB61" s="123"/>
      <c r="BC61" s="115">
        <f t="shared" si="3"/>
        <v>1</v>
      </c>
      <c r="BD61" s="791"/>
      <c r="BE61" s="792"/>
      <c r="BF61" s="792"/>
      <c r="BG61" s="792"/>
      <c r="BH61" s="792"/>
      <c r="BI61" s="792"/>
      <c r="BJ61" s="792"/>
      <c r="BK61" s="793"/>
      <c r="BL61" s="108">
        <f t="shared" si="11"/>
        <v>0</v>
      </c>
      <c r="BM61" s="791"/>
      <c r="BN61" s="792"/>
      <c r="BO61" s="792"/>
      <c r="BP61" s="792"/>
      <c r="BQ61" s="792"/>
      <c r="BR61" s="792"/>
      <c r="BS61" s="792"/>
      <c r="BT61" s="793"/>
      <c r="BU61" s="108">
        <f t="shared" si="12"/>
        <v>0</v>
      </c>
      <c r="BV61" s="791"/>
      <c r="BW61" s="792"/>
      <c r="BX61" s="792"/>
      <c r="BY61" s="792"/>
      <c r="BZ61" s="792"/>
      <c r="CA61" s="792"/>
      <c r="CB61" s="792"/>
      <c r="CC61" s="793"/>
      <c r="CD61" s="108">
        <f t="shared" si="13"/>
        <v>0</v>
      </c>
      <c r="CE61" s="791">
        <v>40</v>
      </c>
      <c r="CF61" s="792"/>
      <c r="CG61" s="792"/>
      <c r="CH61" s="792"/>
      <c r="CI61" s="792"/>
      <c r="CJ61" s="792"/>
      <c r="CK61" s="792"/>
      <c r="CL61" s="793"/>
      <c r="CM61" s="108">
        <f t="shared" si="0"/>
        <v>40</v>
      </c>
      <c r="CN61" s="791">
        <v>8</v>
      </c>
      <c r="CO61" s="792"/>
      <c r="CP61" s="792"/>
      <c r="CQ61" s="792"/>
      <c r="CR61" s="792"/>
      <c r="CS61" s="792"/>
      <c r="CT61" s="792"/>
      <c r="CU61" s="793"/>
      <c r="CV61" s="108">
        <f t="shared" si="14"/>
        <v>8</v>
      </c>
      <c r="CW61" s="797"/>
      <c r="CX61" s="798"/>
      <c r="CY61" s="798"/>
      <c r="CZ61" s="798"/>
      <c r="DA61" s="798"/>
      <c r="DB61" s="798"/>
      <c r="DC61" s="798"/>
      <c r="DD61" s="799"/>
      <c r="DE61" s="223">
        <f t="shared" si="6"/>
        <v>0</v>
      </c>
      <c r="DF61" s="791"/>
      <c r="DG61" s="792"/>
      <c r="DH61" s="792"/>
      <c r="DI61" s="792"/>
      <c r="DJ61" s="792"/>
      <c r="DK61" s="792"/>
      <c r="DL61" s="792"/>
      <c r="DM61" s="793"/>
      <c r="DN61" s="108">
        <f t="shared" si="15"/>
        <v>0</v>
      </c>
      <c r="DO61" s="109">
        <f t="shared" si="1"/>
        <v>49</v>
      </c>
      <c r="DP61" s="110"/>
    </row>
    <row r="62" spans="2:120" ht="270" hidden="1" customHeight="1">
      <c r="B62" s="785" t="s">
        <v>76</v>
      </c>
      <c r="C62" s="785" t="s">
        <v>7</v>
      </c>
      <c r="D62" s="787" t="s">
        <v>1</v>
      </c>
      <c r="E62" s="788"/>
      <c r="F62" s="785" t="s">
        <v>1</v>
      </c>
      <c r="G62" s="785">
        <v>1</v>
      </c>
      <c r="H62" s="785" t="s">
        <v>1</v>
      </c>
      <c r="I62" s="785">
        <v>1</v>
      </c>
      <c r="J62" s="107" t="s">
        <v>65</v>
      </c>
      <c r="K62" s="791">
        <v>1</v>
      </c>
      <c r="L62" s="792"/>
      <c r="M62" s="792"/>
      <c r="N62" s="792"/>
      <c r="O62" s="792"/>
      <c r="P62" s="792"/>
      <c r="Q62" s="792"/>
      <c r="R62" s="793"/>
      <c r="S62" s="113">
        <f t="shared" si="7"/>
        <v>1</v>
      </c>
      <c r="T62" s="791"/>
      <c r="U62" s="792"/>
      <c r="V62" s="792"/>
      <c r="W62" s="792"/>
      <c r="X62" s="792"/>
      <c r="Y62" s="792"/>
      <c r="Z62" s="792"/>
      <c r="AA62" s="793"/>
      <c r="AB62" s="113">
        <f t="shared" si="8"/>
        <v>0</v>
      </c>
      <c r="AC62" s="791"/>
      <c r="AD62" s="792"/>
      <c r="AE62" s="792"/>
      <c r="AF62" s="792"/>
      <c r="AG62" s="792"/>
      <c r="AH62" s="792"/>
      <c r="AI62" s="792"/>
      <c r="AJ62" s="793"/>
      <c r="AK62" s="113">
        <f t="shared" si="9"/>
        <v>0</v>
      </c>
      <c r="AL62" s="791"/>
      <c r="AM62" s="792"/>
      <c r="AN62" s="792"/>
      <c r="AO62" s="792"/>
      <c r="AP62" s="792"/>
      <c r="AQ62" s="792"/>
      <c r="AR62" s="792"/>
      <c r="AS62" s="793"/>
      <c r="AT62" s="108">
        <f t="shared" si="10"/>
        <v>0</v>
      </c>
      <c r="AU62" s="805"/>
      <c r="AV62" s="806"/>
      <c r="AW62" s="806"/>
      <c r="AX62" s="806"/>
      <c r="AY62" s="806"/>
      <c r="AZ62" s="806"/>
      <c r="BA62" s="806"/>
      <c r="BB62" s="807"/>
      <c r="BC62" s="115">
        <f t="shared" si="3"/>
        <v>0</v>
      </c>
      <c r="BD62" s="791"/>
      <c r="BE62" s="792"/>
      <c r="BF62" s="792"/>
      <c r="BG62" s="792"/>
      <c r="BH62" s="792"/>
      <c r="BI62" s="792"/>
      <c r="BJ62" s="792"/>
      <c r="BK62" s="793"/>
      <c r="BL62" s="108">
        <f t="shared" si="11"/>
        <v>0</v>
      </c>
      <c r="BM62" s="791"/>
      <c r="BN62" s="792"/>
      <c r="BO62" s="792"/>
      <c r="BP62" s="792"/>
      <c r="BQ62" s="792"/>
      <c r="BR62" s="792"/>
      <c r="BS62" s="792"/>
      <c r="BT62" s="793"/>
      <c r="BU62" s="108">
        <f t="shared" si="12"/>
        <v>0</v>
      </c>
      <c r="BV62" s="791"/>
      <c r="BW62" s="792"/>
      <c r="BX62" s="792"/>
      <c r="BY62" s="792"/>
      <c r="BZ62" s="792"/>
      <c r="CA62" s="792"/>
      <c r="CB62" s="792"/>
      <c r="CC62" s="793"/>
      <c r="CD62" s="108">
        <f t="shared" si="13"/>
        <v>0</v>
      </c>
      <c r="CE62" s="108">
        <v>9</v>
      </c>
      <c r="CF62" s="108">
        <v>2</v>
      </c>
      <c r="CG62" s="108">
        <v>9</v>
      </c>
      <c r="CH62" s="108">
        <v>3</v>
      </c>
      <c r="CI62" s="108">
        <v>0</v>
      </c>
      <c r="CJ62" s="108">
        <v>0</v>
      </c>
      <c r="CK62" s="108">
        <v>0</v>
      </c>
      <c r="CL62" s="108">
        <v>0</v>
      </c>
      <c r="CM62" s="108">
        <f t="shared" si="0"/>
        <v>23</v>
      </c>
      <c r="CN62" s="791"/>
      <c r="CO62" s="792"/>
      <c r="CP62" s="792"/>
      <c r="CQ62" s="792"/>
      <c r="CR62" s="792"/>
      <c r="CS62" s="792"/>
      <c r="CT62" s="792"/>
      <c r="CU62" s="793"/>
      <c r="CV62" s="108">
        <f t="shared" si="14"/>
        <v>0</v>
      </c>
      <c r="CW62" s="797"/>
      <c r="CX62" s="798"/>
      <c r="CY62" s="798"/>
      <c r="CZ62" s="798"/>
      <c r="DA62" s="798"/>
      <c r="DB62" s="798"/>
      <c r="DC62" s="798"/>
      <c r="DD62" s="799"/>
      <c r="DE62" s="223">
        <f t="shared" si="6"/>
        <v>0</v>
      </c>
      <c r="DF62" s="791"/>
      <c r="DG62" s="792"/>
      <c r="DH62" s="792"/>
      <c r="DI62" s="792"/>
      <c r="DJ62" s="792"/>
      <c r="DK62" s="792"/>
      <c r="DL62" s="792"/>
      <c r="DM62" s="793"/>
      <c r="DN62" s="108">
        <f t="shared" si="15"/>
        <v>0</v>
      </c>
      <c r="DO62" s="109">
        <f t="shared" si="1"/>
        <v>24</v>
      </c>
      <c r="DP62" s="110"/>
    </row>
    <row r="63" spans="2:120" ht="247.5" customHeight="1">
      <c r="B63" s="786"/>
      <c r="C63" s="786"/>
      <c r="D63" s="789"/>
      <c r="E63" s="790"/>
      <c r="F63" s="786"/>
      <c r="G63" s="786"/>
      <c r="H63" s="786"/>
      <c r="I63" s="786"/>
      <c r="J63" s="111" t="s">
        <v>66</v>
      </c>
      <c r="K63" s="791">
        <v>1</v>
      </c>
      <c r="L63" s="792"/>
      <c r="M63" s="792"/>
      <c r="N63" s="792"/>
      <c r="O63" s="792"/>
      <c r="P63" s="792"/>
      <c r="Q63" s="792"/>
      <c r="R63" s="793"/>
      <c r="S63" s="113">
        <f t="shared" si="7"/>
        <v>1</v>
      </c>
      <c r="T63" s="791"/>
      <c r="U63" s="792"/>
      <c r="V63" s="792"/>
      <c r="W63" s="792"/>
      <c r="X63" s="792"/>
      <c r="Y63" s="792"/>
      <c r="Z63" s="792"/>
      <c r="AA63" s="793"/>
      <c r="AB63" s="113">
        <f t="shared" si="8"/>
        <v>0</v>
      </c>
      <c r="AC63" s="791"/>
      <c r="AD63" s="792"/>
      <c r="AE63" s="792"/>
      <c r="AF63" s="792"/>
      <c r="AG63" s="792"/>
      <c r="AH63" s="792"/>
      <c r="AI63" s="792"/>
      <c r="AJ63" s="793"/>
      <c r="AK63" s="113">
        <f t="shared" si="9"/>
        <v>0</v>
      </c>
      <c r="AL63" s="791"/>
      <c r="AM63" s="792"/>
      <c r="AN63" s="792"/>
      <c r="AO63" s="792"/>
      <c r="AP63" s="792"/>
      <c r="AQ63" s="792"/>
      <c r="AR63" s="792"/>
      <c r="AS63" s="793"/>
      <c r="AT63" s="120">
        <f t="shared" si="10"/>
        <v>0</v>
      </c>
      <c r="AU63" s="123">
        <v>1</v>
      </c>
      <c r="AV63" s="123"/>
      <c r="AW63" s="123"/>
      <c r="AX63" s="123"/>
      <c r="AY63" s="123"/>
      <c r="AZ63" s="123"/>
      <c r="BA63" s="123"/>
      <c r="BB63" s="123"/>
      <c r="BC63" s="115">
        <f t="shared" si="3"/>
        <v>1</v>
      </c>
      <c r="BD63" s="791"/>
      <c r="BE63" s="792"/>
      <c r="BF63" s="792"/>
      <c r="BG63" s="792"/>
      <c r="BH63" s="792"/>
      <c r="BI63" s="792"/>
      <c r="BJ63" s="792"/>
      <c r="BK63" s="793"/>
      <c r="BL63" s="108">
        <f t="shared" si="11"/>
        <v>0</v>
      </c>
      <c r="BM63" s="791"/>
      <c r="BN63" s="792"/>
      <c r="BO63" s="792"/>
      <c r="BP63" s="792"/>
      <c r="BQ63" s="792"/>
      <c r="BR63" s="792"/>
      <c r="BS63" s="792"/>
      <c r="BT63" s="793"/>
      <c r="BU63" s="108">
        <f t="shared" si="12"/>
        <v>0</v>
      </c>
      <c r="BV63" s="791"/>
      <c r="BW63" s="792"/>
      <c r="BX63" s="792"/>
      <c r="BY63" s="792"/>
      <c r="BZ63" s="792"/>
      <c r="CA63" s="792"/>
      <c r="CB63" s="792"/>
      <c r="CC63" s="793"/>
      <c r="CD63" s="108">
        <f t="shared" si="13"/>
        <v>0</v>
      </c>
      <c r="CE63" s="791"/>
      <c r="CF63" s="792"/>
      <c r="CG63" s="792"/>
      <c r="CH63" s="792"/>
      <c r="CI63" s="792"/>
      <c r="CJ63" s="792"/>
      <c r="CK63" s="792"/>
      <c r="CL63" s="793"/>
      <c r="CM63" s="108">
        <f t="shared" si="0"/>
        <v>0</v>
      </c>
      <c r="CN63" s="791">
        <v>0</v>
      </c>
      <c r="CO63" s="792"/>
      <c r="CP63" s="792"/>
      <c r="CQ63" s="792"/>
      <c r="CR63" s="792"/>
      <c r="CS63" s="792"/>
      <c r="CT63" s="792"/>
      <c r="CU63" s="793"/>
      <c r="CV63" s="108">
        <f t="shared" si="14"/>
        <v>0</v>
      </c>
      <c r="CW63" s="797"/>
      <c r="CX63" s="798"/>
      <c r="CY63" s="798"/>
      <c r="CZ63" s="798"/>
      <c r="DA63" s="798"/>
      <c r="DB63" s="798"/>
      <c r="DC63" s="798"/>
      <c r="DD63" s="799"/>
      <c r="DE63" s="223">
        <f t="shared" si="6"/>
        <v>0</v>
      </c>
      <c r="DF63" s="791"/>
      <c r="DG63" s="792"/>
      <c r="DH63" s="792"/>
      <c r="DI63" s="792"/>
      <c r="DJ63" s="792"/>
      <c r="DK63" s="792"/>
      <c r="DL63" s="792"/>
      <c r="DM63" s="793"/>
      <c r="DN63" s="108">
        <f t="shared" si="15"/>
        <v>0</v>
      </c>
      <c r="DO63" s="109">
        <f t="shared" si="1"/>
        <v>2</v>
      </c>
      <c r="DP63" s="110"/>
    </row>
    <row r="64" spans="2:120" ht="217.5" hidden="1" customHeight="1">
      <c r="B64" s="785" t="s">
        <v>160</v>
      </c>
      <c r="C64" s="785" t="s">
        <v>18</v>
      </c>
      <c r="D64" s="787" t="s">
        <v>11</v>
      </c>
      <c r="E64" s="788"/>
      <c r="F64" s="785" t="s">
        <v>11</v>
      </c>
      <c r="G64" s="785">
        <v>1</v>
      </c>
      <c r="H64" s="785" t="s">
        <v>11</v>
      </c>
      <c r="I64" s="785">
        <v>1</v>
      </c>
      <c r="J64" s="107" t="s">
        <v>65</v>
      </c>
      <c r="K64" s="791">
        <v>1</v>
      </c>
      <c r="L64" s="792"/>
      <c r="M64" s="792"/>
      <c r="N64" s="792"/>
      <c r="O64" s="792"/>
      <c r="P64" s="792"/>
      <c r="Q64" s="792"/>
      <c r="R64" s="793"/>
      <c r="S64" s="113">
        <f t="shared" si="7"/>
        <v>1</v>
      </c>
      <c r="T64" s="791"/>
      <c r="U64" s="792"/>
      <c r="V64" s="792"/>
      <c r="W64" s="792"/>
      <c r="X64" s="792"/>
      <c r="Y64" s="792"/>
      <c r="Z64" s="792"/>
      <c r="AA64" s="793"/>
      <c r="AB64" s="113">
        <f t="shared" si="8"/>
        <v>0</v>
      </c>
      <c r="AC64" s="791"/>
      <c r="AD64" s="792"/>
      <c r="AE64" s="792"/>
      <c r="AF64" s="792"/>
      <c r="AG64" s="792"/>
      <c r="AH64" s="792"/>
      <c r="AI64" s="792"/>
      <c r="AJ64" s="793"/>
      <c r="AK64" s="113">
        <f t="shared" si="9"/>
        <v>0</v>
      </c>
      <c r="AL64" s="791"/>
      <c r="AM64" s="792"/>
      <c r="AN64" s="792"/>
      <c r="AO64" s="792"/>
      <c r="AP64" s="792"/>
      <c r="AQ64" s="792"/>
      <c r="AR64" s="792"/>
      <c r="AS64" s="793"/>
      <c r="AT64" s="108">
        <f t="shared" si="10"/>
        <v>0</v>
      </c>
      <c r="AU64" s="805"/>
      <c r="AV64" s="806"/>
      <c r="AW64" s="806"/>
      <c r="AX64" s="806"/>
      <c r="AY64" s="806"/>
      <c r="AZ64" s="806"/>
      <c r="BA64" s="806"/>
      <c r="BB64" s="807"/>
      <c r="BC64" s="115">
        <f t="shared" si="3"/>
        <v>0</v>
      </c>
      <c r="BD64" s="791"/>
      <c r="BE64" s="792"/>
      <c r="BF64" s="792"/>
      <c r="BG64" s="792"/>
      <c r="BH64" s="792"/>
      <c r="BI64" s="792"/>
      <c r="BJ64" s="792"/>
      <c r="BK64" s="793"/>
      <c r="BL64" s="108">
        <f t="shared" si="11"/>
        <v>0</v>
      </c>
      <c r="BM64" s="791"/>
      <c r="BN64" s="792"/>
      <c r="BO64" s="792"/>
      <c r="BP64" s="792"/>
      <c r="BQ64" s="792"/>
      <c r="BR64" s="792"/>
      <c r="BS64" s="792"/>
      <c r="BT64" s="793"/>
      <c r="BU64" s="108">
        <f t="shared" si="12"/>
        <v>0</v>
      </c>
      <c r="BV64" s="791"/>
      <c r="BW64" s="792"/>
      <c r="BX64" s="792"/>
      <c r="BY64" s="792"/>
      <c r="BZ64" s="792"/>
      <c r="CA64" s="792"/>
      <c r="CB64" s="792"/>
      <c r="CC64" s="793"/>
      <c r="CD64" s="108">
        <f t="shared" si="13"/>
        <v>0</v>
      </c>
      <c r="CE64" s="120"/>
      <c r="CF64" s="121"/>
      <c r="CG64" s="121"/>
      <c r="CH64" s="121"/>
      <c r="CI64" s="121"/>
      <c r="CJ64" s="121"/>
      <c r="CK64" s="121"/>
      <c r="CL64" s="112"/>
      <c r="CM64" s="108">
        <f t="shared" si="0"/>
        <v>0</v>
      </c>
      <c r="CN64" s="791"/>
      <c r="CO64" s="792"/>
      <c r="CP64" s="792"/>
      <c r="CQ64" s="792"/>
      <c r="CR64" s="792"/>
      <c r="CS64" s="792"/>
      <c r="CT64" s="792"/>
      <c r="CU64" s="793"/>
      <c r="CV64" s="108">
        <f t="shared" si="14"/>
        <v>0</v>
      </c>
      <c r="CW64" s="797"/>
      <c r="CX64" s="798"/>
      <c r="CY64" s="798"/>
      <c r="CZ64" s="798"/>
      <c r="DA64" s="798"/>
      <c r="DB64" s="798"/>
      <c r="DC64" s="798"/>
      <c r="DD64" s="799"/>
      <c r="DE64" s="223">
        <f t="shared" si="6"/>
        <v>0</v>
      </c>
      <c r="DF64" s="791"/>
      <c r="DG64" s="792"/>
      <c r="DH64" s="792"/>
      <c r="DI64" s="792"/>
      <c r="DJ64" s="792"/>
      <c r="DK64" s="792"/>
      <c r="DL64" s="792"/>
      <c r="DM64" s="793"/>
      <c r="DN64" s="108">
        <f t="shared" si="15"/>
        <v>0</v>
      </c>
      <c r="DO64" s="109">
        <f t="shared" si="1"/>
        <v>1</v>
      </c>
      <c r="DP64" s="110"/>
    </row>
    <row r="65" spans="2:120" ht="255" customHeight="1">
      <c r="B65" s="786"/>
      <c r="C65" s="786"/>
      <c r="D65" s="789"/>
      <c r="E65" s="790"/>
      <c r="F65" s="786"/>
      <c r="G65" s="786"/>
      <c r="H65" s="786"/>
      <c r="I65" s="786"/>
      <c r="J65" s="111" t="s">
        <v>66</v>
      </c>
      <c r="K65" s="791"/>
      <c r="L65" s="792"/>
      <c r="M65" s="792"/>
      <c r="N65" s="792"/>
      <c r="O65" s="792"/>
      <c r="P65" s="792"/>
      <c r="Q65" s="792"/>
      <c r="R65" s="793"/>
      <c r="S65" s="113">
        <f t="shared" si="7"/>
        <v>0</v>
      </c>
      <c r="T65" s="791"/>
      <c r="U65" s="792"/>
      <c r="V65" s="792"/>
      <c r="W65" s="792"/>
      <c r="X65" s="792"/>
      <c r="Y65" s="792"/>
      <c r="Z65" s="792"/>
      <c r="AA65" s="793"/>
      <c r="AB65" s="113">
        <f t="shared" si="8"/>
        <v>0</v>
      </c>
      <c r="AC65" s="791"/>
      <c r="AD65" s="792"/>
      <c r="AE65" s="792"/>
      <c r="AF65" s="792"/>
      <c r="AG65" s="792"/>
      <c r="AH65" s="792"/>
      <c r="AI65" s="792"/>
      <c r="AJ65" s="793"/>
      <c r="AK65" s="113">
        <f t="shared" si="9"/>
        <v>0</v>
      </c>
      <c r="AL65" s="791"/>
      <c r="AM65" s="792"/>
      <c r="AN65" s="792"/>
      <c r="AO65" s="792"/>
      <c r="AP65" s="792"/>
      <c r="AQ65" s="792"/>
      <c r="AR65" s="792"/>
      <c r="AS65" s="793"/>
      <c r="AT65" s="120">
        <f t="shared" si="10"/>
        <v>0</v>
      </c>
      <c r="AU65" s="123">
        <v>1</v>
      </c>
      <c r="AV65" s="123"/>
      <c r="AW65" s="123"/>
      <c r="AX65" s="123"/>
      <c r="AY65" s="123"/>
      <c r="AZ65" s="123"/>
      <c r="BA65" s="123"/>
      <c r="BB65" s="123"/>
      <c r="BC65" s="115">
        <f t="shared" si="3"/>
        <v>1</v>
      </c>
      <c r="BD65" s="791"/>
      <c r="BE65" s="792"/>
      <c r="BF65" s="792"/>
      <c r="BG65" s="792"/>
      <c r="BH65" s="792"/>
      <c r="BI65" s="792"/>
      <c r="BJ65" s="792"/>
      <c r="BK65" s="793"/>
      <c r="BL65" s="108">
        <f t="shared" si="11"/>
        <v>0</v>
      </c>
      <c r="BM65" s="791"/>
      <c r="BN65" s="792"/>
      <c r="BO65" s="792"/>
      <c r="BP65" s="792"/>
      <c r="BQ65" s="792"/>
      <c r="BR65" s="792"/>
      <c r="BS65" s="792"/>
      <c r="BT65" s="793"/>
      <c r="BU65" s="108">
        <f t="shared" si="12"/>
        <v>0</v>
      </c>
      <c r="BV65" s="791"/>
      <c r="BW65" s="792"/>
      <c r="BX65" s="792"/>
      <c r="BY65" s="792"/>
      <c r="BZ65" s="792"/>
      <c r="CA65" s="792"/>
      <c r="CB65" s="792"/>
      <c r="CC65" s="793"/>
      <c r="CD65" s="108">
        <f t="shared" si="13"/>
        <v>0</v>
      </c>
      <c r="CE65" s="791"/>
      <c r="CF65" s="792"/>
      <c r="CG65" s="792"/>
      <c r="CH65" s="792"/>
      <c r="CI65" s="792"/>
      <c r="CJ65" s="792"/>
      <c r="CK65" s="792"/>
      <c r="CL65" s="793"/>
      <c r="CM65" s="108">
        <f t="shared" si="0"/>
        <v>0</v>
      </c>
      <c r="CN65" s="791">
        <v>0</v>
      </c>
      <c r="CO65" s="792"/>
      <c r="CP65" s="792"/>
      <c r="CQ65" s="792"/>
      <c r="CR65" s="792"/>
      <c r="CS65" s="792"/>
      <c r="CT65" s="792"/>
      <c r="CU65" s="793"/>
      <c r="CV65" s="108">
        <f t="shared" si="14"/>
        <v>0</v>
      </c>
      <c r="CW65" s="797"/>
      <c r="CX65" s="798"/>
      <c r="CY65" s="798"/>
      <c r="CZ65" s="798"/>
      <c r="DA65" s="798"/>
      <c r="DB65" s="798"/>
      <c r="DC65" s="798"/>
      <c r="DD65" s="799"/>
      <c r="DE65" s="223">
        <f t="shared" si="6"/>
        <v>0</v>
      </c>
      <c r="DF65" s="791"/>
      <c r="DG65" s="792"/>
      <c r="DH65" s="792"/>
      <c r="DI65" s="792"/>
      <c r="DJ65" s="792"/>
      <c r="DK65" s="792"/>
      <c r="DL65" s="792"/>
      <c r="DM65" s="793"/>
      <c r="DN65" s="108">
        <f t="shared" si="15"/>
        <v>0</v>
      </c>
      <c r="DO65" s="109">
        <f t="shared" si="1"/>
        <v>1</v>
      </c>
      <c r="DP65" s="110"/>
    </row>
    <row r="66" spans="2:120" ht="285.75" hidden="1" customHeight="1">
      <c r="B66" s="785" t="s">
        <v>161</v>
      </c>
      <c r="C66" s="785" t="s">
        <v>12</v>
      </c>
      <c r="D66" s="787" t="s">
        <v>162</v>
      </c>
      <c r="E66" s="788"/>
      <c r="F66" s="785" t="s">
        <v>162</v>
      </c>
      <c r="G66" s="785" t="s">
        <v>0</v>
      </c>
      <c r="H66" s="785" t="s">
        <v>162</v>
      </c>
      <c r="I66" s="808">
        <v>1</v>
      </c>
      <c r="J66" s="107" t="s">
        <v>65</v>
      </c>
      <c r="K66" s="791">
        <v>1</v>
      </c>
      <c r="L66" s="792"/>
      <c r="M66" s="792"/>
      <c r="N66" s="792"/>
      <c r="O66" s="792"/>
      <c r="P66" s="792"/>
      <c r="Q66" s="792"/>
      <c r="R66" s="793"/>
      <c r="S66" s="113">
        <f t="shared" si="7"/>
        <v>1</v>
      </c>
      <c r="T66" s="791"/>
      <c r="U66" s="792"/>
      <c r="V66" s="792"/>
      <c r="W66" s="792"/>
      <c r="X66" s="792"/>
      <c r="Y66" s="792"/>
      <c r="Z66" s="792"/>
      <c r="AA66" s="793"/>
      <c r="AB66" s="113">
        <f t="shared" si="8"/>
        <v>0</v>
      </c>
      <c r="AC66" s="791"/>
      <c r="AD66" s="792"/>
      <c r="AE66" s="792"/>
      <c r="AF66" s="792"/>
      <c r="AG66" s="792"/>
      <c r="AH66" s="792"/>
      <c r="AI66" s="792"/>
      <c r="AJ66" s="793"/>
      <c r="AK66" s="113">
        <f t="shared" si="9"/>
        <v>0</v>
      </c>
      <c r="AL66" s="791"/>
      <c r="AM66" s="792"/>
      <c r="AN66" s="792"/>
      <c r="AO66" s="792"/>
      <c r="AP66" s="792"/>
      <c r="AQ66" s="792"/>
      <c r="AR66" s="792"/>
      <c r="AS66" s="793"/>
      <c r="AT66" s="108">
        <f t="shared" si="10"/>
        <v>0</v>
      </c>
      <c r="AU66" s="805"/>
      <c r="AV66" s="806"/>
      <c r="AW66" s="806"/>
      <c r="AX66" s="806"/>
      <c r="AY66" s="806"/>
      <c r="AZ66" s="806"/>
      <c r="BA66" s="806"/>
      <c r="BB66" s="807"/>
      <c r="BC66" s="115">
        <f t="shared" si="3"/>
        <v>0</v>
      </c>
      <c r="BD66" s="803"/>
      <c r="BE66" s="804"/>
      <c r="BF66" s="804"/>
      <c r="BG66" s="804"/>
      <c r="BH66" s="804"/>
      <c r="BI66" s="804"/>
      <c r="BJ66" s="804"/>
      <c r="BK66" s="788"/>
      <c r="BL66" s="108">
        <f t="shared" si="11"/>
        <v>0</v>
      </c>
      <c r="BM66" s="791"/>
      <c r="BN66" s="792"/>
      <c r="BO66" s="792"/>
      <c r="BP66" s="792"/>
      <c r="BQ66" s="792"/>
      <c r="BR66" s="792"/>
      <c r="BS66" s="792"/>
      <c r="BT66" s="793"/>
      <c r="BU66" s="108">
        <f t="shared" si="12"/>
        <v>0</v>
      </c>
      <c r="BV66" s="791"/>
      <c r="BW66" s="792"/>
      <c r="BX66" s="792"/>
      <c r="BY66" s="792"/>
      <c r="BZ66" s="792"/>
      <c r="CA66" s="792"/>
      <c r="CB66" s="792"/>
      <c r="CC66" s="793"/>
      <c r="CD66" s="108">
        <f t="shared" si="13"/>
        <v>0</v>
      </c>
      <c r="CE66" s="791"/>
      <c r="CF66" s="792"/>
      <c r="CG66" s="792"/>
      <c r="CH66" s="792"/>
      <c r="CI66" s="792"/>
      <c r="CJ66" s="792"/>
      <c r="CK66" s="792"/>
      <c r="CL66" s="793"/>
      <c r="CM66" s="108">
        <f t="shared" si="0"/>
        <v>0</v>
      </c>
      <c r="CN66" s="791"/>
      <c r="CO66" s="792"/>
      <c r="CP66" s="792"/>
      <c r="CQ66" s="792"/>
      <c r="CR66" s="792"/>
      <c r="CS66" s="792"/>
      <c r="CT66" s="792"/>
      <c r="CU66" s="793"/>
      <c r="CV66" s="108">
        <f t="shared" si="14"/>
        <v>0</v>
      </c>
      <c r="CW66" s="797">
        <v>9</v>
      </c>
      <c r="CX66" s="798"/>
      <c r="CY66" s="798"/>
      <c r="CZ66" s="798"/>
      <c r="DA66" s="798"/>
      <c r="DB66" s="798"/>
      <c r="DC66" s="798"/>
      <c r="DD66" s="799"/>
      <c r="DE66" s="223">
        <f t="shared" si="6"/>
        <v>9</v>
      </c>
      <c r="DF66" s="791"/>
      <c r="DG66" s="792"/>
      <c r="DH66" s="792"/>
      <c r="DI66" s="792"/>
      <c r="DJ66" s="792"/>
      <c r="DK66" s="792"/>
      <c r="DL66" s="792"/>
      <c r="DM66" s="793"/>
      <c r="DN66" s="108">
        <f t="shared" si="15"/>
        <v>0</v>
      </c>
      <c r="DO66" s="109">
        <f t="shared" si="1"/>
        <v>10</v>
      </c>
      <c r="DP66" s="124"/>
    </row>
    <row r="67" spans="2:120" ht="199.5" customHeight="1">
      <c r="B67" s="786"/>
      <c r="C67" s="786"/>
      <c r="D67" s="789"/>
      <c r="E67" s="790"/>
      <c r="F67" s="786"/>
      <c r="G67" s="786"/>
      <c r="H67" s="786"/>
      <c r="I67" s="786"/>
      <c r="J67" s="111" t="s">
        <v>66</v>
      </c>
      <c r="K67" s="791"/>
      <c r="L67" s="792"/>
      <c r="M67" s="792"/>
      <c r="N67" s="792"/>
      <c r="O67" s="792"/>
      <c r="P67" s="792"/>
      <c r="Q67" s="792"/>
      <c r="R67" s="793"/>
      <c r="S67" s="113">
        <f t="shared" si="7"/>
        <v>0</v>
      </c>
      <c r="T67" s="791"/>
      <c r="U67" s="792"/>
      <c r="V67" s="792"/>
      <c r="W67" s="792"/>
      <c r="X67" s="792"/>
      <c r="Y67" s="792"/>
      <c r="Z67" s="792"/>
      <c r="AA67" s="793"/>
      <c r="AB67" s="113">
        <f t="shared" si="8"/>
        <v>0</v>
      </c>
      <c r="AC67" s="791"/>
      <c r="AD67" s="792"/>
      <c r="AE67" s="792"/>
      <c r="AF67" s="792"/>
      <c r="AG67" s="792"/>
      <c r="AH67" s="792"/>
      <c r="AI67" s="792"/>
      <c r="AJ67" s="793"/>
      <c r="AK67" s="113">
        <f t="shared" si="9"/>
        <v>0</v>
      </c>
      <c r="AL67" s="791"/>
      <c r="AM67" s="792"/>
      <c r="AN67" s="792"/>
      <c r="AO67" s="792"/>
      <c r="AP67" s="792"/>
      <c r="AQ67" s="792"/>
      <c r="AR67" s="792"/>
      <c r="AS67" s="793"/>
      <c r="AT67" s="120">
        <f t="shared" si="10"/>
        <v>0</v>
      </c>
      <c r="AU67" s="123">
        <v>10</v>
      </c>
      <c r="AV67" s="123">
        <v>6</v>
      </c>
      <c r="AW67" s="123">
        <v>1</v>
      </c>
      <c r="AX67" s="123">
        <v>1</v>
      </c>
      <c r="AY67" s="123">
        <v>0</v>
      </c>
      <c r="AZ67" s="123">
        <v>0</v>
      </c>
      <c r="BA67" s="123">
        <v>0</v>
      </c>
      <c r="BB67" s="123">
        <v>0</v>
      </c>
      <c r="BC67" s="115">
        <f t="shared" si="3"/>
        <v>18</v>
      </c>
      <c r="BD67" s="809"/>
      <c r="BE67" s="810"/>
      <c r="BF67" s="810"/>
      <c r="BG67" s="810"/>
      <c r="BH67" s="810"/>
      <c r="BI67" s="810"/>
      <c r="BJ67" s="810"/>
      <c r="BK67" s="810"/>
      <c r="BL67" s="112">
        <f t="shared" si="11"/>
        <v>0</v>
      </c>
      <c r="BM67" s="791"/>
      <c r="BN67" s="792"/>
      <c r="BO67" s="792"/>
      <c r="BP67" s="792"/>
      <c r="BQ67" s="792"/>
      <c r="BR67" s="792"/>
      <c r="BS67" s="792"/>
      <c r="BT67" s="793"/>
      <c r="BU67" s="108">
        <f t="shared" si="12"/>
        <v>0</v>
      </c>
      <c r="BV67" s="791">
        <v>14</v>
      </c>
      <c r="BW67" s="792"/>
      <c r="BX67" s="792"/>
      <c r="BY67" s="792"/>
      <c r="BZ67" s="792"/>
      <c r="CA67" s="792"/>
      <c r="CB67" s="792"/>
      <c r="CC67" s="793"/>
      <c r="CD67" s="108">
        <f t="shared" si="13"/>
        <v>14</v>
      </c>
      <c r="CE67" s="791"/>
      <c r="CF67" s="792"/>
      <c r="CG67" s="792"/>
      <c r="CH67" s="792"/>
      <c r="CI67" s="792"/>
      <c r="CJ67" s="792"/>
      <c r="CK67" s="792"/>
      <c r="CL67" s="793"/>
      <c r="CM67" s="108">
        <f t="shared" si="0"/>
        <v>0</v>
      </c>
      <c r="CN67" s="791">
        <v>14</v>
      </c>
      <c r="CO67" s="792"/>
      <c r="CP67" s="792"/>
      <c r="CQ67" s="792"/>
      <c r="CR67" s="792"/>
      <c r="CS67" s="792"/>
      <c r="CT67" s="792"/>
      <c r="CU67" s="793"/>
      <c r="CV67" s="108">
        <f t="shared" si="14"/>
        <v>14</v>
      </c>
      <c r="CW67" s="811"/>
      <c r="CX67" s="812"/>
      <c r="CY67" s="812"/>
      <c r="CZ67" s="812"/>
      <c r="DA67" s="812"/>
      <c r="DB67" s="812"/>
      <c r="DC67" s="812"/>
      <c r="DD67" s="813"/>
      <c r="DE67" s="224">
        <f t="shared" si="6"/>
        <v>0</v>
      </c>
      <c r="DF67" s="791">
        <v>1</v>
      </c>
      <c r="DG67" s="792"/>
      <c r="DH67" s="792"/>
      <c r="DI67" s="792"/>
      <c r="DJ67" s="792"/>
      <c r="DK67" s="792"/>
      <c r="DL67" s="792"/>
      <c r="DM67" s="793"/>
      <c r="DN67" s="108">
        <f t="shared" si="15"/>
        <v>1</v>
      </c>
      <c r="DO67" s="109">
        <f t="shared" si="1"/>
        <v>47</v>
      </c>
      <c r="DP67" s="125"/>
    </row>
    <row r="68" spans="2:120" ht="214.5" hidden="1" customHeight="1">
      <c r="B68" s="785" t="s">
        <v>163</v>
      </c>
      <c r="C68" s="785" t="s">
        <v>13</v>
      </c>
      <c r="D68" s="787" t="s">
        <v>164</v>
      </c>
      <c r="E68" s="788"/>
      <c r="F68" s="785" t="s">
        <v>164</v>
      </c>
      <c r="G68" s="785" t="s">
        <v>0</v>
      </c>
      <c r="H68" s="785" t="s">
        <v>164</v>
      </c>
      <c r="I68" s="808">
        <v>1</v>
      </c>
      <c r="J68" s="107" t="s">
        <v>65</v>
      </c>
      <c r="K68" s="791">
        <v>1</v>
      </c>
      <c r="L68" s="792"/>
      <c r="M68" s="792"/>
      <c r="N68" s="792"/>
      <c r="O68" s="792"/>
      <c r="P68" s="792"/>
      <c r="Q68" s="792"/>
      <c r="R68" s="793"/>
      <c r="S68" s="113">
        <f t="shared" si="7"/>
        <v>1</v>
      </c>
      <c r="T68" s="791"/>
      <c r="U68" s="792"/>
      <c r="V68" s="792"/>
      <c r="W68" s="792"/>
      <c r="X68" s="792"/>
      <c r="Y68" s="792"/>
      <c r="Z68" s="792"/>
      <c r="AA68" s="793"/>
      <c r="AB68" s="113">
        <f t="shared" si="8"/>
        <v>0</v>
      </c>
      <c r="AC68" s="791"/>
      <c r="AD68" s="792"/>
      <c r="AE68" s="792"/>
      <c r="AF68" s="792"/>
      <c r="AG68" s="792"/>
      <c r="AH68" s="792"/>
      <c r="AI68" s="792"/>
      <c r="AJ68" s="793"/>
      <c r="AK68" s="113">
        <f t="shared" si="9"/>
        <v>0</v>
      </c>
      <c r="AL68" s="791"/>
      <c r="AM68" s="792"/>
      <c r="AN68" s="792"/>
      <c r="AO68" s="792"/>
      <c r="AP68" s="792"/>
      <c r="AQ68" s="792"/>
      <c r="AR68" s="792"/>
      <c r="AS68" s="793"/>
      <c r="AT68" s="108">
        <f t="shared" si="10"/>
        <v>0</v>
      </c>
      <c r="AU68" s="805"/>
      <c r="AV68" s="806"/>
      <c r="AW68" s="806"/>
      <c r="AX68" s="806"/>
      <c r="AY68" s="806"/>
      <c r="AZ68" s="806"/>
      <c r="BA68" s="806"/>
      <c r="BB68" s="807"/>
      <c r="BC68" s="115">
        <f t="shared" si="3"/>
        <v>0</v>
      </c>
      <c r="BD68" s="805"/>
      <c r="BE68" s="806"/>
      <c r="BF68" s="806"/>
      <c r="BG68" s="806"/>
      <c r="BH68" s="806"/>
      <c r="BI68" s="806"/>
      <c r="BJ68" s="806"/>
      <c r="BK68" s="807"/>
      <c r="BL68" s="108">
        <f t="shared" si="11"/>
        <v>0</v>
      </c>
      <c r="BM68" s="803"/>
      <c r="BN68" s="804"/>
      <c r="BO68" s="804"/>
      <c r="BP68" s="804"/>
      <c r="BQ68" s="804"/>
      <c r="BR68" s="804"/>
      <c r="BS68" s="804"/>
      <c r="BT68" s="788"/>
      <c r="BU68" s="108">
        <f t="shared" si="12"/>
        <v>0</v>
      </c>
      <c r="BV68" s="803"/>
      <c r="BW68" s="804"/>
      <c r="BX68" s="804"/>
      <c r="BY68" s="804"/>
      <c r="BZ68" s="804"/>
      <c r="CA68" s="804"/>
      <c r="CB68" s="804"/>
      <c r="CC68" s="788"/>
      <c r="CD68" s="108">
        <f t="shared" si="13"/>
        <v>0</v>
      </c>
      <c r="CE68" s="791"/>
      <c r="CF68" s="792"/>
      <c r="CG68" s="792"/>
      <c r="CH68" s="792"/>
      <c r="CI68" s="792"/>
      <c r="CJ68" s="792"/>
      <c r="CK68" s="792"/>
      <c r="CL68" s="793"/>
      <c r="CM68" s="108">
        <f t="shared" si="0"/>
        <v>0</v>
      </c>
      <c r="CN68" s="803"/>
      <c r="CO68" s="804"/>
      <c r="CP68" s="804"/>
      <c r="CQ68" s="804"/>
      <c r="CR68" s="804"/>
      <c r="CS68" s="804"/>
      <c r="CT68" s="804"/>
      <c r="CU68" s="788"/>
      <c r="CV68" s="108">
        <f t="shared" si="14"/>
        <v>0</v>
      </c>
      <c r="CW68" s="816">
        <v>22</v>
      </c>
      <c r="CX68" s="817"/>
      <c r="CY68" s="817"/>
      <c r="CZ68" s="817"/>
      <c r="DA68" s="817"/>
      <c r="DB68" s="817"/>
      <c r="DC68" s="817"/>
      <c r="DD68" s="817"/>
      <c r="DE68" s="227">
        <f t="shared" si="6"/>
        <v>22</v>
      </c>
      <c r="DF68" s="803"/>
      <c r="DG68" s="804"/>
      <c r="DH68" s="804"/>
      <c r="DI68" s="804"/>
      <c r="DJ68" s="804"/>
      <c r="DK68" s="804"/>
      <c r="DL68" s="804"/>
      <c r="DM68" s="788"/>
      <c r="DN68" s="120">
        <f t="shared" si="15"/>
        <v>0</v>
      </c>
      <c r="DO68" s="109">
        <f t="shared" si="1"/>
        <v>23</v>
      </c>
      <c r="DP68" s="126"/>
    </row>
    <row r="69" spans="2:120" ht="214.5" customHeight="1">
      <c r="B69" s="786"/>
      <c r="C69" s="786"/>
      <c r="D69" s="789"/>
      <c r="E69" s="790"/>
      <c r="F69" s="786"/>
      <c r="G69" s="786"/>
      <c r="H69" s="786"/>
      <c r="I69" s="786"/>
      <c r="J69" s="111" t="s">
        <v>66</v>
      </c>
      <c r="K69" s="791"/>
      <c r="L69" s="792"/>
      <c r="M69" s="792"/>
      <c r="N69" s="792"/>
      <c r="O69" s="792"/>
      <c r="P69" s="792"/>
      <c r="Q69" s="792"/>
      <c r="R69" s="793"/>
      <c r="S69" s="113">
        <f t="shared" si="7"/>
        <v>0</v>
      </c>
      <c r="T69" s="791"/>
      <c r="U69" s="792"/>
      <c r="V69" s="792"/>
      <c r="W69" s="792"/>
      <c r="X69" s="792"/>
      <c r="Y69" s="792"/>
      <c r="Z69" s="792"/>
      <c r="AA69" s="793"/>
      <c r="AB69" s="113">
        <f t="shared" si="8"/>
        <v>0</v>
      </c>
      <c r="AC69" s="791"/>
      <c r="AD69" s="792"/>
      <c r="AE69" s="792"/>
      <c r="AF69" s="792"/>
      <c r="AG69" s="792"/>
      <c r="AH69" s="792"/>
      <c r="AI69" s="792"/>
      <c r="AJ69" s="793"/>
      <c r="AK69" s="113">
        <f t="shared" si="9"/>
        <v>0</v>
      </c>
      <c r="AL69" s="791"/>
      <c r="AM69" s="792"/>
      <c r="AN69" s="792"/>
      <c r="AO69" s="792"/>
      <c r="AP69" s="792"/>
      <c r="AQ69" s="792"/>
      <c r="AR69" s="792"/>
      <c r="AS69" s="792"/>
      <c r="AT69" s="122">
        <f t="shared" si="10"/>
        <v>0</v>
      </c>
      <c r="AU69" s="123">
        <v>40</v>
      </c>
      <c r="AV69" s="123">
        <v>30</v>
      </c>
      <c r="AW69" s="123">
        <v>54</v>
      </c>
      <c r="AX69" s="123">
        <v>26</v>
      </c>
      <c r="AY69" s="123">
        <v>0</v>
      </c>
      <c r="AZ69" s="123">
        <v>0</v>
      </c>
      <c r="BA69" s="123">
        <v>0</v>
      </c>
      <c r="BB69" s="123">
        <v>0</v>
      </c>
      <c r="BC69" s="115">
        <f t="shared" si="3"/>
        <v>150</v>
      </c>
      <c r="BD69" s="809"/>
      <c r="BE69" s="810"/>
      <c r="BF69" s="810"/>
      <c r="BG69" s="810"/>
      <c r="BH69" s="810"/>
      <c r="BI69" s="810"/>
      <c r="BJ69" s="810"/>
      <c r="BK69" s="810"/>
      <c r="BL69" s="122">
        <f t="shared" si="11"/>
        <v>0</v>
      </c>
      <c r="BM69" s="809"/>
      <c r="BN69" s="810"/>
      <c r="BO69" s="810"/>
      <c r="BP69" s="810"/>
      <c r="BQ69" s="810"/>
      <c r="BR69" s="810"/>
      <c r="BS69" s="810"/>
      <c r="BT69" s="810"/>
      <c r="BU69" s="122">
        <f t="shared" si="12"/>
        <v>0</v>
      </c>
      <c r="BV69" s="809">
        <v>213</v>
      </c>
      <c r="BW69" s="810"/>
      <c r="BX69" s="810"/>
      <c r="BY69" s="810"/>
      <c r="BZ69" s="810"/>
      <c r="CA69" s="810"/>
      <c r="CB69" s="810"/>
      <c r="CC69" s="810"/>
      <c r="CD69" s="122">
        <f t="shared" si="13"/>
        <v>213</v>
      </c>
      <c r="CE69" s="803"/>
      <c r="CF69" s="804"/>
      <c r="CG69" s="804"/>
      <c r="CH69" s="804"/>
      <c r="CI69" s="804"/>
      <c r="CJ69" s="804"/>
      <c r="CK69" s="804"/>
      <c r="CL69" s="788"/>
      <c r="CM69" s="108">
        <f t="shared" si="0"/>
        <v>0</v>
      </c>
      <c r="CN69" s="814">
        <v>174</v>
      </c>
      <c r="CO69" s="815"/>
      <c r="CP69" s="815"/>
      <c r="CQ69" s="815"/>
      <c r="CR69" s="815"/>
      <c r="CS69" s="815"/>
      <c r="CT69" s="815"/>
      <c r="CU69" s="815"/>
      <c r="CV69" s="127">
        <f t="shared" si="14"/>
        <v>174</v>
      </c>
      <c r="CW69" s="134"/>
      <c r="CX69" s="134"/>
      <c r="CY69" s="134"/>
      <c r="CZ69" s="135"/>
      <c r="DA69" s="135"/>
      <c r="DB69" s="135"/>
      <c r="DC69" s="135"/>
      <c r="DD69" s="135"/>
      <c r="DE69" s="135"/>
      <c r="DF69" s="814">
        <v>135</v>
      </c>
      <c r="DG69" s="815"/>
      <c r="DH69" s="815"/>
      <c r="DI69" s="815"/>
      <c r="DJ69" s="815"/>
      <c r="DK69" s="815"/>
      <c r="DL69" s="815"/>
      <c r="DM69" s="815"/>
      <c r="DN69" s="127">
        <f t="shared" si="15"/>
        <v>135</v>
      </c>
      <c r="DO69" s="109">
        <f t="shared" si="1"/>
        <v>672</v>
      </c>
      <c r="DP69" s="128"/>
    </row>
    <row r="70" spans="2:120" ht="89.45" customHeight="1">
      <c r="B70" s="818"/>
      <c r="C70" s="782"/>
      <c r="D70" s="819"/>
      <c r="E70" s="782"/>
      <c r="F70" s="129"/>
      <c r="G70" s="94"/>
      <c r="H70" s="94"/>
      <c r="I70" s="94"/>
      <c r="J70" s="130"/>
      <c r="K70" s="95"/>
      <c r="L70" s="95"/>
      <c r="M70" s="96"/>
      <c r="N70" s="96"/>
      <c r="O70" s="96"/>
      <c r="P70" s="96"/>
      <c r="Q70" s="96"/>
      <c r="R70" s="96"/>
      <c r="S70" s="96"/>
      <c r="BB70" s="131"/>
      <c r="BC70" s="132"/>
      <c r="BD70" s="131"/>
      <c r="BE70" s="131"/>
      <c r="BF70" s="131"/>
      <c r="BG70" s="131"/>
      <c r="BH70" s="131"/>
      <c r="BI70" s="131"/>
      <c r="BJ70" s="131"/>
      <c r="BK70" s="131"/>
      <c r="BL70" s="131"/>
      <c r="BM70" s="131"/>
      <c r="BN70" s="131"/>
      <c r="BO70" s="131"/>
      <c r="BP70" s="131"/>
      <c r="BQ70" s="131"/>
      <c r="BR70" s="131"/>
      <c r="BS70" s="131"/>
      <c r="BT70" s="131"/>
      <c r="BU70" s="131"/>
      <c r="BV70" s="131"/>
      <c r="BW70" s="131"/>
      <c r="BX70" s="131"/>
      <c r="BY70" s="131"/>
      <c r="BZ70" s="131"/>
      <c r="CA70" s="131"/>
      <c r="CB70" s="131"/>
      <c r="CC70" s="131"/>
      <c r="CD70" s="131"/>
      <c r="CE70" s="820"/>
      <c r="CF70" s="821"/>
      <c r="CG70" s="821"/>
      <c r="CH70" s="821"/>
      <c r="CI70" s="821"/>
      <c r="CJ70" s="821"/>
      <c r="CK70" s="821"/>
      <c r="CL70" s="821"/>
      <c r="CM70" s="133"/>
      <c r="CN70" s="134"/>
      <c r="CO70" s="134"/>
      <c r="CP70" s="134"/>
      <c r="CQ70" s="134"/>
      <c r="CR70" s="134"/>
      <c r="CS70" s="134"/>
      <c r="CT70" s="134"/>
      <c r="CU70" s="134"/>
      <c r="CV70" s="134"/>
      <c r="DF70" s="134"/>
      <c r="DG70" s="134"/>
      <c r="DH70" s="134"/>
      <c r="DI70" s="135"/>
      <c r="DJ70" s="135"/>
      <c r="DK70" s="135"/>
      <c r="DL70" s="135"/>
      <c r="DM70" s="135"/>
      <c r="DN70" s="135"/>
      <c r="DO70" s="136"/>
    </row>
    <row r="71" spans="2:120" ht="218.25" customHeight="1">
      <c r="B71" s="822" t="s">
        <v>70</v>
      </c>
      <c r="C71" s="768"/>
      <c r="D71" s="94"/>
      <c r="E71" s="94"/>
      <c r="F71" s="94"/>
      <c r="G71" s="822" t="s">
        <v>71</v>
      </c>
      <c r="H71" s="768"/>
      <c r="I71" s="768"/>
      <c r="J71" s="768"/>
      <c r="K71" s="95"/>
      <c r="L71" s="95"/>
      <c r="M71" s="96"/>
      <c r="N71" s="96"/>
      <c r="O71" s="96"/>
      <c r="P71" s="96"/>
      <c r="Q71" s="96"/>
      <c r="R71" s="96"/>
      <c r="S71" s="96"/>
      <c r="DO71" s="99"/>
    </row>
    <row r="72" spans="2:120" ht="15.75" customHeight="1">
      <c r="B72" s="94"/>
      <c r="C72" s="94"/>
      <c r="D72" s="94"/>
      <c r="E72" s="94"/>
      <c r="F72" s="94"/>
      <c r="G72" s="94"/>
      <c r="H72" s="94"/>
      <c r="I72" s="94"/>
      <c r="J72" s="94"/>
      <c r="K72" s="95"/>
      <c r="L72" s="95"/>
      <c r="M72" s="96"/>
      <c r="N72" s="96"/>
      <c r="O72" s="96"/>
      <c r="P72" s="96"/>
      <c r="Q72" s="96"/>
      <c r="R72" s="96"/>
      <c r="S72" s="96"/>
      <c r="DO72" s="99"/>
    </row>
    <row r="73" spans="2:120" ht="139.5" customHeight="1">
      <c r="B73" s="94"/>
      <c r="C73" s="94"/>
      <c r="D73" s="94"/>
      <c r="E73" s="94"/>
      <c r="F73" s="94"/>
      <c r="G73" s="94"/>
      <c r="H73" s="94"/>
      <c r="I73" s="94"/>
      <c r="J73" s="94"/>
      <c r="K73" s="95"/>
      <c r="L73" s="95"/>
      <c r="M73" s="96"/>
      <c r="N73" s="96"/>
      <c r="O73" s="96"/>
      <c r="P73" s="96"/>
      <c r="Q73" s="96"/>
      <c r="R73" s="96"/>
      <c r="S73" s="96"/>
      <c r="DO73" s="99"/>
    </row>
    <row r="74" spans="2:120" ht="15.75" customHeight="1">
      <c r="B74" s="94"/>
      <c r="C74" s="94"/>
      <c r="D74" s="94"/>
      <c r="E74" s="94"/>
      <c r="F74" s="94"/>
      <c r="G74" s="94"/>
      <c r="H74" s="94"/>
      <c r="I74" s="94"/>
      <c r="J74" s="94"/>
      <c r="K74" s="95"/>
      <c r="L74" s="95"/>
      <c r="M74" s="96"/>
      <c r="N74" s="96"/>
      <c r="O74" s="96"/>
      <c r="P74" s="96"/>
      <c r="Q74" s="96"/>
      <c r="R74" s="96"/>
      <c r="S74" s="96"/>
      <c r="DO74" s="99"/>
    </row>
    <row r="75" spans="2:120" ht="15.75" customHeight="1">
      <c r="B75" s="94"/>
      <c r="C75" s="94"/>
      <c r="D75" s="94"/>
      <c r="E75" s="94"/>
      <c r="F75" s="94"/>
      <c r="G75" s="94"/>
      <c r="H75" s="94"/>
      <c r="I75" s="94"/>
      <c r="J75" s="94"/>
      <c r="K75" s="95"/>
      <c r="L75" s="95"/>
      <c r="M75" s="96"/>
      <c r="N75" s="96"/>
      <c r="O75" s="96"/>
      <c r="P75" s="96"/>
      <c r="Q75" s="96"/>
      <c r="R75" s="96"/>
      <c r="S75" s="96"/>
      <c r="DO75" s="99"/>
    </row>
    <row r="76" spans="2:120" ht="15.75" customHeight="1">
      <c r="B76" s="94"/>
      <c r="C76" s="94"/>
      <c r="D76" s="94"/>
      <c r="E76" s="94"/>
      <c r="F76" s="94"/>
      <c r="G76" s="94"/>
      <c r="H76" s="94"/>
      <c r="I76" s="94"/>
      <c r="J76" s="94"/>
      <c r="K76" s="95"/>
      <c r="L76" s="95"/>
      <c r="M76" s="96"/>
      <c r="N76" s="96"/>
      <c r="O76" s="96"/>
      <c r="P76" s="96"/>
      <c r="Q76" s="96"/>
      <c r="R76" s="96"/>
      <c r="S76" s="96"/>
      <c r="DO76" s="99"/>
    </row>
    <row r="77" spans="2:120" ht="15.75" customHeight="1">
      <c r="B77" s="94"/>
      <c r="C77" s="94"/>
      <c r="D77" s="94"/>
      <c r="E77" s="94"/>
      <c r="F77" s="94"/>
      <c r="G77" s="94"/>
      <c r="H77" s="94"/>
      <c r="I77" s="94"/>
      <c r="J77" s="94"/>
      <c r="K77" s="95"/>
      <c r="L77" s="95"/>
      <c r="M77" s="96"/>
      <c r="N77" s="96"/>
      <c r="O77" s="96"/>
      <c r="P77" s="96"/>
      <c r="Q77" s="96"/>
      <c r="R77" s="96"/>
      <c r="S77" s="96"/>
      <c r="DO77" s="99"/>
    </row>
    <row r="78" spans="2:120" ht="15.75" customHeight="1">
      <c r="B78" s="94"/>
      <c r="C78" s="94"/>
      <c r="D78" s="94"/>
      <c r="E78" s="94"/>
      <c r="F78" s="94"/>
      <c r="G78" s="94"/>
      <c r="H78" s="94"/>
      <c r="I78" s="94"/>
      <c r="J78" s="94"/>
      <c r="K78" s="95"/>
      <c r="L78" s="95"/>
      <c r="M78" s="96"/>
      <c r="N78" s="96"/>
      <c r="O78" s="96"/>
      <c r="P78" s="96"/>
      <c r="Q78" s="96"/>
      <c r="R78" s="96"/>
      <c r="S78" s="96"/>
      <c r="DO78" s="99"/>
    </row>
    <row r="79" spans="2:120" ht="15.75" customHeight="1">
      <c r="B79" s="94"/>
      <c r="C79" s="94"/>
      <c r="D79" s="94"/>
      <c r="E79" s="94"/>
      <c r="F79" s="94"/>
      <c r="G79" s="94"/>
      <c r="H79" s="94"/>
      <c r="I79" s="94"/>
      <c r="J79" s="94"/>
      <c r="K79" s="95"/>
      <c r="L79" s="95"/>
      <c r="M79" s="96"/>
      <c r="N79" s="96"/>
      <c r="O79" s="96"/>
      <c r="P79" s="96"/>
      <c r="Q79" s="96"/>
      <c r="R79" s="96"/>
      <c r="S79" s="96"/>
      <c r="DO79" s="99"/>
    </row>
    <row r="80" spans="2:120" ht="15.75" customHeight="1">
      <c r="B80" s="94"/>
      <c r="C80" s="94"/>
      <c r="D80" s="94"/>
      <c r="E80" s="94"/>
      <c r="F80" s="94"/>
      <c r="G80" s="94"/>
      <c r="H80" s="94"/>
      <c r="I80" s="94"/>
      <c r="J80" s="94"/>
      <c r="K80" s="95"/>
      <c r="L80" s="95"/>
      <c r="M80" s="96"/>
      <c r="N80" s="96"/>
      <c r="O80" s="96"/>
      <c r="P80" s="96"/>
      <c r="Q80" s="96"/>
      <c r="R80" s="96"/>
      <c r="S80" s="96"/>
      <c r="DO80" s="99"/>
    </row>
    <row r="81" spans="2:119" ht="15.75" customHeight="1">
      <c r="B81" s="94"/>
      <c r="C81" s="94"/>
      <c r="D81" s="94"/>
      <c r="E81" s="94"/>
      <c r="F81" s="94"/>
      <c r="G81" s="94"/>
      <c r="H81" s="94"/>
      <c r="I81" s="94"/>
      <c r="J81" s="94"/>
      <c r="K81" s="95"/>
      <c r="L81" s="95"/>
      <c r="M81" s="96"/>
      <c r="N81" s="96"/>
      <c r="O81" s="96"/>
      <c r="P81" s="96"/>
      <c r="Q81" s="96"/>
      <c r="R81" s="96"/>
      <c r="S81" s="96"/>
      <c r="DO81" s="99"/>
    </row>
    <row r="82" spans="2:119" ht="15.75" customHeight="1">
      <c r="B82" s="94"/>
      <c r="C82" s="94"/>
      <c r="D82" s="94"/>
      <c r="E82" s="94"/>
      <c r="F82" s="94"/>
      <c r="G82" s="94"/>
      <c r="H82" s="94"/>
      <c r="I82" s="94"/>
      <c r="J82" s="94"/>
      <c r="K82" s="95"/>
      <c r="L82" s="95"/>
      <c r="M82" s="96"/>
      <c r="N82" s="96"/>
      <c r="O82" s="96"/>
      <c r="P82" s="96"/>
      <c r="Q82" s="96"/>
      <c r="R82" s="96"/>
      <c r="S82" s="96"/>
      <c r="DO82" s="99"/>
    </row>
    <row r="83" spans="2:119" ht="15.75" customHeight="1">
      <c r="B83" s="94"/>
      <c r="C83" s="94"/>
      <c r="D83" s="94"/>
      <c r="E83" s="94"/>
      <c r="F83" s="94"/>
      <c r="G83" s="94"/>
      <c r="H83" s="94"/>
      <c r="I83" s="94"/>
      <c r="J83" s="94"/>
      <c r="K83" s="95"/>
      <c r="L83" s="95"/>
      <c r="M83" s="96"/>
      <c r="N83" s="96"/>
      <c r="O83" s="96"/>
      <c r="P83" s="96"/>
      <c r="Q83" s="96"/>
      <c r="R83" s="96"/>
      <c r="S83" s="96"/>
      <c r="DO83" s="99"/>
    </row>
    <row r="84" spans="2:119" ht="15.75" customHeight="1">
      <c r="B84" s="94"/>
      <c r="C84" s="94"/>
      <c r="D84" s="94"/>
      <c r="E84" s="94"/>
      <c r="F84" s="94"/>
      <c r="G84" s="94"/>
      <c r="H84" s="94"/>
      <c r="I84" s="94"/>
      <c r="J84" s="94"/>
      <c r="K84" s="95"/>
      <c r="L84" s="95"/>
      <c r="M84" s="96"/>
      <c r="N84" s="96"/>
      <c r="O84" s="96"/>
      <c r="P84" s="96"/>
      <c r="Q84" s="96"/>
      <c r="R84" s="96"/>
      <c r="S84" s="96"/>
      <c r="DO84" s="99"/>
    </row>
    <row r="85" spans="2:119" ht="15.75" customHeight="1">
      <c r="B85" s="94"/>
      <c r="C85" s="94"/>
      <c r="D85" s="94"/>
      <c r="E85" s="94"/>
      <c r="F85" s="94"/>
      <c r="G85" s="94"/>
      <c r="H85" s="94"/>
      <c r="I85" s="94"/>
      <c r="J85" s="94"/>
      <c r="K85" s="95"/>
      <c r="L85" s="95"/>
      <c r="M85" s="96"/>
      <c r="N85" s="96"/>
      <c r="O85" s="96"/>
      <c r="P85" s="96"/>
      <c r="Q85" s="96"/>
      <c r="R85" s="96"/>
      <c r="S85" s="96"/>
      <c r="DO85" s="99"/>
    </row>
    <row r="86" spans="2:119" ht="15.75" customHeight="1">
      <c r="B86" s="94"/>
      <c r="C86" s="94"/>
      <c r="D86" s="94"/>
      <c r="E86" s="94"/>
      <c r="F86" s="94"/>
      <c r="G86" s="94"/>
      <c r="H86" s="94"/>
      <c r="I86" s="94"/>
      <c r="J86" s="94"/>
      <c r="K86" s="95"/>
      <c r="L86" s="95"/>
      <c r="M86" s="96"/>
      <c r="N86" s="96"/>
      <c r="O86" s="96"/>
      <c r="P86" s="96"/>
      <c r="Q86" s="96"/>
      <c r="R86" s="96"/>
      <c r="S86" s="96"/>
      <c r="DO86" s="99"/>
    </row>
    <row r="87" spans="2:119" ht="15.75" customHeight="1">
      <c r="B87" s="94"/>
      <c r="C87" s="94"/>
      <c r="D87" s="94"/>
      <c r="E87" s="94"/>
      <c r="F87" s="94"/>
      <c r="G87" s="94"/>
      <c r="H87" s="94"/>
      <c r="I87" s="94"/>
      <c r="J87" s="94"/>
      <c r="K87" s="95"/>
      <c r="L87" s="95"/>
      <c r="M87" s="96"/>
      <c r="N87" s="96"/>
      <c r="O87" s="96"/>
      <c r="P87" s="96"/>
      <c r="Q87" s="96"/>
      <c r="R87" s="96"/>
      <c r="S87" s="96"/>
      <c r="DO87" s="99"/>
    </row>
    <row r="88" spans="2:119" ht="15.75" customHeight="1">
      <c r="B88" s="94"/>
      <c r="C88" s="94"/>
      <c r="D88" s="94"/>
      <c r="E88" s="94"/>
      <c r="F88" s="94"/>
      <c r="G88" s="94"/>
      <c r="H88" s="94"/>
      <c r="I88" s="94"/>
      <c r="J88" s="94"/>
      <c r="K88" s="95"/>
      <c r="L88" s="95"/>
      <c r="M88" s="96"/>
      <c r="N88" s="96"/>
      <c r="O88" s="96"/>
      <c r="P88" s="96"/>
      <c r="Q88" s="96"/>
      <c r="R88" s="96"/>
      <c r="S88" s="96"/>
      <c r="DO88" s="99"/>
    </row>
    <row r="89" spans="2:119" ht="15.75" customHeight="1">
      <c r="B89" s="94"/>
      <c r="C89" s="94"/>
      <c r="D89" s="94"/>
      <c r="E89" s="94"/>
      <c r="F89" s="94"/>
      <c r="G89" s="94"/>
      <c r="H89" s="94"/>
      <c r="I89" s="94"/>
      <c r="J89" s="94"/>
      <c r="K89" s="95"/>
      <c r="L89" s="95"/>
      <c r="M89" s="96"/>
      <c r="N89" s="96"/>
      <c r="O89" s="96"/>
      <c r="P89" s="96"/>
      <c r="Q89" s="96"/>
      <c r="R89" s="96"/>
      <c r="S89" s="96"/>
      <c r="DO89" s="99"/>
    </row>
    <row r="90" spans="2:119" ht="15.75" customHeight="1">
      <c r="B90" s="94"/>
      <c r="C90" s="94"/>
      <c r="D90" s="94"/>
      <c r="E90" s="94"/>
      <c r="F90" s="94"/>
      <c r="G90" s="94"/>
      <c r="H90" s="94"/>
      <c r="I90" s="94"/>
      <c r="J90" s="94"/>
      <c r="K90" s="95"/>
      <c r="L90" s="95"/>
      <c r="M90" s="96"/>
      <c r="N90" s="96"/>
      <c r="O90" s="96"/>
      <c r="P90" s="96"/>
      <c r="Q90" s="96"/>
      <c r="R90" s="96"/>
      <c r="S90" s="96"/>
      <c r="DO90" s="99"/>
    </row>
    <row r="91" spans="2:119" ht="15.75" customHeight="1">
      <c r="B91" s="94"/>
      <c r="C91" s="94"/>
      <c r="D91" s="94"/>
      <c r="E91" s="94"/>
      <c r="F91" s="94"/>
      <c r="G91" s="94"/>
      <c r="H91" s="94"/>
      <c r="I91" s="94"/>
      <c r="J91" s="94"/>
      <c r="K91" s="95"/>
      <c r="L91" s="95"/>
      <c r="M91" s="96"/>
      <c r="N91" s="96"/>
      <c r="O91" s="96"/>
      <c r="P91" s="96"/>
      <c r="Q91" s="96"/>
      <c r="R91" s="96"/>
      <c r="S91" s="96"/>
      <c r="DO91" s="99"/>
    </row>
    <row r="92" spans="2:119" ht="15.75" customHeight="1">
      <c r="B92" s="94"/>
      <c r="C92" s="94"/>
      <c r="D92" s="94"/>
      <c r="E92" s="94"/>
      <c r="F92" s="94"/>
      <c r="G92" s="94"/>
      <c r="H92" s="94"/>
      <c r="I92" s="94"/>
      <c r="J92" s="94"/>
      <c r="K92" s="95"/>
      <c r="L92" s="95"/>
      <c r="M92" s="96"/>
      <c r="N92" s="96"/>
      <c r="O92" s="96"/>
      <c r="P92" s="96"/>
      <c r="Q92" s="96"/>
      <c r="R92" s="96"/>
      <c r="S92" s="96"/>
      <c r="DO92" s="99"/>
    </row>
    <row r="93" spans="2:119" ht="15.75" customHeight="1">
      <c r="B93" s="94"/>
      <c r="C93" s="94"/>
      <c r="D93" s="94"/>
      <c r="E93" s="94"/>
      <c r="F93" s="94"/>
      <c r="G93" s="94"/>
      <c r="H93" s="94"/>
      <c r="I93" s="94"/>
      <c r="J93" s="94"/>
      <c r="K93" s="95"/>
      <c r="L93" s="95"/>
      <c r="M93" s="96"/>
      <c r="N93" s="96"/>
      <c r="O93" s="96"/>
      <c r="P93" s="96"/>
      <c r="Q93" s="96"/>
      <c r="R93" s="96"/>
      <c r="S93" s="96"/>
      <c r="DO93" s="99"/>
    </row>
    <row r="94" spans="2:119" ht="15.75" customHeight="1">
      <c r="B94" s="94"/>
      <c r="C94" s="94"/>
      <c r="D94" s="94"/>
      <c r="E94" s="94"/>
      <c r="F94" s="94"/>
      <c r="G94" s="94"/>
      <c r="H94" s="94"/>
      <c r="I94" s="94"/>
      <c r="J94" s="94"/>
      <c r="K94" s="95"/>
      <c r="L94" s="95"/>
      <c r="M94" s="96"/>
      <c r="N94" s="96"/>
      <c r="O94" s="96"/>
      <c r="P94" s="96"/>
      <c r="Q94" s="96"/>
      <c r="R94" s="96"/>
      <c r="S94" s="96"/>
      <c r="DO94" s="99"/>
    </row>
    <row r="95" spans="2:119" ht="15.75" customHeight="1">
      <c r="B95" s="94"/>
      <c r="C95" s="94"/>
      <c r="D95" s="94"/>
      <c r="E95" s="94"/>
      <c r="F95" s="94"/>
      <c r="G95" s="94"/>
      <c r="H95" s="94"/>
      <c r="I95" s="94"/>
      <c r="J95" s="94"/>
      <c r="K95" s="95"/>
      <c r="L95" s="95"/>
      <c r="M95" s="96"/>
      <c r="N95" s="96"/>
      <c r="O95" s="96"/>
      <c r="P95" s="96"/>
      <c r="Q95" s="96"/>
      <c r="R95" s="96"/>
      <c r="S95" s="96"/>
      <c r="DO95" s="99"/>
    </row>
    <row r="96" spans="2:119" ht="15.75" customHeight="1">
      <c r="B96" s="94"/>
      <c r="C96" s="94"/>
      <c r="D96" s="94"/>
      <c r="E96" s="94"/>
      <c r="F96" s="94"/>
      <c r="G96" s="94"/>
      <c r="H96" s="94"/>
      <c r="I96" s="94"/>
      <c r="J96" s="94"/>
      <c r="K96" s="95"/>
      <c r="L96" s="95"/>
      <c r="M96" s="96"/>
      <c r="N96" s="96"/>
      <c r="O96" s="96"/>
      <c r="P96" s="96"/>
      <c r="Q96" s="96"/>
      <c r="R96" s="96"/>
      <c r="S96" s="96"/>
      <c r="DO96" s="99"/>
    </row>
    <row r="97" spans="2:119" ht="15.75" customHeight="1">
      <c r="B97" s="94"/>
      <c r="C97" s="94"/>
      <c r="D97" s="94"/>
      <c r="E97" s="94"/>
      <c r="F97" s="94"/>
      <c r="G97" s="94"/>
      <c r="H97" s="94"/>
      <c r="I97" s="94"/>
      <c r="J97" s="94"/>
      <c r="K97" s="95"/>
      <c r="L97" s="95"/>
      <c r="M97" s="96"/>
      <c r="N97" s="96"/>
      <c r="O97" s="96"/>
      <c r="P97" s="96"/>
      <c r="Q97" s="96"/>
      <c r="R97" s="96"/>
      <c r="S97" s="96"/>
      <c r="DO97" s="99"/>
    </row>
    <row r="98" spans="2:119" ht="15.75" customHeight="1">
      <c r="B98" s="94"/>
      <c r="C98" s="94"/>
      <c r="D98" s="94"/>
      <c r="E98" s="94"/>
      <c r="F98" s="94"/>
      <c r="G98" s="94"/>
      <c r="H98" s="94"/>
      <c r="I98" s="94"/>
      <c r="J98" s="94"/>
      <c r="K98" s="95"/>
      <c r="L98" s="95"/>
      <c r="M98" s="96"/>
      <c r="N98" s="96"/>
      <c r="O98" s="96"/>
      <c r="P98" s="96"/>
      <c r="Q98" s="96"/>
      <c r="R98" s="96"/>
      <c r="S98" s="96"/>
      <c r="DO98" s="99"/>
    </row>
    <row r="99" spans="2:119" ht="15.75" customHeight="1">
      <c r="B99" s="94"/>
      <c r="C99" s="94"/>
      <c r="D99" s="94"/>
      <c r="E99" s="94"/>
      <c r="F99" s="94"/>
      <c r="G99" s="94"/>
      <c r="H99" s="94"/>
      <c r="I99" s="94"/>
      <c r="J99" s="94"/>
      <c r="K99" s="95"/>
      <c r="L99" s="95"/>
      <c r="M99" s="96"/>
      <c r="N99" s="96"/>
      <c r="O99" s="96"/>
      <c r="P99" s="96"/>
      <c r="Q99" s="96"/>
      <c r="R99" s="96"/>
      <c r="S99" s="96"/>
      <c r="DO99" s="99"/>
    </row>
    <row r="100" spans="2:119" ht="15.75" customHeight="1">
      <c r="B100" s="94"/>
      <c r="C100" s="94"/>
      <c r="D100" s="94"/>
      <c r="E100" s="94"/>
      <c r="F100" s="94"/>
      <c r="G100" s="94"/>
      <c r="H100" s="94"/>
      <c r="I100" s="94"/>
      <c r="J100" s="94"/>
      <c r="K100" s="95"/>
      <c r="L100" s="95"/>
      <c r="M100" s="96"/>
      <c r="N100" s="96"/>
      <c r="O100" s="96"/>
      <c r="P100" s="96"/>
      <c r="Q100" s="96"/>
      <c r="R100" s="96"/>
      <c r="S100" s="96"/>
      <c r="DO100" s="99"/>
    </row>
    <row r="101" spans="2:119" ht="15.75" customHeight="1">
      <c r="B101" s="94"/>
      <c r="C101" s="94"/>
      <c r="D101" s="94"/>
      <c r="E101" s="94"/>
      <c r="F101" s="94"/>
      <c r="G101" s="94"/>
      <c r="H101" s="94"/>
      <c r="I101" s="94"/>
      <c r="J101" s="94"/>
      <c r="K101" s="95"/>
      <c r="L101" s="95"/>
      <c r="M101" s="96"/>
      <c r="N101" s="96"/>
      <c r="O101" s="96"/>
      <c r="P101" s="96"/>
      <c r="Q101" s="96"/>
      <c r="R101" s="96"/>
      <c r="S101" s="96"/>
      <c r="DO101" s="99"/>
    </row>
    <row r="102" spans="2:119" ht="15.75" customHeight="1">
      <c r="B102" s="94"/>
      <c r="C102" s="94"/>
      <c r="D102" s="94"/>
      <c r="E102" s="94"/>
      <c r="F102" s="94"/>
      <c r="G102" s="94"/>
      <c r="H102" s="94"/>
      <c r="I102" s="94"/>
      <c r="J102" s="94"/>
      <c r="K102" s="95"/>
      <c r="L102" s="95"/>
      <c r="M102" s="96"/>
      <c r="N102" s="96"/>
      <c r="O102" s="96"/>
      <c r="P102" s="96"/>
      <c r="Q102" s="96"/>
      <c r="R102" s="96"/>
      <c r="S102" s="96"/>
      <c r="DO102" s="99"/>
    </row>
    <row r="103" spans="2:119" ht="15.75" customHeight="1">
      <c r="B103" s="94"/>
      <c r="C103" s="94"/>
      <c r="D103" s="94"/>
      <c r="E103" s="94"/>
      <c r="F103" s="94"/>
      <c r="G103" s="94"/>
      <c r="H103" s="94"/>
      <c r="I103" s="94"/>
      <c r="J103" s="94"/>
      <c r="K103" s="95"/>
      <c r="L103" s="95"/>
      <c r="M103" s="96"/>
      <c r="N103" s="96"/>
      <c r="O103" s="96"/>
      <c r="P103" s="96"/>
      <c r="Q103" s="96"/>
      <c r="R103" s="96"/>
      <c r="S103" s="96"/>
      <c r="DO103" s="99"/>
    </row>
    <row r="104" spans="2:119" ht="15.75" customHeight="1">
      <c r="B104" s="94"/>
      <c r="C104" s="94"/>
      <c r="D104" s="94"/>
      <c r="E104" s="94"/>
      <c r="F104" s="94"/>
      <c r="G104" s="94"/>
      <c r="H104" s="94"/>
      <c r="I104" s="94"/>
      <c r="J104" s="94"/>
      <c r="K104" s="95"/>
      <c r="L104" s="95"/>
      <c r="M104" s="96"/>
      <c r="N104" s="96"/>
      <c r="O104" s="96"/>
      <c r="P104" s="96"/>
      <c r="Q104" s="96"/>
      <c r="R104" s="96"/>
      <c r="S104" s="96"/>
      <c r="DO104" s="99"/>
    </row>
    <row r="105" spans="2:119" ht="15.75" customHeight="1">
      <c r="B105" s="94"/>
      <c r="C105" s="94"/>
      <c r="D105" s="94"/>
      <c r="E105" s="94"/>
      <c r="F105" s="94"/>
      <c r="G105" s="94"/>
      <c r="H105" s="94"/>
      <c r="I105" s="94"/>
      <c r="J105" s="94"/>
      <c r="K105" s="95"/>
      <c r="L105" s="95"/>
      <c r="M105" s="96"/>
      <c r="N105" s="96"/>
      <c r="O105" s="96"/>
      <c r="P105" s="96"/>
      <c r="Q105" s="96"/>
      <c r="R105" s="96"/>
      <c r="S105" s="96"/>
      <c r="DO105" s="99"/>
    </row>
    <row r="106" spans="2:119" ht="15.75" customHeight="1">
      <c r="B106" s="94"/>
      <c r="C106" s="94"/>
      <c r="D106" s="94"/>
      <c r="E106" s="94"/>
      <c r="F106" s="94"/>
      <c r="G106" s="94"/>
      <c r="H106" s="94"/>
      <c r="I106" s="94"/>
      <c r="J106" s="94"/>
      <c r="K106" s="95"/>
      <c r="L106" s="95"/>
      <c r="M106" s="96"/>
      <c r="N106" s="96"/>
      <c r="O106" s="96"/>
      <c r="P106" s="96"/>
      <c r="Q106" s="96"/>
      <c r="R106" s="96"/>
      <c r="S106" s="96"/>
      <c r="DO106" s="99"/>
    </row>
    <row r="107" spans="2:119" ht="15.75" customHeight="1">
      <c r="B107" s="94"/>
      <c r="C107" s="94"/>
      <c r="D107" s="94"/>
      <c r="E107" s="94"/>
      <c r="F107" s="94"/>
      <c r="G107" s="94"/>
      <c r="H107" s="94"/>
      <c r="I107" s="94"/>
      <c r="J107" s="94"/>
      <c r="K107" s="95"/>
      <c r="L107" s="95"/>
      <c r="M107" s="96"/>
      <c r="N107" s="96"/>
      <c r="O107" s="96"/>
      <c r="P107" s="96"/>
      <c r="Q107" s="96"/>
      <c r="R107" s="96"/>
      <c r="S107" s="96"/>
      <c r="DO107" s="99"/>
    </row>
    <row r="108" spans="2:119" ht="15.75" customHeight="1">
      <c r="B108" s="94"/>
      <c r="C108" s="94"/>
      <c r="D108" s="94"/>
      <c r="E108" s="94"/>
      <c r="F108" s="94"/>
      <c r="G108" s="94"/>
      <c r="H108" s="94"/>
      <c r="I108" s="94"/>
      <c r="J108" s="94"/>
      <c r="K108" s="95"/>
      <c r="L108" s="95"/>
      <c r="M108" s="96"/>
      <c r="N108" s="96"/>
      <c r="O108" s="96"/>
      <c r="P108" s="96"/>
      <c r="Q108" s="96"/>
      <c r="R108" s="96"/>
      <c r="S108" s="96"/>
      <c r="DO108" s="99"/>
    </row>
    <row r="109" spans="2:119" ht="15.75" customHeight="1">
      <c r="B109" s="94"/>
      <c r="C109" s="94"/>
      <c r="D109" s="94"/>
      <c r="E109" s="94"/>
      <c r="F109" s="94"/>
      <c r="G109" s="94"/>
      <c r="H109" s="94"/>
      <c r="I109" s="94"/>
      <c r="J109" s="94"/>
      <c r="K109" s="95"/>
      <c r="L109" s="95"/>
      <c r="M109" s="96"/>
      <c r="N109" s="96"/>
      <c r="O109" s="96"/>
      <c r="P109" s="96"/>
      <c r="Q109" s="96"/>
      <c r="R109" s="96"/>
      <c r="S109" s="96"/>
      <c r="DO109" s="99"/>
    </row>
    <row r="110" spans="2:119" ht="15.75" customHeight="1">
      <c r="B110" s="94"/>
      <c r="C110" s="94"/>
      <c r="D110" s="94"/>
      <c r="E110" s="94"/>
      <c r="F110" s="94"/>
      <c r="G110" s="94"/>
      <c r="H110" s="94"/>
      <c r="I110" s="94"/>
      <c r="J110" s="94"/>
      <c r="K110" s="95"/>
      <c r="L110" s="95"/>
      <c r="M110" s="96"/>
      <c r="N110" s="96"/>
      <c r="O110" s="96"/>
      <c r="P110" s="96"/>
      <c r="Q110" s="96"/>
      <c r="R110" s="96"/>
      <c r="S110" s="96"/>
      <c r="DO110" s="99"/>
    </row>
    <row r="111" spans="2:119" ht="15.75" customHeight="1">
      <c r="B111" s="94"/>
      <c r="C111" s="94"/>
      <c r="D111" s="94"/>
      <c r="E111" s="94"/>
      <c r="F111" s="94"/>
      <c r="G111" s="94"/>
      <c r="H111" s="94"/>
      <c r="I111" s="94"/>
      <c r="J111" s="94"/>
      <c r="K111" s="95"/>
      <c r="L111" s="95"/>
      <c r="M111" s="96"/>
      <c r="N111" s="96"/>
      <c r="O111" s="96"/>
      <c r="P111" s="96"/>
      <c r="Q111" s="96"/>
      <c r="R111" s="96"/>
      <c r="S111" s="96"/>
      <c r="DO111" s="99"/>
    </row>
    <row r="112" spans="2:119" ht="15.75" customHeight="1">
      <c r="B112" s="94"/>
      <c r="C112" s="94"/>
      <c r="D112" s="94"/>
      <c r="E112" s="94"/>
      <c r="F112" s="94"/>
      <c r="G112" s="94"/>
      <c r="H112" s="94"/>
      <c r="I112" s="94"/>
      <c r="J112" s="94"/>
      <c r="K112" s="95"/>
      <c r="L112" s="95"/>
      <c r="M112" s="96"/>
      <c r="N112" s="96"/>
      <c r="O112" s="96"/>
      <c r="P112" s="96"/>
      <c r="Q112" s="96"/>
      <c r="R112" s="96"/>
      <c r="S112" s="96"/>
      <c r="DO112" s="99"/>
    </row>
    <row r="113" spans="2:119" ht="15.75" customHeight="1">
      <c r="B113" s="94"/>
      <c r="C113" s="94"/>
      <c r="D113" s="94"/>
      <c r="E113" s="94"/>
      <c r="F113" s="94"/>
      <c r="G113" s="94"/>
      <c r="H113" s="94"/>
      <c r="I113" s="94"/>
      <c r="J113" s="94"/>
      <c r="K113" s="95"/>
      <c r="L113" s="95"/>
      <c r="M113" s="96"/>
      <c r="N113" s="96"/>
      <c r="O113" s="96"/>
      <c r="P113" s="96"/>
      <c r="Q113" s="96"/>
      <c r="R113" s="96"/>
      <c r="S113" s="96"/>
      <c r="DO113" s="99"/>
    </row>
    <row r="114" spans="2:119" ht="15.75" customHeight="1">
      <c r="B114" s="94"/>
      <c r="C114" s="94"/>
      <c r="D114" s="94"/>
      <c r="E114" s="94"/>
      <c r="F114" s="94"/>
      <c r="G114" s="94"/>
      <c r="H114" s="94"/>
      <c r="I114" s="94"/>
      <c r="J114" s="94"/>
      <c r="K114" s="95"/>
      <c r="L114" s="95"/>
      <c r="M114" s="96"/>
      <c r="N114" s="96"/>
      <c r="O114" s="96"/>
      <c r="P114" s="96"/>
      <c r="Q114" s="96"/>
      <c r="R114" s="96"/>
      <c r="S114" s="96"/>
      <c r="DO114" s="99"/>
    </row>
    <row r="115" spans="2:119" ht="15.75" customHeight="1">
      <c r="B115" s="94"/>
      <c r="C115" s="94"/>
      <c r="D115" s="94"/>
      <c r="E115" s="94"/>
      <c r="F115" s="94"/>
      <c r="G115" s="94"/>
      <c r="H115" s="94"/>
      <c r="I115" s="94"/>
      <c r="J115" s="94"/>
      <c r="K115" s="95"/>
      <c r="L115" s="95"/>
      <c r="M115" s="96"/>
      <c r="N115" s="96"/>
      <c r="O115" s="96"/>
      <c r="P115" s="96"/>
      <c r="Q115" s="96"/>
      <c r="R115" s="96"/>
      <c r="S115" s="96"/>
      <c r="DO115" s="99"/>
    </row>
    <row r="116" spans="2:119" ht="15.75" customHeight="1">
      <c r="B116" s="94"/>
      <c r="C116" s="94"/>
      <c r="D116" s="94"/>
      <c r="E116" s="94"/>
      <c r="F116" s="94"/>
      <c r="G116" s="94"/>
      <c r="H116" s="94"/>
      <c r="I116" s="94"/>
      <c r="J116" s="94"/>
      <c r="K116" s="95"/>
      <c r="L116" s="95"/>
      <c r="M116" s="96"/>
      <c r="N116" s="96"/>
      <c r="O116" s="96"/>
      <c r="P116" s="96"/>
      <c r="Q116" s="96"/>
      <c r="R116" s="96"/>
      <c r="S116" s="96"/>
      <c r="DO116" s="99"/>
    </row>
    <row r="117" spans="2:119" ht="15.75" customHeight="1">
      <c r="B117" s="94"/>
      <c r="C117" s="94"/>
      <c r="D117" s="94"/>
      <c r="E117" s="94"/>
      <c r="F117" s="94"/>
      <c r="G117" s="94"/>
      <c r="H117" s="94"/>
      <c r="I117" s="94"/>
      <c r="J117" s="94"/>
      <c r="K117" s="95"/>
      <c r="L117" s="95"/>
      <c r="M117" s="96"/>
      <c r="N117" s="96"/>
      <c r="O117" s="96"/>
      <c r="P117" s="96"/>
      <c r="Q117" s="96"/>
      <c r="R117" s="96"/>
      <c r="S117" s="96"/>
      <c r="DO117" s="99"/>
    </row>
    <row r="118" spans="2:119" ht="15.75" customHeight="1">
      <c r="B118" s="94"/>
      <c r="C118" s="94"/>
      <c r="D118" s="94"/>
      <c r="E118" s="94"/>
      <c r="F118" s="94"/>
      <c r="G118" s="94"/>
      <c r="H118" s="94"/>
      <c r="I118" s="94"/>
      <c r="J118" s="94"/>
      <c r="K118" s="95"/>
      <c r="L118" s="95"/>
      <c r="M118" s="96"/>
      <c r="N118" s="96"/>
      <c r="O118" s="96"/>
      <c r="P118" s="96"/>
      <c r="Q118" s="96"/>
      <c r="R118" s="96"/>
      <c r="S118" s="96"/>
      <c r="DO118" s="99"/>
    </row>
    <row r="119" spans="2:119" ht="15.75" customHeight="1">
      <c r="B119" s="94"/>
      <c r="C119" s="94"/>
      <c r="D119" s="94"/>
      <c r="E119" s="94"/>
      <c r="F119" s="94"/>
      <c r="G119" s="94"/>
      <c r="H119" s="94"/>
      <c r="I119" s="94"/>
      <c r="J119" s="94"/>
      <c r="K119" s="95"/>
      <c r="L119" s="95"/>
      <c r="M119" s="96"/>
      <c r="N119" s="96"/>
      <c r="O119" s="96"/>
      <c r="P119" s="96"/>
      <c r="Q119" s="96"/>
      <c r="R119" s="96"/>
      <c r="S119" s="96"/>
      <c r="DO119" s="99"/>
    </row>
    <row r="120" spans="2:119" ht="15.75" customHeight="1">
      <c r="B120" s="94"/>
      <c r="C120" s="94"/>
      <c r="D120" s="94"/>
      <c r="E120" s="94"/>
      <c r="F120" s="94"/>
      <c r="G120" s="94"/>
      <c r="H120" s="94"/>
      <c r="I120" s="94"/>
      <c r="J120" s="94"/>
      <c r="K120" s="95"/>
      <c r="L120" s="95"/>
      <c r="M120" s="96"/>
      <c r="N120" s="96"/>
      <c r="O120" s="96"/>
      <c r="P120" s="96"/>
      <c r="Q120" s="96"/>
      <c r="R120" s="96"/>
      <c r="S120" s="96"/>
      <c r="DO120" s="99"/>
    </row>
    <row r="121" spans="2:119" ht="15.75" customHeight="1">
      <c r="B121" s="94"/>
      <c r="C121" s="94"/>
      <c r="D121" s="94"/>
      <c r="E121" s="94"/>
      <c r="F121" s="94"/>
      <c r="G121" s="94"/>
      <c r="H121" s="94"/>
      <c r="I121" s="94"/>
      <c r="J121" s="94"/>
      <c r="K121" s="95"/>
      <c r="L121" s="95"/>
      <c r="M121" s="96"/>
      <c r="N121" s="96"/>
      <c r="O121" s="96"/>
      <c r="P121" s="96"/>
      <c r="Q121" s="96"/>
      <c r="R121" s="96"/>
      <c r="S121" s="96"/>
      <c r="DO121" s="99"/>
    </row>
    <row r="122" spans="2:119" ht="15.75" customHeight="1">
      <c r="B122" s="94"/>
      <c r="C122" s="94"/>
      <c r="D122" s="94"/>
      <c r="E122" s="94"/>
      <c r="F122" s="94"/>
      <c r="G122" s="94"/>
      <c r="H122" s="94"/>
      <c r="I122" s="94"/>
      <c r="J122" s="94"/>
      <c r="K122" s="95"/>
      <c r="L122" s="95"/>
      <c r="M122" s="96"/>
      <c r="N122" s="96"/>
      <c r="O122" s="96"/>
      <c r="P122" s="96"/>
      <c r="Q122" s="96"/>
      <c r="R122" s="96"/>
      <c r="S122" s="96"/>
      <c r="DO122" s="99"/>
    </row>
    <row r="123" spans="2:119" ht="15.75" customHeight="1">
      <c r="B123" s="94"/>
      <c r="C123" s="94"/>
      <c r="D123" s="94"/>
      <c r="E123" s="94"/>
      <c r="F123" s="94"/>
      <c r="G123" s="94"/>
      <c r="H123" s="94"/>
      <c r="I123" s="94"/>
      <c r="J123" s="94"/>
      <c r="K123" s="95"/>
      <c r="L123" s="95"/>
      <c r="M123" s="96"/>
      <c r="N123" s="96"/>
      <c r="O123" s="96"/>
      <c r="P123" s="96"/>
      <c r="Q123" s="96"/>
      <c r="R123" s="96"/>
      <c r="S123" s="96"/>
      <c r="DO123" s="99"/>
    </row>
    <row r="124" spans="2:119" ht="15.75" customHeight="1">
      <c r="B124" s="94"/>
      <c r="C124" s="94"/>
      <c r="D124" s="94"/>
      <c r="E124" s="94"/>
      <c r="F124" s="94"/>
      <c r="G124" s="94"/>
      <c r="H124" s="94"/>
      <c r="I124" s="94"/>
      <c r="J124" s="94"/>
      <c r="K124" s="95"/>
      <c r="L124" s="95"/>
      <c r="M124" s="96"/>
      <c r="N124" s="96"/>
      <c r="O124" s="96"/>
      <c r="P124" s="96"/>
      <c r="Q124" s="96"/>
      <c r="R124" s="96"/>
      <c r="S124" s="96"/>
      <c r="DO124" s="99"/>
    </row>
    <row r="125" spans="2:119" ht="15.75" customHeight="1">
      <c r="B125" s="94"/>
      <c r="C125" s="94"/>
      <c r="D125" s="94"/>
      <c r="E125" s="94"/>
      <c r="F125" s="94"/>
      <c r="G125" s="94"/>
      <c r="H125" s="94"/>
      <c r="I125" s="94"/>
      <c r="J125" s="94"/>
      <c r="K125" s="95"/>
      <c r="L125" s="95"/>
      <c r="M125" s="96"/>
      <c r="N125" s="96"/>
      <c r="O125" s="96"/>
      <c r="P125" s="96"/>
      <c r="Q125" s="96"/>
      <c r="R125" s="96"/>
      <c r="S125" s="96"/>
      <c r="DO125" s="99"/>
    </row>
    <row r="126" spans="2:119" ht="15.75" customHeight="1">
      <c r="B126" s="94"/>
      <c r="C126" s="94"/>
      <c r="D126" s="94"/>
      <c r="E126" s="94"/>
      <c r="F126" s="94"/>
      <c r="G126" s="94"/>
      <c r="H126" s="94"/>
      <c r="I126" s="94"/>
      <c r="J126" s="94"/>
      <c r="K126" s="95"/>
      <c r="L126" s="95"/>
      <c r="M126" s="96"/>
      <c r="N126" s="96"/>
      <c r="O126" s="96"/>
      <c r="P126" s="96"/>
      <c r="Q126" s="96"/>
      <c r="R126" s="96"/>
      <c r="S126" s="96"/>
      <c r="DO126" s="99"/>
    </row>
    <row r="127" spans="2:119" ht="15.75" customHeight="1">
      <c r="B127" s="94"/>
      <c r="C127" s="94"/>
      <c r="D127" s="94"/>
      <c r="E127" s="94"/>
      <c r="F127" s="94"/>
      <c r="G127" s="94"/>
      <c r="H127" s="94"/>
      <c r="I127" s="94"/>
      <c r="J127" s="94"/>
      <c r="K127" s="95"/>
      <c r="L127" s="95"/>
      <c r="M127" s="96"/>
      <c r="N127" s="96"/>
      <c r="O127" s="96"/>
      <c r="P127" s="96"/>
      <c r="Q127" s="96"/>
      <c r="R127" s="96"/>
      <c r="S127" s="96"/>
      <c r="DO127" s="99"/>
    </row>
    <row r="128" spans="2:119" ht="15.75" customHeight="1">
      <c r="B128" s="94"/>
      <c r="C128" s="94"/>
      <c r="D128" s="94"/>
      <c r="E128" s="94"/>
      <c r="F128" s="94"/>
      <c r="G128" s="94"/>
      <c r="H128" s="94"/>
      <c r="I128" s="94"/>
      <c r="J128" s="94"/>
      <c r="K128" s="95"/>
      <c r="L128" s="95"/>
      <c r="M128" s="96"/>
      <c r="N128" s="96"/>
      <c r="O128" s="96"/>
      <c r="P128" s="96"/>
      <c r="Q128" s="96"/>
      <c r="R128" s="96"/>
      <c r="S128" s="96"/>
      <c r="DO128" s="99"/>
    </row>
    <row r="129" spans="2:119" ht="15.75" customHeight="1">
      <c r="B129" s="94"/>
      <c r="C129" s="94"/>
      <c r="D129" s="94"/>
      <c r="E129" s="94"/>
      <c r="F129" s="94"/>
      <c r="G129" s="94"/>
      <c r="H129" s="94"/>
      <c r="I129" s="94"/>
      <c r="J129" s="94"/>
      <c r="K129" s="95"/>
      <c r="L129" s="95"/>
      <c r="M129" s="96"/>
      <c r="N129" s="96"/>
      <c r="O129" s="96"/>
      <c r="P129" s="96"/>
      <c r="Q129" s="96"/>
      <c r="R129" s="96"/>
      <c r="S129" s="96"/>
      <c r="DO129" s="99"/>
    </row>
    <row r="130" spans="2:119" ht="15.75" customHeight="1">
      <c r="B130" s="94"/>
      <c r="C130" s="94"/>
      <c r="D130" s="94"/>
      <c r="E130" s="94"/>
      <c r="F130" s="94"/>
      <c r="G130" s="94"/>
      <c r="H130" s="94"/>
      <c r="I130" s="94"/>
      <c r="J130" s="94"/>
      <c r="K130" s="95"/>
      <c r="L130" s="95"/>
      <c r="M130" s="96"/>
      <c r="N130" s="96"/>
      <c r="O130" s="96"/>
      <c r="P130" s="96"/>
      <c r="Q130" s="96"/>
      <c r="R130" s="96"/>
      <c r="S130" s="96"/>
      <c r="DO130" s="99"/>
    </row>
    <row r="131" spans="2:119" ht="15.75" customHeight="1">
      <c r="B131" s="94"/>
      <c r="C131" s="94"/>
      <c r="D131" s="94"/>
      <c r="E131" s="94"/>
      <c r="F131" s="94"/>
      <c r="G131" s="94"/>
      <c r="H131" s="94"/>
      <c r="I131" s="94"/>
      <c r="J131" s="94"/>
      <c r="K131" s="95"/>
      <c r="L131" s="95"/>
      <c r="M131" s="96"/>
      <c r="N131" s="96"/>
      <c r="O131" s="96"/>
      <c r="P131" s="96"/>
      <c r="Q131" s="96"/>
      <c r="R131" s="96"/>
      <c r="S131" s="96"/>
      <c r="DO131" s="99"/>
    </row>
    <row r="132" spans="2:119" ht="15.75" customHeight="1">
      <c r="B132" s="94"/>
      <c r="C132" s="94"/>
      <c r="D132" s="94"/>
      <c r="E132" s="94"/>
      <c r="F132" s="94"/>
      <c r="G132" s="94"/>
      <c r="H132" s="94"/>
      <c r="I132" s="94"/>
      <c r="J132" s="94"/>
      <c r="K132" s="95"/>
      <c r="L132" s="95"/>
      <c r="M132" s="96"/>
      <c r="N132" s="96"/>
      <c r="O132" s="96"/>
      <c r="P132" s="96"/>
      <c r="Q132" s="96"/>
      <c r="R132" s="96"/>
      <c r="S132" s="96"/>
      <c r="DO132" s="99"/>
    </row>
    <row r="133" spans="2:119" ht="15.75" customHeight="1">
      <c r="B133" s="94"/>
      <c r="C133" s="94"/>
      <c r="D133" s="94"/>
      <c r="E133" s="94"/>
      <c r="F133" s="94"/>
      <c r="G133" s="94"/>
      <c r="H133" s="94"/>
      <c r="I133" s="94"/>
      <c r="J133" s="94"/>
      <c r="K133" s="95"/>
      <c r="L133" s="95"/>
      <c r="M133" s="96"/>
      <c r="N133" s="96"/>
      <c r="O133" s="96"/>
      <c r="P133" s="96"/>
      <c r="Q133" s="96"/>
      <c r="R133" s="96"/>
      <c r="S133" s="96"/>
      <c r="DO133" s="99"/>
    </row>
    <row r="134" spans="2:119" ht="15.75" customHeight="1">
      <c r="B134" s="94"/>
      <c r="C134" s="94"/>
      <c r="D134" s="94"/>
      <c r="E134" s="94"/>
      <c r="F134" s="94"/>
      <c r="G134" s="94"/>
      <c r="H134" s="94"/>
      <c r="I134" s="94"/>
      <c r="J134" s="94"/>
      <c r="K134" s="95"/>
      <c r="L134" s="95"/>
      <c r="M134" s="96"/>
      <c r="N134" s="96"/>
      <c r="O134" s="96"/>
      <c r="P134" s="96"/>
      <c r="Q134" s="96"/>
      <c r="R134" s="96"/>
      <c r="S134" s="96"/>
      <c r="DO134" s="99"/>
    </row>
    <row r="135" spans="2:119" ht="15.75" customHeight="1">
      <c r="B135" s="94"/>
      <c r="C135" s="94"/>
      <c r="D135" s="94"/>
      <c r="E135" s="94"/>
      <c r="F135" s="94"/>
      <c r="G135" s="94"/>
      <c r="H135" s="94"/>
      <c r="I135" s="94"/>
      <c r="J135" s="94"/>
      <c r="K135" s="95"/>
      <c r="L135" s="95"/>
      <c r="M135" s="96"/>
      <c r="N135" s="96"/>
      <c r="O135" s="96"/>
      <c r="P135" s="96"/>
      <c r="Q135" s="96"/>
      <c r="R135" s="96"/>
      <c r="S135" s="96"/>
      <c r="DO135" s="99"/>
    </row>
    <row r="136" spans="2:119" ht="15.75" customHeight="1">
      <c r="B136" s="94"/>
      <c r="C136" s="94"/>
      <c r="D136" s="94"/>
      <c r="E136" s="94"/>
      <c r="F136" s="94"/>
      <c r="G136" s="94"/>
      <c r="H136" s="94"/>
      <c r="I136" s="94"/>
      <c r="J136" s="94"/>
      <c r="K136" s="95"/>
      <c r="L136" s="95"/>
      <c r="M136" s="96"/>
      <c r="N136" s="96"/>
      <c r="O136" s="96"/>
      <c r="P136" s="96"/>
      <c r="Q136" s="96"/>
      <c r="R136" s="96"/>
      <c r="S136" s="96"/>
      <c r="DO136" s="99"/>
    </row>
    <row r="137" spans="2:119" ht="15.75" customHeight="1">
      <c r="B137" s="94"/>
      <c r="C137" s="94"/>
      <c r="D137" s="94"/>
      <c r="E137" s="94"/>
      <c r="F137" s="94"/>
      <c r="G137" s="94"/>
      <c r="H137" s="94"/>
      <c r="I137" s="94"/>
      <c r="J137" s="94"/>
      <c r="K137" s="95"/>
      <c r="L137" s="95"/>
      <c r="M137" s="96"/>
      <c r="N137" s="96"/>
      <c r="O137" s="96"/>
      <c r="P137" s="96"/>
      <c r="Q137" s="96"/>
      <c r="R137" s="96"/>
      <c r="S137" s="96"/>
      <c r="DO137" s="99"/>
    </row>
    <row r="138" spans="2:119" ht="15.75" customHeight="1">
      <c r="B138" s="94"/>
      <c r="C138" s="94"/>
      <c r="D138" s="94"/>
      <c r="E138" s="94"/>
      <c r="F138" s="94"/>
      <c r="G138" s="94"/>
      <c r="H138" s="94"/>
      <c r="I138" s="94"/>
      <c r="J138" s="94"/>
      <c r="K138" s="95"/>
      <c r="L138" s="95"/>
      <c r="M138" s="96"/>
      <c r="N138" s="96"/>
      <c r="O138" s="96"/>
      <c r="P138" s="96"/>
      <c r="Q138" s="96"/>
      <c r="R138" s="96"/>
      <c r="S138" s="96"/>
      <c r="DO138" s="99"/>
    </row>
    <row r="139" spans="2:119" ht="15.75" customHeight="1">
      <c r="B139" s="94"/>
      <c r="C139" s="94"/>
      <c r="D139" s="94"/>
      <c r="E139" s="94"/>
      <c r="F139" s="94"/>
      <c r="G139" s="94"/>
      <c r="H139" s="94"/>
      <c r="I139" s="94"/>
      <c r="J139" s="94"/>
      <c r="K139" s="95"/>
      <c r="L139" s="95"/>
      <c r="M139" s="96"/>
      <c r="N139" s="96"/>
      <c r="O139" s="96"/>
      <c r="P139" s="96"/>
      <c r="Q139" s="96"/>
      <c r="R139" s="96"/>
      <c r="S139" s="96"/>
      <c r="DO139" s="99"/>
    </row>
    <row r="140" spans="2:119" ht="15.75" customHeight="1">
      <c r="B140" s="94"/>
      <c r="C140" s="94"/>
      <c r="D140" s="94"/>
      <c r="E140" s="94"/>
      <c r="F140" s="94"/>
      <c r="G140" s="94"/>
      <c r="H140" s="94"/>
      <c r="I140" s="94"/>
      <c r="J140" s="94"/>
      <c r="K140" s="95"/>
      <c r="L140" s="95"/>
      <c r="M140" s="96"/>
      <c r="N140" s="96"/>
      <c r="O140" s="96"/>
      <c r="P140" s="96"/>
      <c r="Q140" s="96"/>
      <c r="R140" s="96"/>
      <c r="S140" s="96"/>
      <c r="DO140" s="99"/>
    </row>
    <row r="141" spans="2:119" ht="15.75" customHeight="1">
      <c r="B141" s="94"/>
      <c r="C141" s="94"/>
      <c r="D141" s="94"/>
      <c r="E141" s="94"/>
      <c r="F141" s="94"/>
      <c r="G141" s="94"/>
      <c r="H141" s="94"/>
      <c r="I141" s="94"/>
      <c r="J141" s="94"/>
      <c r="K141" s="95"/>
      <c r="L141" s="95"/>
      <c r="M141" s="96"/>
      <c r="N141" s="96"/>
      <c r="O141" s="96"/>
      <c r="P141" s="96"/>
      <c r="Q141" s="96"/>
      <c r="R141" s="96"/>
      <c r="S141" s="96"/>
      <c r="DO141" s="99"/>
    </row>
    <row r="142" spans="2:119" ht="15.75" customHeight="1">
      <c r="B142" s="94"/>
      <c r="C142" s="94"/>
      <c r="D142" s="94"/>
      <c r="E142" s="94"/>
      <c r="F142" s="94"/>
      <c r="G142" s="94"/>
      <c r="H142" s="94"/>
      <c r="I142" s="94"/>
      <c r="J142" s="94"/>
      <c r="K142" s="95"/>
      <c r="L142" s="95"/>
      <c r="M142" s="96"/>
      <c r="N142" s="96"/>
      <c r="O142" s="96"/>
      <c r="P142" s="96"/>
      <c r="Q142" s="96"/>
      <c r="R142" s="96"/>
      <c r="S142" s="96"/>
      <c r="DO142" s="99"/>
    </row>
    <row r="143" spans="2:119" ht="15.75" customHeight="1">
      <c r="B143" s="94"/>
      <c r="C143" s="94"/>
      <c r="D143" s="94"/>
      <c r="E143" s="94"/>
      <c r="F143" s="94"/>
      <c r="G143" s="94"/>
      <c r="H143" s="94"/>
      <c r="I143" s="94"/>
      <c r="J143" s="94"/>
      <c r="K143" s="95"/>
      <c r="L143" s="95"/>
      <c r="M143" s="96"/>
      <c r="N143" s="96"/>
      <c r="O143" s="96"/>
      <c r="P143" s="96"/>
      <c r="Q143" s="96"/>
      <c r="R143" s="96"/>
      <c r="S143" s="96"/>
      <c r="DO143" s="99"/>
    </row>
    <row r="144" spans="2:119" ht="15.75" customHeight="1">
      <c r="B144" s="94"/>
      <c r="C144" s="94"/>
      <c r="D144" s="94"/>
      <c r="E144" s="94"/>
      <c r="F144" s="94"/>
      <c r="G144" s="94"/>
      <c r="H144" s="94"/>
      <c r="I144" s="94"/>
      <c r="J144" s="94"/>
      <c r="K144" s="95"/>
      <c r="L144" s="95"/>
      <c r="M144" s="96"/>
      <c r="N144" s="96"/>
      <c r="O144" s="96"/>
      <c r="P144" s="96"/>
      <c r="Q144" s="96"/>
      <c r="R144" s="96"/>
      <c r="S144" s="96"/>
      <c r="DO144" s="99"/>
    </row>
    <row r="145" spans="2:119" ht="15.75" customHeight="1">
      <c r="B145" s="94"/>
      <c r="C145" s="94"/>
      <c r="D145" s="94"/>
      <c r="E145" s="94"/>
      <c r="F145" s="94"/>
      <c r="G145" s="94"/>
      <c r="H145" s="94"/>
      <c r="I145" s="94"/>
      <c r="J145" s="94"/>
      <c r="K145" s="95"/>
      <c r="L145" s="95"/>
      <c r="M145" s="96"/>
      <c r="N145" s="96"/>
      <c r="O145" s="96"/>
      <c r="P145" s="96"/>
      <c r="Q145" s="96"/>
      <c r="R145" s="96"/>
      <c r="S145" s="96"/>
      <c r="DO145" s="99"/>
    </row>
    <row r="146" spans="2:119" ht="15.75" customHeight="1">
      <c r="B146" s="94"/>
      <c r="C146" s="94"/>
      <c r="D146" s="94"/>
      <c r="E146" s="94"/>
      <c r="F146" s="94"/>
      <c r="G146" s="94"/>
      <c r="H146" s="94"/>
      <c r="I146" s="94"/>
      <c r="J146" s="94"/>
      <c r="K146" s="95"/>
      <c r="L146" s="95"/>
      <c r="M146" s="96"/>
      <c r="N146" s="96"/>
      <c r="O146" s="96"/>
      <c r="P146" s="96"/>
      <c r="Q146" s="96"/>
      <c r="R146" s="96"/>
      <c r="S146" s="96"/>
      <c r="DO146" s="99"/>
    </row>
    <row r="147" spans="2:119" ht="15.75" customHeight="1">
      <c r="B147" s="94"/>
      <c r="C147" s="94"/>
      <c r="D147" s="94"/>
      <c r="E147" s="94"/>
      <c r="F147" s="94"/>
      <c r="G147" s="94"/>
      <c r="H147" s="94"/>
      <c r="I147" s="94"/>
      <c r="J147" s="94"/>
      <c r="K147" s="95"/>
      <c r="L147" s="95"/>
      <c r="M147" s="96"/>
      <c r="N147" s="96"/>
      <c r="O147" s="96"/>
      <c r="P147" s="96"/>
      <c r="Q147" s="96"/>
      <c r="R147" s="96"/>
      <c r="S147" s="96"/>
      <c r="DO147" s="99"/>
    </row>
    <row r="148" spans="2:119" ht="15.75" customHeight="1">
      <c r="B148" s="94"/>
      <c r="C148" s="94"/>
      <c r="D148" s="94"/>
      <c r="E148" s="94"/>
      <c r="F148" s="94"/>
      <c r="G148" s="94"/>
      <c r="H148" s="94"/>
      <c r="I148" s="94"/>
      <c r="J148" s="94"/>
      <c r="K148" s="95"/>
      <c r="L148" s="95"/>
      <c r="M148" s="96"/>
      <c r="N148" s="96"/>
      <c r="O148" s="96"/>
      <c r="P148" s="96"/>
      <c r="Q148" s="96"/>
      <c r="R148" s="96"/>
      <c r="S148" s="96"/>
      <c r="DO148" s="99"/>
    </row>
    <row r="149" spans="2:119" ht="15.75" customHeight="1">
      <c r="B149" s="94"/>
      <c r="C149" s="94"/>
      <c r="D149" s="94"/>
      <c r="E149" s="94"/>
      <c r="F149" s="94"/>
      <c r="G149" s="94"/>
      <c r="H149" s="94"/>
      <c r="I149" s="94"/>
      <c r="J149" s="94"/>
      <c r="K149" s="95"/>
      <c r="L149" s="95"/>
      <c r="M149" s="96"/>
      <c r="N149" s="96"/>
      <c r="O149" s="96"/>
      <c r="P149" s="96"/>
      <c r="Q149" s="96"/>
      <c r="R149" s="96"/>
      <c r="S149" s="96"/>
      <c r="DO149" s="99"/>
    </row>
    <row r="150" spans="2:119" ht="15.75" customHeight="1">
      <c r="B150" s="94"/>
      <c r="C150" s="94"/>
      <c r="D150" s="94"/>
      <c r="E150" s="94"/>
      <c r="F150" s="94"/>
      <c r="G150" s="94"/>
      <c r="H150" s="94"/>
      <c r="I150" s="94"/>
      <c r="J150" s="94"/>
      <c r="K150" s="95"/>
      <c r="L150" s="95"/>
      <c r="M150" s="96"/>
      <c r="N150" s="96"/>
      <c r="O150" s="96"/>
      <c r="P150" s="96"/>
      <c r="Q150" s="96"/>
      <c r="R150" s="96"/>
      <c r="S150" s="96"/>
      <c r="DO150" s="99"/>
    </row>
    <row r="151" spans="2:119" ht="15.75" customHeight="1">
      <c r="B151" s="94"/>
      <c r="C151" s="94"/>
      <c r="D151" s="94"/>
      <c r="E151" s="94"/>
      <c r="F151" s="94"/>
      <c r="G151" s="94"/>
      <c r="H151" s="94"/>
      <c r="I151" s="94"/>
      <c r="J151" s="94"/>
      <c r="K151" s="95"/>
      <c r="L151" s="95"/>
      <c r="M151" s="96"/>
      <c r="N151" s="96"/>
      <c r="O151" s="96"/>
      <c r="P151" s="96"/>
      <c r="Q151" s="96"/>
      <c r="R151" s="96"/>
      <c r="S151" s="96"/>
      <c r="DO151" s="99"/>
    </row>
    <row r="152" spans="2:119" ht="15.75" customHeight="1">
      <c r="B152" s="94"/>
      <c r="C152" s="94"/>
      <c r="D152" s="94"/>
      <c r="E152" s="94"/>
      <c r="F152" s="94"/>
      <c r="G152" s="94"/>
      <c r="H152" s="94"/>
      <c r="I152" s="94"/>
      <c r="J152" s="94"/>
      <c r="K152" s="95"/>
      <c r="L152" s="95"/>
      <c r="M152" s="96"/>
      <c r="N152" s="96"/>
      <c r="O152" s="96"/>
      <c r="P152" s="96"/>
      <c r="Q152" s="96"/>
      <c r="R152" s="96"/>
      <c r="S152" s="96"/>
      <c r="DO152" s="99"/>
    </row>
    <row r="153" spans="2:119" ht="15.75" customHeight="1">
      <c r="B153" s="94"/>
      <c r="C153" s="94"/>
      <c r="D153" s="94"/>
      <c r="E153" s="94"/>
      <c r="F153" s="94"/>
      <c r="G153" s="94"/>
      <c r="H153" s="94"/>
      <c r="I153" s="94"/>
      <c r="J153" s="94"/>
      <c r="K153" s="95"/>
      <c r="L153" s="95"/>
      <c r="M153" s="96"/>
      <c r="N153" s="96"/>
      <c r="O153" s="96"/>
      <c r="P153" s="96"/>
      <c r="Q153" s="96"/>
      <c r="R153" s="96"/>
      <c r="S153" s="96"/>
      <c r="DO153" s="99"/>
    </row>
    <row r="154" spans="2:119" ht="15.75" customHeight="1">
      <c r="B154" s="94"/>
      <c r="C154" s="94"/>
      <c r="D154" s="94"/>
      <c r="E154" s="94"/>
      <c r="F154" s="94"/>
      <c r="G154" s="94"/>
      <c r="H154" s="94"/>
      <c r="I154" s="94"/>
      <c r="J154" s="94"/>
      <c r="K154" s="95"/>
      <c r="L154" s="95"/>
      <c r="M154" s="96"/>
      <c r="N154" s="96"/>
      <c r="O154" s="96"/>
      <c r="P154" s="96"/>
      <c r="Q154" s="96"/>
      <c r="R154" s="96"/>
      <c r="S154" s="96"/>
      <c r="DO154" s="99"/>
    </row>
    <row r="155" spans="2:119" ht="15.75" customHeight="1">
      <c r="B155" s="94"/>
      <c r="C155" s="94"/>
      <c r="D155" s="94"/>
      <c r="E155" s="94"/>
      <c r="F155" s="94"/>
      <c r="G155" s="94"/>
      <c r="H155" s="94"/>
      <c r="I155" s="94"/>
      <c r="J155" s="94"/>
      <c r="K155" s="95"/>
      <c r="L155" s="95"/>
      <c r="M155" s="96"/>
      <c r="N155" s="96"/>
      <c r="O155" s="96"/>
      <c r="P155" s="96"/>
      <c r="Q155" s="96"/>
      <c r="R155" s="96"/>
      <c r="S155" s="96"/>
      <c r="DO155" s="99"/>
    </row>
    <row r="156" spans="2:119" ht="15.75" customHeight="1">
      <c r="B156" s="94"/>
      <c r="C156" s="94"/>
      <c r="D156" s="94"/>
      <c r="E156" s="94"/>
      <c r="F156" s="94"/>
      <c r="G156" s="94"/>
      <c r="H156" s="94"/>
      <c r="I156" s="94"/>
      <c r="J156" s="94"/>
      <c r="K156" s="95"/>
      <c r="L156" s="95"/>
      <c r="M156" s="96"/>
      <c r="N156" s="96"/>
      <c r="O156" s="96"/>
      <c r="P156" s="96"/>
      <c r="Q156" s="96"/>
      <c r="R156" s="96"/>
      <c r="S156" s="96"/>
      <c r="DO156" s="99"/>
    </row>
    <row r="157" spans="2:119" ht="15.75" customHeight="1">
      <c r="B157" s="94"/>
      <c r="C157" s="94"/>
      <c r="D157" s="94"/>
      <c r="E157" s="94"/>
      <c r="F157" s="94"/>
      <c r="G157" s="94"/>
      <c r="H157" s="94"/>
      <c r="I157" s="94"/>
      <c r="J157" s="94"/>
      <c r="K157" s="95"/>
      <c r="L157" s="95"/>
      <c r="M157" s="96"/>
      <c r="N157" s="96"/>
      <c r="O157" s="96"/>
      <c r="P157" s="96"/>
      <c r="Q157" s="96"/>
      <c r="R157" s="96"/>
      <c r="S157" s="96"/>
      <c r="DO157" s="99"/>
    </row>
    <row r="158" spans="2:119" ht="15.75" customHeight="1">
      <c r="B158" s="94"/>
      <c r="C158" s="94"/>
      <c r="D158" s="94"/>
      <c r="E158" s="94"/>
      <c r="F158" s="94"/>
      <c r="G158" s="94"/>
      <c r="H158" s="94"/>
      <c r="I158" s="94"/>
      <c r="J158" s="94"/>
      <c r="K158" s="95"/>
      <c r="L158" s="95"/>
      <c r="M158" s="96"/>
      <c r="N158" s="96"/>
      <c r="O158" s="96"/>
      <c r="P158" s="96"/>
      <c r="Q158" s="96"/>
      <c r="R158" s="96"/>
      <c r="S158" s="96"/>
      <c r="DO158" s="99"/>
    </row>
    <row r="159" spans="2:119" ht="15.75" customHeight="1">
      <c r="B159" s="94"/>
      <c r="C159" s="94"/>
      <c r="D159" s="94"/>
      <c r="E159" s="94"/>
      <c r="F159" s="94"/>
      <c r="G159" s="94"/>
      <c r="H159" s="94"/>
      <c r="I159" s="94"/>
      <c r="J159" s="94"/>
      <c r="K159" s="95"/>
      <c r="L159" s="95"/>
      <c r="M159" s="96"/>
      <c r="N159" s="96"/>
      <c r="O159" s="96"/>
      <c r="P159" s="96"/>
      <c r="Q159" s="96"/>
      <c r="R159" s="96"/>
      <c r="S159" s="96"/>
      <c r="DO159" s="99"/>
    </row>
    <row r="160" spans="2:119" ht="15.75" customHeight="1">
      <c r="B160" s="94"/>
      <c r="C160" s="94"/>
      <c r="D160" s="94"/>
      <c r="E160" s="94"/>
      <c r="F160" s="94"/>
      <c r="G160" s="94"/>
      <c r="H160" s="94"/>
      <c r="I160" s="94"/>
      <c r="J160" s="94"/>
      <c r="K160" s="95"/>
      <c r="L160" s="95"/>
      <c r="M160" s="96"/>
      <c r="N160" s="96"/>
      <c r="O160" s="96"/>
      <c r="P160" s="96"/>
      <c r="Q160" s="96"/>
      <c r="R160" s="96"/>
      <c r="S160" s="96"/>
      <c r="DO160" s="99"/>
    </row>
    <row r="161" spans="2:119" ht="15.75" customHeight="1">
      <c r="B161" s="94"/>
      <c r="C161" s="94"/>
      <c r="D161" s="94"/>
      <c r="E161" s="94"/>
      <c r="F161" s="94"/>
      <c r="G161" s="94"/>
      <c r="H161" s="94"/>
      <c r="I161" s="94"/>
      <c r="J161" s="94"/>
      <c r="K161" s="95"/>
      <c r="L161" s="95"/>
      <c r="M161" s="96"/>
      <c r="N161" s="96"/>
      <c r="O161" s="96"/>
      <c r="P161" s="96"/>
      <c r="Q161" s="96"/>
      <c r="R161" s="96"/>
      <c r="S161" s="96"/>
      <c r="DO161" s="99"/>
    </row>
    <row r="162" spans="2:119" ht="15.75" customHeight="1">
      <c r="B162" s="94"/>
      <c r="C162" s="94"/>
      <c r="D162" s="94"/>
      <c r="E162" s="94"/>
      <c r="F162" s="94"/>
      <c r="G162" s="94"/>
      <c r="H162" s="94"/>
      <c r="I162" s="94"/>
      <c r="J162" s="94"/>
      <c r="K162" s="95"/>
      <c r="L162" s="95"/>
      <c r="M162" s="96"/>
      <c r="N162" s="96"/>
      <c r="O162" s="96"/>
      <c r="P162" s="96"/>
      <c r="Q162" s="96"/>
      <c r="R162" s="96"/>
      <c r="S162" s="96"/>
      <c r="DO162" s="99"/>
    </row>
    <row r="163" spans="2:119" ht="15.75" customHeight="1">
      <c r="B163" s="94"/>
      <c r="C163" s="94"/>
      <c r="D163" s="94"/>
      <c r="E163" s="94"/>
      <c r="F163" s="94"/>
      <c r="G163" s="94"/>
      <c r="H163" s="94"/>
      <c r="I163" s="94"/>
      <c r="J163" s="94"/>
      <c r="K163" s="95"/>
      <c r="L163" s="95"/>
      <c r="M163" s="96"/>
      <c r="N163" s="96"/>
      <c r="O163" s="96"/>
      <c r="P163" s="96"/>
      <c r="Q163" s="96"/>
      <c r="R163" s="96"/>
      <c r="S163" s="96"/>
      <c r="DO163" s="99"/>
    </row>
    <row r="164" spans="2:119" ht="15.75" customHeight="1">
      <c r="B164" s="94"/>
      <c r="C164" s="94"/>
      <c r="D164" s="94"/>
      <c r="E164" s="94"/>
      <c r="F164" s="94"/>
      <c r="G164" s="94"/>
      <c r="H164" s="94"/>
      <c r="I164" s="94"/>
      <c r="J164" s="94"/>
      <c r="K164" s="95"/>
      <c r="L164" s="95"/>
      <c r="M164" s="96"/>
      <c r="N164" s="96"/>
      <c r="O164" s="96"/>
      <c r="P164" s="96"/>
      <c r="Q164" s="96"/>
      <c r="R164" s="96"/>
      <c r="S164" s="96"/>
      <c r="DO164" s="99"/>
    </row>
    <row r="165" spans="2:119" ht="15.75" customHeight="1">
      <c r="B165" s="94"/>
      <c r="C165" s="94"/>
      <c r="D165" s="94"/>
      <c r="E165" s="94"/>
      <c r="F165" s="94"/>
      <c r="G165" s="94"/>
      <c r="H165" s="94"/>
      <c r="I165" s="94"/>
      <c r="J165" s="94"/>
      <c r="K165" s="95"/>
      <c r="L165" s="95"/>
      <c r="M165" s="96"/>
      <c r="N165" s="96"/>
      <c r="O165" s="96"/>
      <c r="P165" s="96"/>
      <c r="Q165" s="96"/>
      <c r="R165" s="96"/>
      <c r="S165" s="96"/>
      <c r="DO165" s="99"/>
    </row>
    <row r="166" spans="2:119" ht="15.75" customHeight="1">
      <c r="B166" s="94"/>
      <c r="C166" s="94"/>
      <c r="D166" s="94"/>
      <c r="E166" s="94"/>
      <c r="F166" s="94"/>
      <c r="G166" s="94"/>
      <c r="H166" s="94"/>
      <c r="I166" s="94"/>
      <c r="J166" s="94"/>
      <c r="K166" s="95"/>
      <c r="L166" s="95"/>
      <c r="M166" s="96"/>
      <c r="N166" s="96"/>
      <c r="O166" s="96"/>
      <c r="P166" s="96"/>
      <c r="Q166" s="96"/>
      <c r="R166" s="96"/>
      <c r="S166" s="96"/>
      <c r="DO166" s="99"/>
    </row>
    <row r="167" spans="2:119" ht="15.75" customHeight="1">
      <c r="B167" s="94"/>
      <c r="C167" s="94"/>
      <c r="D167" s="94"/>
      <c r="E167" s="94"/>
      <c r="F167" s="94"/>
      <c r="G167" s="94"/>
      <c r="H167" s="94"/>
      <c r="I167" s="94"/>
      <c r="J167" s="94"/>
      <c r="K167" s="95"/>
      <c r="L167" s="95"/>
      <c r="M167" s="96"/>
      <c r="N167" s="96"/>
      <c r="O167" s="96"/>
      <c r="P167" s="96"/>
      <c r="Q167" s="96"/>
      <c r="R167" s="96"/>
      <c r="S167" s="96"/>
      <c r="DO167" s="99"/>
    </row>
    <row r="168" spans="2:119" ht="15.75" customHeight="1">
      <c r="B168" s="94"/>
      <c r="C168" s="94"/>
      <c r="D168" s="94"/>
      <c r="E168" s="94"/>
      <c r="F168" s="94"/>
      <c r="G168" s="94"/>
      <c r="H168" s="94"/>
      <c r="I168" s="94"/>
      <c r="J168" s="94"/>
      <c r="K168" s="95"/>
      <c r="L168" s="95"/>
      <c r="M168" s="96"/>
      <c r="N168" s="96"/>
      <c r="O168" s="96"/>
      <c r="P168" s="96"/>
      <c r="Q168" s="96"/>
      <c r="R168" s="96"/>
      <c r="S168" s="96"/>
      <c r="DO168" s="99"/>
    </row>
    <row r="169" spans="2:119" ht="15.75" customHeight="1">
      <c r="B169" s="94"/>
      <c r="C169" s="94"/>
      <c r="D169" s="94"/>
      <c r="E169" s="94"/>
      <c r="F169" s="94"/>
      <c r="G169" s="94"/>
      <c r="H169" s="94"/>
      <c r="I169" s="94"/>
      <c r="J169" s="94"/>
      <c r="K169" s="95"/>
      <c r="L169" s="95"/>
      <c r="M169" s="96"/>
      <c r="N169" s="96"/>
      <c r="O169" s="96"/>
      <c r="P169" s="96"/>
      <c r="Q169" s="96"/>
      <c r="R169" s="96"/>
      <c r="S169" s="96"/>
      <c r="DO169" s="99"/>
    </row>
    <row r="170" spans="2:119" ht="15.75" customHeight="1">
      <c r="B170" s="94"/>
      <c r="C170" s="94"/>
      <c r="D170" s="94"/>
      <c r="E170" s="94"/>
      <c r="F170" s="94"/>
      <c r="G170" s="94"/>
      <c r="H170" s="94"/>
      <c r="I170" s="94"/>
      <c r="J170" s="94"/>
      <c r="K170" s="95"/>
      <c r="L170" s="95"/>
      <c r="M170" s="96"/>
      <c r="N170" s="96"/>
      <c r="O170" s="96"/>
      <c r="P170" s="96"/>
      <c r="Q170" s="96"/>
      <c r="R170" s="96"/>
      <c r="S170" s="96"/>
      <c r="DO170" s="99"/>
    </row>
    <row r="171" spans="2:119" ht="15.75" customHeight="1">
      <c r="B171" s="94"/>
      <c r="C171" s="94"/>
      <c r="D171" s="94"/>
      <c r="E171" s="94"/>
      <c r="F171" s="94"/>
      <c r="G171" s="94"/>
      <c r="H171" s="94"/>
      <c r="I171" s="94"/>
      <c r="J171" s="94"/>
      <c r="K171" s="95"/>
      <c r="L171" s="95"/>
      <c r="M171" s="96"/>
      <c r="N171" s="96"/>
      <c r="O171" s="96"/>
      <c r="P171" s="96"/>
      <c r="Q171" s="96"/>
      <c r="R171" s="96"/>
      <c r="S171" s="96"/>
      <c r="DO171" s="99"/>
    </row>
    <row r="172" spans="2:119" ht="15.75" customHeight="1">
      <c r="B172" s="94"/>
      <c r="C172" s="94"/>
      <c r="D172" s="94"/>
      <c r="E172" s="94"/>
      <c r="F172" s="94"/>
      <c r="G172" s="94"/>
      <c r="H172" s="94"/>
      <c r="I172" s="94"/>
      <c r="J172" s="94"/>
      <c r="K172" s="95"/>
      <c r="L172" s="95"/>
      <c r="M172" s="96"/>
      <c r="N172" s="96"/>
      <c r="O172" s="96"/>
      <c r="P172" s="96"/>
      <c r="Q172" s="96"/>
      <c r="R172" s="96"/>
      <c r="S172" s="96"/>
      <c r="DO172" s="99"/>
    </row>
    <row r="173" spans="2:119" ht="15.75" customHeight="1">
      <c r="B173" s="94"/>
      <c r="C173" s="94"/>
      <c r="D173" s="94"/>
      <c r="E173" s="94"/>
      <c r="F173" s="94"/>
      <c r="G173" s="94"/>
      <c r="H173" s="94"/>
      <c r="I173" s="94"/>
      <c r="J173" s="94"/>
      <c r="K173" s="95"/>
      <c r="L173" s="95"/>
      <c r="M173" s="96"/>
      <c r="N173" s="96"/>
      <c r="O173" s="96"/>
      <c r="P173" s="96"/>
      <c r="Q173" s="96"/>
      <c r="R173" s="96"/>
      <c r="S173" s="96"/>
      <c r="DO173" s="99"/>
    </row>
    <row r="174" spans="2:119" ht="15.75" customHeight="1">
      <c r="B174" s="94"/>
      <c r="C174" s="94"/>
      <c r="D174" s="94"/>
      <c r="E174" s="94"/>
      <c r="F174" s="94"/>
      <c r="G174" s="94"/>
      <c r="H174" s="94"/>
      <c r="I174" s="94"/>
      <c r="J174" s="94"/>
      <c r="K174" s="95"/>
      <c r="L174" s="95"/>
      <c r="M174" s="96"/>
      <c r="N174" s="96"/>
      <c r="O174" s="96"/>
      <c r="P174" s="96"/>
      <c r="Q174" s="96"/>
      <c r="R174" s="96"/>
      <c r="S174" s="96"/>
      <c r="DO174" s="99"/>
    </row>
    <row r="175" spans="2:119" ht="15.75" customHeight="1">
      <c r="B175" s="94"/>
      <c r="C175" s="94"/>
      <c r="D175" s="94"/>
      <c r="E175" s="94"/>
      <c r="F175" s="94"/>
      <c r="G175" s="94"/>
      <c r="H175" s="94"/>
      <c r="I175" s="94"/>
      <c r="J175" s="94"/>
      <c r="K175" s="95"/>
      <c r="L175" s="95"/>
      <c r="M175" s="96"/>
      <c r="N175" s="96"/>
      <c r="O175" s="96"/>
      <c r="P175" s="96"/>
      <c r="Q175" s="96"/>
      <c r="R175" s="96"/>
      <c r="S175" s="96"/>
      <c r="DO175" s="99"/>
    </row>
    <row r="176" spans="2:119" ht="15.75" customHeight="1">
      <c r="B176" s="94"/>
      <c r="C176" s="94"/>
      <c r="D176" s="94"/>
      <c r="E176" s="94"/>
      <c r="F176" s="94"/>
      <c r="G176" s="94"/>
      <c r="H176" s="94"/>
      <c r="I176" s="94"/>
      <c r="J176" s="94"/>
      <c r="K176" s="95"/>
      <c r="L176" s="95"/>
      <c r="M176" s="96"/>
      <c r="N176" s="96"/>
      <c r="O176" s="96"/>
      <c r="P176" s="96"/>
      <c r="Q176" s="96"/>
      <c r="R176" s="96"/>
      <c r="S176" s="96"/>
      <c r="DO176" s="99"/>
    </row>
    <row r="177" spans="2:119" ht="15.75" customHeight="1">
      <c r="B177" s="94"/>
      <c r="C177" s="94"/>
      <c r="D177" s="94"/>
      <c r="E177" s="94"/>
      <c r="F177" s="94"/>
      <c r="G177" s="94"/>
      <c r="H177" s="94"/>
      <c r="I177" s="94"/>
      <c r="J177" s="94"/>
      <c r="K177" s="95"/>
      <c r="L177" s="95"/>
      <c r="M177" s="96"/>
      <c r="N177" s="96"/>
      <c r="O177" s="96"/>
      <c r="P177" s="96"/>
      <c r="Q177" s="96"/>
      <c r="R177" s="96"/>
      <c r="S177" s="96"/>
      <c r="DO177" s="99"/>
    </row>
    <row r="178" spans="2:119" ht="15.75" customHeight="1">
      <c r="B178" s="94"/>
      <c r="C178" s="94"/>
      <c r="D178" s="94"/>
      <c r="E178" s="94"/>
      <c r="F178" s="94"/>
      <c r="G178" s="94"/>
      <c r="H178" s="94"/>
      <c r="I178" s="94"/>
      <c r="J178" s="94"/>
      <c r="K178" s="95"/>
      <c r="L178" s="95"/>
      <c r="M178" s="96"/>
      <c r="N178" s="96"/>
      <c r="O178" s="96"/>
      <c r="P178" s="96"/>
      <c r="Q178" s="96"/>
      <c r="R178" s="96"/>
      <c r="S178" s="96"/>
      <c r="DO178" s="99"/>
    </row>
    <row r="179" spans="2:119" ht="15.75" customHeight="1">
      <c r="B179" s="94"/>
      <c r="C179" s="94"/>
      <c r="D179" s="94"/>
      <c r="E179" s="94"/>
      <c r="F179" s="94"/>
      <c r="G179" s="94"/>
      <c r="H179" s="94"/>
      <c r="I179" s="94"/>
      <c r="J179" s="94"/>
      <c r="K179" s="95"/>
      <c r="L179" s="95"/>
      <c r="M179" s="96"/>
      <c r="N179" s="96"/>
      <c r="O179" s="96"/>
      <c r="P179" s="96"/>
      <c r="Q179" s="96"/>
      <c r="R179" s="96"/>
      <c r="S179" s="96"/>
      <c r="DO179" s="99"/>
    </row>
    <row r="180" spans="2:119" ht="15.75" customHeight="1">
      <c r="B180" s="94"/>
      <c r="C180" s="94"/>
      <c r="D180" s="94"/>
      <c r="E180" s="94"/>
      <c r="F180" s="94"/>
      <c r="G180" s="94"/>
      <c r="H180" s="94"/>
      <c r="I180" s="94"/>
      <c r="J180" s="94"/>
      <c r="K180" s="95"/>
      <c r="L180" s="95"/>
      <c r="M180" s="96"/>
      <c r="N180" s="96"/>
      <c r="O180" s="96"/>
      <c r="P180" s="96"/>
      <c r="Q180" s="96"/>
      <c r="R180" s="96"/>
      <c r="S180" s="96"/>
      <c r="DO180" s="99"/>
    </row>
    <row r="181" spans="2:119" ht="15.75" customHeight="1">
      <c r="B181" s="94"/>
      <c r="C181" s="94"/>
      <c r="D181" s="94"/>
      <c r="E181" s="94"/>
      <c r="F181" s="94"/>
      <c r="G181" s="94"/>
      <c r="H181" s="94"/>
      <c r="I181" s="94"/>
      <c r="J181" s="94"/>
      <c r="K181" s="95"/>
      <c r="L181" s="95"/>
      <c r="M181" s="96"/>
      <c r="N181" s="96"/>
      <c r="O181" s="96"/>
      <c r="P181" s="96"/>
      <c r="Q181" s="96"/>
      <c r="R181" s="96"/>
      <c r="S181" s="96"/>
      <c r="DO181" s="99"/>
    </row>
    <row r="182" spans="2:119" ht="15.75" customHeight="1">
      <c r="B182" s="94"/>
      <c r="C182" s="94"/>
      <c r="D182" s="94"/>
      <c r="E182" s="94"/>
      <c r="F182" s="94"/>
      <c r="G182" s="94"/>
      <c r="H182" s="94"/>
      <c r="I182" s="94"/>
      <c r="J182" s="94"/>
      <c r="K182" s="95"/>
      <c r="L182" s="95"/>
      <c r="M182" s="96"/>
      <c r="N182" s="96"/>
      <c r="O182" s="96"/>
      <c r="P182" s="96"/>
      <c r="Q182" s="96"/>
      <c r="R182" s="96"/>
      <c r="S182" s="96"/>
      <c r="DO182" s="99"/>
    </row>
    <row r="183" spans="2:119" ht="15.75" customHeight="1">
      <c r="B183" s="94"/>
      <c r="C183" s="94"/>
      <c r="D183" s="94"/>
      <c r="E183" s="94"/>
      <c r="F183" s="94"/>
      <c r="G183" s="94"/>
      <c r="H183" s="94"/>
      <c r="I183" s="94"/>
      <c r="J183" s="94"/>
      <c r="K183" s="95"/>
      <c r="L183" s="95"/>
      <c r="M183" s="96"/>
      <c r="N183" s="96"/>
      <c r="O183" s="96"/>
      <c r="P183" s="96"/>
      <c r="Q183" s="96"/>
      <c r="R183" s="96"/>
      <c r="S183" s="96"/>
      <c r="DO183" s="99"/>
    </row>
    <row r="184" spans="2:119" ht="15.75" customHeight="1">
      <c r="B184" s="94"/>
      <c r="C184" s="94"/>
      <c r="D184" s="94"/>
      <c r="E184" s="94"/>
      <c r="F184" s="94"/>
      <c r="G184" s="94"/>
      <c r="H184" s="94"/>
      <c r="I184" s="94"/>
      <c r="J184" s="94"/>
      <c r="K184" s="95"/>
      <c r="L184" s="95"/>
      <c r="M184" s="96"/>
      <c r="N184" s="96"/>
      <c r="O184" s="96"/>
      <c r="P184" s="96"/>
      <c r="Q184" s="96"/>
      <c r="R184" s="96"/>
      <c r="S184" s="96"/>
      <c r="DO184" s="99"/>
    </row>
    <row r="185" spans="2:119" ht="15.75" customHeight="1">
      <c r="B185" s="94"/>
      <c r="C185" s="94"/>
      <c r="D185" s="94"/>
      <c r="E185" s="94"/>
      <c r="F185" s="94"/>
      <c r="G185" s="94"/>
      <c r="H185" s="94"/>
      <c r="I185" s="94"/>
      <c r="J185" s="94"/>
      <c r="K185" s="95"/>
      <c r="L185" s="95"/>
      <c r="M185" s="96"/>
      <c r="N185" s="96"/>
      <c r="O185" s="96"/>
      <c r="P185" s="96"/>
      <c r="Q185" s="96"/>
      <c r="R185" s="96"/>
      <c r="S185" s="96"/>
      <c r="DO185" s="99"/>
    </row>
    <row r="186" spans="2:119" ht="15.75" customHeight="1">
      <c r="B186" s="94"/>
      <c r="C186" s="94"/>
      <c r="D186" s="94"/>
      <c r="E186" s="94"/>
      <c r="F186" s="94"/>
      <c r="G186" s="94"/>
      <c r="H186" s="94"/>
      <c r="I186" s="94"/>
      <c r="J186" s="94"/>
      <c r="K186" s="95"/>
      <c r="L186" s="95"/>
      <c r="M186" s="96"/>
      <c r="N186" s="96"/>
      <c r="O186" s="96"/>
      <c r="P186" s="96"/>
      <c r="Q186" s="96"/>
      <c r="R186" s="96"/>
      <c r="S186" s="96"/>
      <c r="DO186" s="99"/>
    </row>
    <row r="187" spans="2:119" ht="15.75" customHeight="1">
      <c r="B187" s="94"/>
      <c r="C187" s="94"/>
      <c r="D187" s="94"/>
      <c r="E187" s="94"/>
      <c r="F187" s="94"/>
      <c r="G187" s="94"/>
      <c r="H187" s="94"/>
      <c r="I187" s="94"/>
      <c r="J187" s="94"/>
      <c r="K187" s="95"/>
      <c r="L187" s="95"/>
      <c r="M187" s="96"/>
      <c r="N187" s="96"/>
      <c r="O187" s="96"/>
      <c r="P187" s="96"/>
      <c r="Q187" s="96"/>
      <c r="R187" s="96"/>
      <c r="S187" s="96"/>
      <c r="DO187" s="99"/>
    </row>
    <row r="188" spans="2:119" ht="15.75" customHeight="1">
      <c r="B188" s="94"/>
      <c r="C188" s="94"/>
      <c r="D188" s="94"/>
      <c r="E188" s="94"/>
      <c r="F188" s="94"/>
      <c r="G188" s="94"/>
      <c r="H188" s="94"/>
      <c r="I188" s="94"/>
      <c r="J188" s="94"/>
      <c r="K188" s="95"/>
      <c r="L188" s="95"/>
      <c r="M188" s="96"/>
      <c r="N188" s="96"/>
      <c r="O188" s="96"/>
      <c r="P188" s="96"/>
      <c r="Q188" s="96"/>
      <c r="R188" s="96"/>
      <c r="S188" s="96"/>
      <c r="DO188" s="99"/>
    </row>
    <row r="189" spans="2:119" ht="15.75" customHeight="1">
      <c r="B189" s="94"/>
      <c r="C189" s="94"/>
      <c r="D189" s="94"/>
      <c r="E189" s="94"/>
      <c r="F189" s="94"/>
      <c r="G189" s="94"/>
      <c r="H189" s="94"/>
      <c r="I189" s="94"/>
      <c r="J189" s="94"/>
      <c r="K189" s="95"/>
      <c r="L189" s="95"/>
      <c r="M189" s="96"/>
      <c r="N189" s="96"/>
      <c r="O189" s="96"/>
      <c r="P189" s="96"/>
      <c r="Q189" s="96"/>
      <c r="R189" s="96"/>
      <c r="S189" s="96"/>
      <c r="DO189" s="99"/>
    </row>
    <row r="190" spans="2:119" ht="15.75" customHeight="1">
      <c r="B190" s="94"/>
      <c r="C190" s="94"/>
      <c r="D190" s="94"/>
      <c r="E190" s="94"/>
      <c r="F190" s="94"/>
      <c r="G190" s="94"/>
      <c r="H190" s="94"/>
      <c r="I190" s="94"/>
      <c r="J190" s="94"/>
      <c r="K190" s="95"/>
      <c r="L190" s="95"/>
      <c r="M190" s="96"/>
      <c r="N190" s="96"/>
      <c r="O190" s="96"/>
      <c r="P190" s="96"/>
      <c r="Q190" s="96"/>
      <c r="R190" s="96"/>
      <c r="S190" s="96"/>
      <c r="DO190" s="99"/>
    </row>
    <row r="191" spans="2:119" ht="15.75" customHeight="1">
      <c r="B191" s="94"/>
      <c r="C191" s="94"/>
      <c r="D191" s="94"/>
      <c r="E191" s="94"/>
      <c r="F191" s="94"/>
      <c r="G191" s="94"/>
      <c r="H191" s="94"/>
      <c r="I191" s="94"/>
      <c r="J191" s="94"/>
      <c r="K191" s="95"/>
      <c r="L191" s="95"/>
      <c r="M191" s="96"/>
      <c r="N191" s="96"/>
      <c r="O191" s="96"/>
      <c r="P191" s="96"/>
      <c r="Q191" s="96"/>
      <c r="R191" s="96"/>
      <c r="S191" s="96"/>
      <c r="DO191" s="99"/>
    </row>
    <row r="192" spans="2:119" ht="15.75" customHeight="1">
      <c r="B192" s="94"/>
      <c r="C192" s="94"/>
      <c r="D192" s="94"/>
      <c r="E192" s="94"/>
      <c r="F192" s="94"/>
      <c r="G192" s="94"/>
      <c r="H192" s="94"/>
      <c r="I192" s="94"/>
      <c r="J192" s="94"/>
      <c r="K192" s="95"/>
      <c r="L192" s="95"/>
      <c r="M192" s="96"/>
      <c r="N192" s="96"/>
      <c r="O192" s="96"/>
      <c r="P192" s="96"/>
      <c r="Q192" s="96"/>
      <c r="R192" s="96"/>
      <c r="S192" s="96"/>
      <c r="DO192" s="99"/>
    </row>
    <row r="193" spans="2:119" ht="15.75" customHeight="1">
      <c r="B193" s="94"/>
      <c r="C193" s="94"/>
      <c r="D193" s="94"/>
      <c r="E193" s="94"/>
      <c r="F193" s="94"/>
      <c r="G193" s="94"/>
      <c r="H193" s="94"/>
      <c r="I193" s="94"/>
      <c r="J193" s="94"/>
      <c r="K193" s="95"/>
      <c r="L193" s="95"/>
      <c r="M193" s="96"/>
      <c r="N193" s="96"/>
      <c r="O193" s="96"/>
      <c r="P193" s="96"/>
      <c r="Q193" s="96"/>
      <c r="R193" s="96"/>
      <c r="S193" s="96"/>
      <c r="DO193" s="99"/>
    </row>
    <row r="194" spans="2:119" ht="15.75" customHeight="1">
      <c r="B194" s="94"/>
      <c r="C194" s="94"/>
      <c r="D194" s="94"/>
      <c r="E194" s="94"/>
      <c r="F194" s="94"/>
      <c r="G194" s="94"/>
      <c r="H194" s="94"/>
      <c r="I194" s="94"/>
      <c r="J194" s="94"/>
      <c r="K194" s="95"/>
      <c r="L194" s="95"/>
      <c r="M194" s="96"/>
      <c r="N194" s="96"/>
      <c r="O194" s="96"/>
      <c r="P194" s="96"/>
      <c r="Q194" s="96"/>
      <c r="R194" s="96"/>
      <c r="S194" s="96"/>
      <c r="DO194" s="99"/>
    </row>
    <row r="195" spans="2:119" ht="15.75" customHeight="1">
      <c r="B195" s="94"/>
      <c r="C195" s="94"/>
      <c r="D195" s="94"/>
      <c r="E195" s="94"/>
      <c r="F195" s="94"/>
      <c r="G195" s="94"/>
      <c r="H195" s="94"/>
      <c r="I195" s="94"/>
      <c r="J195" s="94"/>
      <c r="K195" s="95"/>
      <c r="L195" s="95"/>
      <c r="M195" s="96"/>
      <c r="N195" s="96"/>
      <c r="O195" s="96"/>
      <c r="P195" s="96"/>
      <c r="Q195" s="96"/>
      <c r="R195" s="96"/>
      <c r="S195" s="96"/>
      <c r="DO195" s="99"/>
    </row>
    <row r="196" spans="2:119" ht="15.75" customHeight="1">
      <c r="B196" s="94"/>
      <c r="C196" s="94"/>
      <c r="D196" s="94"/>
      <c r="E196" s="94"/>
      <c r="F196" s="94"/>
      <c r="G196" s="94"/>
      <c r="H196" s="94"/>
      <c r="I196" s="94"/>
      <c r="J196" s="94"/>
      <c r="K196" s="95"/>
      <c r="L196" s="95"/>
      <c r="M196" s="96"/>
      <c r="N196" s="96"/>
      <c r="O196" s="96"/>
      <c r="P196" s="96"/>
      <c r="Q196" s="96"/>
      <c r="R196" s="96"/>
      <c r="S196" s="96"/>
      <c r="DO196" s="99"/>
    </row>
    <row r="197" spans="2:119" ht="15.75" customHeight="1">
      <c r="B197" s="94"/>
      <c r="C197" s="94"/>
      <c r="D197" s="94"/>
      <c r="E197" s="94"/>
      <c r="F197" s="94"/>
      <c r="G197" s="94"/>
      <c r="H197" s="94"/>
      <c r="I197" s="94"/>
      <c r="J197" s="94"/>
      <c r="K197" s="95"/>
      <c r="L197" s="95"/>
      <c r="M197" s="96"/>
      <c r="N197" s="96"/>
      <c r="O197" s="96"/>
      <c r="P197" s="96"/>
      <c r="Q197" s="96"/>
      <c r="R197" s="96"/>
      <c r="S197" s="96"/>
      <c r="DO197" s="99"/>
    </row>
    <row r="198" spans="2:119" ht="15.75" customHeight="1">
      <c r="B198" s="94"/>
      <c r="C198" s="94"/>
      <c r="D198" s="94"/>
      <c r="E198" s="94"/>
      <c r="F198" s="94"/>
      <c r="G198" s="94"/>
      <c r="H198" s="94"/>
      <c r="I198" s="94"/>
      <c r="J198" s="94"/>
      <c r="K198" s="95"/>
      <c r="L198" s="95"/>
      <c r="M198" s="96"/>
      <c r="N198" s="96"/>
      <c r="O198" s="96"/>
      <c r="P198" s="96"/>
      <c r="Q198" s="96"/>
      <c r="R198" s="96"/>
      <c r="S198" s="96"/>
      <c r="DO198" s="99"/>
    </row>
    <row r="199" spans="2:119" ht="15.75" customHeight="1">
      <c r="B199" s="94"/>
      <c r="C199" s="94"/>
      <c r="D199" s="94"/>
      <c r="E199" s="94"/>
      <c r="F199" s="94"/>
      <c r="G199" s="94"/>
      <c r="H199" s="94"/>
      <c r="I199" s="94"/>
      <c r="J199" s="94"/>
      <c r="K199" s="95"/>
      <c r="L199" s="95"/>
      <c r="M199" s="96"/>
      <c r="N199" s="96"/>
      <c r="O199" s="96"/>
      <c r="P199" s="96"/>
      <c r="Q199" s="96"/>
      <c r="R199" s="96"/>
      <c r="S199" s="96"/>
      <c r="DO199" s="99"/>
    </row>
    <row r="200" spans="2:119" ht="15.75" customHeight="1">
      <c r="B200" s="94"/>
      <c r="C200" s="94"/>
      <c r="D200" s="94"/>
      <c r="E200" s="94"/>
      <c r="F200" s="94"/>
      <c r="G200" s="94"/>
      <c r="H200" s="94"/>
      <c r="I200" s="94"/>
      <c r="J200" s="94"/>
      <c r="K200" s="95"/>
      <c r="L200" s="95"/>
      <c r="M200" s="96"/>
      <c r="N200" s="96"/>
      <c r="O200" s="96"/>
      <c r="P200" s="96"/>
      <c r="Q200" s="96"/>
      <c r="R200" s="96"/>
      <c r="S200" s="96"/>
      <c r="DO200" s="99"/>
    </row>
    <row r="201" spans="2:119" ht="15.75" customHeight="1">
      <c r="B201" s="94"/>
      <c r="C201" s="94"/>
      <c r="D201" s="94"/>
      <c r="E201" s="94"/>
      <c r="F201" s="94"/>
      <c r="G201" s="94"/>
      <c r="H201" s="94"/>
      <c r="I201" s="94"/>
      <c r="J201" s="94"/>
      <c r="K201" s="95"/>
      <c r="L201" s="95"/>
      <c r="M201" s="96"/>
      <c r="N201" s="96"/>
      <c r="O201" s="96"/>
      <c r="P201" s="96"/>
      <c r="Q201" s="96"/>
      <c r="R201" s="96"/>
      <c r="S201" s="96"/>
      <c r="DO201" s="99"/>
    </row>
    <row r="202" spans="2:119" ht="15.75" customHeight="1">
      <c r="B202" s="94"/>
      <c r="C202" s="94"/>
      <c r="D202" s="94"/>
      <c r="E202" s="94"/>
      <c r="F202" s="94"/>
      <c r="G202" s="94"/>
      <c r="H202" s="94"/>
      <c r="I202" s="94"/>
      <c r="J202" s="94"/>
      <c r="K202" s="95"/>
      <c r="L202" s="95"/>
      <c r="M202" s="96"/>
      <c r="N202" s="96"/>
      <c r="O202" s="96"/>
      <c r="P202" s="96"/>
      <c r="Q202" s="96"/>
      <c r="R202" s="96"/>
      <c r="S202" s="96"/>
      <c r="DO202" s="99"/>
    </row>
    <row r="203" spans="2:119" ht="15.75" customHeight="1">
      <c r="B203" s="94"/>
      <c r="C203" s="94"/>
      <c r="D203" s="94"/>
      <c r="E203" s="94"/>
      <c r="F203" s="94"/>
      <c r="G203" s="94"/>
      <c r="H203" s="94"/>
      <c r="I203" s="94"/>
      <c r="J203" s="94"/>
      <c r="K203" s="95"/>
      <c r="L203" s="95"/>
      <c r="M203" s="96"/>
      <c r="N203" s="96"/>
      <c r="O203" s="96"/>
      <c r="P203" s="96"/>
      <c r="Q203" s="96"/>
      <c r="R203" s="96"/>
      <c r="S203" s="96"/>
      <c r="DO203" s="99"/>
    </row>
    <row r="204" spans="2:119" ht="15.75" customHeight="1">
      <c r="B204" s="94"/>
      <c r="C204" s="94"/>
      <c r="D204" s="94"/>
      <c r="E204" s="94"/>
      <c r="F204" s="94"/>
      <c r="G204" s="94"/>
      <c r="H204" s="94"/>
      <c r="I204" s="94"/>
      <c r="J204" s="94"/>
      <c r="K204" s="95"/>
      <c r="L204" s="95"/>
      <c r="M204" s="96"/>
      <c r="N204" s="96"/>
      <c r="O204" s="96"/>
      <c r="P204" s="96"/>
      <c r="Q204" s="96"/>
      <c r="R204" s="96"/>
      <c r="S204" s="96"/>
      <c r="DO204" s="99"/>
    </row>
    <row r="205" spans="2:119" ht="15.75" customHeight="1">
      <c r="B205" s="94"/>
      <c r="C205" s="94"/>
      <c r="D205" s="94"/>
      <c r="E205" s="94"/>
      <c r="F205" s="94"/>
      <c r="G205" s="94"/>
      <c r="H205" s="94"/>
      <c r="I205" s="94"/>
      <c r="J205" s="94"/>
      <c r="K205" s="95"/>
      <c r="L205" s="95"/>
      <c r="M205" s="96"/>
      <c r="N205" s="96"/>
      <c r="O205" s="96"/>
      <c r="P205" s="96"/>
      <c r="Q205" s="96"/>
      <c r="R205" s="96"/>
      <c r="S205" s="96"/>
      <c r="DO205" s="99"/>
    </row>
    <row r="206" spans="2:119" ht="15.75" customHeight="1">
      <c r="B206" s="94"/>
      <c r="C206" s="94"/>
      <c r="D206" s="94"/>
      <c r="E206" s="94"/>
      <c r="F206" s="94"/>
      <c r="G206" s="94"/>
      <c r="H206" s="94"/>
      <c r="I206" s="94"/>
      <c r="J206" s="94"/>
      <c r="K206" s="95"/>
      <c r="L206" s="95"/>
      <c r="M206" s="96"/>
      <c r="N206" s="96"/>
      <c r="O206" s="96"/>
      <c r="P206" s="96"/>
      <c r="Q206" s="96"/>
      <c r="R206" s="96"/>
      <c r="S206" s="96"/>
      <c r="DO206" s="99"/>
    </row>
    <row r="207" spans="2:119" ht="15.75" customHeight="1">
      <c r="B207" s="94"/>
      <c r="C207" s="94"/>
      <c r="D207" s="94"/>
      <c r="E207" s="94"/>
      <c r="F207" s="94"/>
      <c r="G207" s="94"/>
      <c r="H207" s="94"/>
      <c r="I207" s="94"/>
      <c r="J207" s="94"/>
      <c r="K207" s="95"/>
      <c r="L207" s="95"/>
      <c r="M207" s="96"/>
      <c r="N207" s="96"/>
      <c r="O207" s="96"/>
      <c r="P207" s="96"/>
      <c r="Q207" s="96"/>
      <c r="R207" s="96"/>
      <c r="S207" s="96"/>
      <c r="DO207" s="99"/>
    </row>
    <row r="208" spans="2:119" ht="15.75" customHeight="1">
      <c r="B208" s="94"/>
      <c r="C208" s="94"/>
      <c r="D208" s="94"/>
      <c r="E208" s="94"/>
      <c r="F208" s="94"/>
      <c r="G208" s="94"/>
      <c r="H208" s="94"/>
      <c r="I208" s="94"/>
      <c r="J208" s="94"/>
      <c r="K208" s="95"/>
      <c r="L208" s="95"/>
      <c r="M208" s="96"/>
      <c r="N208" s="96"/>
      <c r="O208" s="96"/>
      <c r="P208" s="96"/>
      <c r="Q208" s="96"/>
      <c r="R208" s="96"/>
      <c r="S208" s="96"/>
      <c r="DO208" s="99"/>
    </row>
    <row r="209" spans="2:119" ht="15.75" customHeight="1">
      <c r="B209" s="94"/>
      <c r="C209" s="94"/>
      <c r="D209" s="94"/>
      <c r="E209" s="94"/>
      <c r="F209" s="94"/>
      <c r="G209" s="94"/>
      <c r="H209" s="94"/>
      <c r="I209" s="94"/>
      <c r="J209" s="94"/>
      <c r="K209" s="95"/>
      <c r="L209" s="95"/>
      <c r="M209" s="96"/>
      <c r="N209" s="96"/>
      <c r="O209" s="96"/>
      <c r="P209" s="96"/>
      <c r="Q209" s="96"/>
      <c r="R209" s="96"/>
      <c r="S209" s="96"/>
      <c r="DO209" s="99"/>
    </row>
    <row r="210" spans="2:119" ht="15.75" customHeight="1">
      <c r="B210" s="94"/>
      <c r="C210" s="94"/>
      <c r="D210" s="94"/>
      <c r="E210" s="94"/>
      <c r="F210" s="94"/>
      <c r="G210" s="94"/>
      <c r="H210" s="94"/>
      <c r="I210" s="94"/>
      <c r="J210" s="94"/>
      <c r="K210" s="95"/>
      <c r="L210" s="95"/>
      <c r="M210" s="96"/>
      <c r="N210" s="96"/>
      <c r="O210" s="96"/>
      <c r="P210" s="96"/>
      <c r="Q210" s="96"/>
      <c r="R210" s="96"/>
      <c r="S210" s="96"/>
      <c r="DO210" s="99"/>
    </row>
    <row r="211" spans="2:119" ht="15.75" customHeight="1">
      <c r="B211" s="94"/>
      <c r="C211" s="94"/>
      <c r="D211" s="94"/>
      <c r="E211" s="94"/>
      <c r="F211" s="94"/>
      <c r="G211" s="94"/>
      <c r="H211" s="94"/>
      <c r="I211" s="94"/>
      <c r="J211" s="94"/>
      <c r="K211" s="95"/>
      <c r="L211" s="95"/>
      <c r="M211" s="96"/>
      <c r="N211" s="96"/>
      <c r="O211" s="96"/>
      <c r="P211" s="96"/>
      <c r="Q211" s="96"/>
      <c r="R211" s="96"/>
      <c r="S211" s="96"/>
      <c r="DO211" s="99"/>
    </row>
    <row r="212" spans="2:119" ht="15.75" customHeight="1">
      <c r="B212" s="94"/>
      <c r="C212" s="94"/>
      <c r="D212" s="94"/>
      <c r="E212" s="94"/>
      <c r="F212" s="94"/>
      <c r="G212" s="94"/>
      <c r="H212" s="94"/>
      <c r="I212" s="94"/>
      <c r="J212" s="94"/>
      <c r="K212" s="95"/>
      <c r="L212" s="95"/>
      <c r="M212" s="96"/>
      <c r="N212" s="96"/>
      <c r="O212" s="96"/>
      <c r="P212" s="96"/>
      <c r="Q212" s="96"/>
      <c r="R212" s="96"/>
      <c r="S212" s="96"/>
      <c r="DO212" s="99"/>
    </row>
    <row r="213" spans="2:119" ht="15.75" customHeight="1">
      <c r="B213" s="94"/>
      <c r="C213" s="94"/>
      <c r="D213" s="94"/>
      <c r="E213" s="94"/>
      <c r="F213" s="94"/>
      <c r="G213" s="94"/>
      <c r="H213" s="94"/>
      <c r="I213" s="94"/>
      <c r="J213" s="94"/>
      <c r="K213" s="95"/>
      <c r="L213" s="95"/>
      <c r="M213" s="96"/>
      <c r="N213" s="96"/>
      <c r="O213" s="96"/>
      <c r="P213" s="96"/>
      <c r="Q213" s="96"/>
      <c r="R213" s="96"/>
      <c r="S213" s="96"/>
      <c r="DO213" s="99"/>
    </row>
    <row r="214" spans="2:119" ht="15.75" customHeight="1">
      <c r="B214" s="94"/>
      <c r="C214" s="94"/>
      <c r="D214" s="94"/>
      <c r="E214" s="94"/>
      <c r="F214" s="94"/>
      <c r="G214" s="94"/>
      <c r="H214" s="94"/>
      <c r="I214" s="94"/>
      <c r="J214" s="94"/>
      <c r="K214" s="95"/>
      <c r="L214" s="95"/>
      <c r="M214" s="96"/>
      <c r="N214" s="96"/>
      <c r="O214" s="96"/>
      <c r="P214" s="96"/>
      <c r="Q214" s="96"/>
      <c r="R214" s="96"/>
      <c r="S214" s="96"/>
      <c r="DO214" s="99"/>
    </row>
    <row r="215" spans="2:119" ht="15.75" customHeight="1">
      <c r="B215" s="94"/>
      <c r="C215" s="94"/>
      <c r="D215" s="94"/>
      <c r="E215" s="94"/>
      <c r="F215" s="94"/>
      <c r="G215" s="94"/>
      <c r="H215" s="94"/>
      <c r="I215" s="94"/>
      <c r="J215" s="94"/>
      <c r="K215" s="95"/>
      <c r="L215" s="95"/>
      <c r="M215" s="96"/>
      <c r="N215" s="96"/>
      <c r="O215" s="96"/>
      <c r="P215" s="96"/>
      <c r="Q215" s="96"/>
      <c r="R215" s="96"/>
      <c r="S215" s="96"/>
      <c r="DO215" s="99"/>
    </row>
    <row r="216" spans="2:119" ht="15.75" customHeight="1">
      <c r="B216" s="94"/>
      <c r="C216" s="94"/>
      <c r="D216" s="94"/>
      <c r="E216" s="94"/>
      <c r="F216" s="94"/>
      <c r="G216" s="94"/>
      <c r="H216" s="94"/>
      <c r="I216" s="94"/>
      <c r="J216" s="94"/>
      <c r="K216" s="95"/>
      <c r="L216" s="95"/>
      <c r="M216" s="96"/>
      <c r="N216" s="96"/>
      <c r="O216" s="96"/>
      <c r="P216" s="96"/>
      <c r="Q216" s="96"/>
      <c r="R216" s="96"/>
      <c r="S216" s="96"/>
      <c r="DO216" s="99"/>
    </row>
    <row r="217" spans="2:119" ht="15.75" customHeight="1">
      <c r="B217" s="94"/>
      <c r="C217" s="94"/>
      <c r="D217" s="94"/>
      <c r="E217" s="94"/>
      <c r="F217" s="94"/>
      <c r="G217" s="94"/>
      <c r="H217" s="94"/>
      <c r="I217" s="94"/>
      <c r="J217" s="94"/>
      <c r="K217" s="95"/>
      <c r="L217" s="95"/>
      <c r="M217" s="96"/>
      <c r="N217" s="96"/>
      <c r="O217" s="96"/>
      <c r="P217" s="96"/>
      <c r="Q217" s="96"/>
      <c r="R217" s="96"/>
      <c r="S217" s="96"/>
      <c r="DO217" s="99"/>
    </row>
    <row r="218" spans="2:119" ht="15.75" customHeight="1">
      <c r="B218" s="94"/>
      <c r="C218" s="94"/>
      <c r="D218" s="94"/>
      <c r="E218" s="94"/>
      <c r="F218" s="94"/>
      <c r="G218" s="94"/>
      <c r="H218" s="94"/>
      <c r="I218" s="94"/>
      <c r="J218" s="94"/>
      <c r="K218" s="95"/>
      <c r="L218" s="95"/>
      <c r="M218" s="96"/>
      <c r="N218" s="96"/>
      <c r="O218" s="96"/>
      <c r="P218" s="96"/>
      <c r="Q218" s="96"/>
      <c r="R218" s="96"/>
      <c r="S218" s="96"/>
      <c r="DO218" s="99"/>
    </row>
    <row r="219" spans="2:119" ht="15.75" customHeight="1">
      <c r="B219" s="94"/>
      <c r="C219" s="94"/>
      <c r="D219" s="94"/>
      <c r="E219" s="94"/>
      <c r="F219" s="94"/>
      <c r="G219" s="94"/>
      <c r="H219" s="94"/>
      <c r="I219" s="94"/>
      <c r="J219" s="94"/>
      <c r="K219" s="95"/>
      <c r="L219" s="95"/>
      <c r="M219" s="96"/>
      <c r="N219" s="96"/>
      <c r="O219" s="96"/>
      <c r="P219" s="96"/>
      <c r="Q219" s="96"/>
      <c r="R219" s="96"/>
      <c r="S219" s="96"/>
      <c r="DO219" s="99"/>
    </row>
    <row r="220" spans="2:119" ht="15.75" customHeight="1">
      <c r="B220" s="94"/>
      <c r="C220" s="94"/>
      <c r="D220" s="94"/>
      <c r="E220" s="94"/>
      <c r="F220" s="94"/>
      <c r="G220" s="94"/>
      <c r="H220" s="94"/>
      <c r="I220" s="94"/>
      <c r="J220" s="94"/>
      <c r="K220" s="95"/>
      <c r="L220" s="95"/>
      <c r="M220" s="96"/>
      <c r="N220" s="96"/>
      <c r="O220" s="96"/>
      <c r="P220" s="96"/>
      <c r="Q220" s="96"/>
      <c r="R220" s="96"/>
      <c r="S220" s="96"/>
      <c r="DO220" s="99"/>
    </row>
    <row r="221" spans="2:119" ht="15.75" customHeight="1">
      <c r="B221" s="94"/>
      <c r="C221" s="94"/>
      <c r="D221" s="94"/>
      <c r="E221" s="94"/>
      <c r="F221" s="94"/>
      <c r="G221" s="94"/>
      <c r="H221" s="94"/>
      <c r="I221" s="94"/>
      <c r="J221" s="94"/>
      <c r="K221" s="95"/>
      <c r="L221" s="95"/>
      <c r="M221" s="96"/>
      <c r="N221" s="96"/>
      <c r="O221" s="96"/>
      <c r="P221" s="96"/>
      <c r="Q221" s="96"/>
      <c r="R221" s="96"/>
      <c r="S221" s="96"/>
      <c r="DO221" s="99"/>
    </row>
    <row r="222" spans="2:119" ht="15.75" customHeight="1">
      <c r="B222" s="94"/>
      <c r="C222" s="94"/>
      <c r="D222" s="94"/>
      <c r="E222" s="94"/>
      <c r="F222" s="94"/>
      <c r="G222" s="94"/>
      <c r="H222" s="94"/>
      <c r="I222" s="94"/>
      <c r="J222" s="94"/>
      <c r="K222" s="95"/>
      <c r="L222" s="95"/>
      <c r="M222" s="96"/>
      <c r="N222" s="96"/>
      <c r="O222" s="96"/>
      <c r="P222" s="96"/>
      <c r="Q222" s="96"/>
      <c r="R222" s="96"/>
      <c r="S222" s="96"/>
      <c r="DO222" s="99"/>
    </row>
    <row r="223" spans="2:119" ht="15.75" customHeight="1">
      <c r="B223" s="94"/>
      <c r="C223" s="94"/>
      <c r="D223" s="94"/>
      <c r="E223" s="94"/>
      <c r="F223" s="94"/>
      <c r="G223" s="94"/>
      <c r="H223" s="94"/>
      <c r="I223" s="94"/>
      <c r="J223" s="94"/>
      <c r="K223" s="95"/>
      <c r="L223" s="95"/>
      <c r="M223" s="96"/>
      <c r="N223" s="96"/>
      <c r="O223" s="96"/>
      <c r="P223" s="96"/>
      <c r="Q223" s="96"/>
      <c r="R223" s="96"/>
      <c r="S223" s="96"/>
      <c r="DO223" s="99"/>
    </row>
    <row r="224" spans="2:119" ht="15.75" customHeight="1">
      <c r="B224" s="94"/>
      <c r="C224" s="94"/>
      <c r="D224" s="94"/>
      <c r="E224" s="94"/>
      <c r="F224" s="94"/>
      <c r="G224" s="94"/>
      <c r="H224" s="94"/>
      <c r="I224" s="94"/>
      <c r="J224" s="94"/>
      <c r="K224" s="95"/>
      <c r="L224" s="95"/>
      <c r="M224" s="96"/>
      <c r="N224" s="96"/>
      <c r="O224" s="96"/>
      <c r="P224" s="96"/>
      <c r="Q224" s="96"/>
      <c r="R224" s="96"/>
      <c r="S224" s="96"/>
      <c r="DO224" s="99"/>
    </row>
    <row r="225" spans="2:119" ht="15.75" customHeight="1">
      <c r="B225" s="94"/>
      <c r="C225" s="94"/>
      <c r="D225" s="94"/>
      <c r="E225" s="94"/>
      <c r="F225" s="94"/>
      <c r="G225" s="94"/>
      <c r="H225" s="94"/>
      <c r="I225" s="94"/>
      <c r="J225" s="94"/>
      <c r="K225" s="95"/>
      <c r="L225" s="95"/>
      <c r="M225" s="96"/>
      <c r="N225" s="96"/>
      <c r="O225" s="96"/>
      <c r="P225" s="96"/>
      <c r="Q225" s="96"/>
      <c r="R225" s="96"/>
      <c r="S225" s="96"/>
      <c r="DO225" s="99"/>
    </row>
    <row r="226" spans="2:119" ht="15.75" customHeight="1">
      <c r="B226" s="94"/>
      <c r="C226" s="94"/>
      <c r="D226" s="94"/>
      <c r="E226" s="94"/>
      <c r="F226" s="94"/>
      <c r="G226" s="94"/>
      <c r="H226" s="94"/>
      <c r="I226" s="94"/>
      <c r="J226" s="94"/>
      <c r="K226" s="95"/>
      <c r="L226" s="95"/>
      <c r="M226" s="96"/>
      <c r="N226" s="96"/>
      <c r="O226" s="96"/>
      <c r="P226" s="96"/>
      <c r="Q226" s="96"/>
      <c r="R226" s="96"/>
      <c r="S226" s="96"/>
      <c r="DO226" s="99"/>
    </row>
    <row r="227" spans="2:119" ht="15.75" customHeight="1">
      <c r="B227" s="94"/>
      <c r="C227" s="94"/>
      <c r="D227" s="94"/>
      <c r="E227" s="94"/>
      <c r="F227" s="94"/>
      <c r="G227" s="94"/>
      <c r="H227" s="94"/>
      <c r="I227" s="94"/>
      <c r="J227" s="94"/>
      <c r="K227" s="95"/>
      <c r="L227" s="95"/>
      <c r="M227" s="96"/>
      <c r="N227" s="96"/>
      <c r="O227" s="96"/>
      <c r="P227" s="96"/>
      <c r="Q227" s="96"/>
      <c r="R227" s="96"/>
      <c r="S227" s="96"/>
      <c r="DO227" s="99"/>
    </row>
    <row r="228" spans="2:119" ht="15.75" customHeight="1">
      <c r="B228" s="94"/>
      <c r="C228" s="94"/>
      <c r="D228" s="94"/>
      <c r="E228" s="94"/>
      <c r="F228" s="94"/>
      <c r="G228" s="94"/>
      <c r="H228" s="94"/>
      <c r="I228" s="94"/>
      <c r="J228" s="94"/>
      <c r="K228" s="95"/>
      <c r="L228" s="95"/>
      <c r="M228" s="96"/>
      <c r="N228" s="96"/>
      <c r="O228" s="96"/>
      <c r="P228" s="96"/>
      <c r="Q228" s="96"/>
      <c r="R228" s="96"/>
      <c r="S228" s="96"/>
      <c r="DO228" s="99"/>
    </row>
    <row r="229" spans="2:119" ht="15.75" customHeight="1">
      <c r="B229" s="94"/>
      <c r="C229" s="94"/>
      <c r="D229" s="94"/>
      <c r="E229" s="94"/>
      <c r="F229" s="94"/>
      <c r="G229" s="94"/>
      <c r="H229" s="94"/>
      <c r="I229" s="94"/>
      <c r="J229" s="94"/>
      <c r="K229" s="95"/>
      <c r="L229" s="95"/>
      <c r="M229" s="96"/>
      <c r="N229" s="96"/>
      <c r="O229" s="96"/>
      <c r="P229" s="96"/>
      <c r="Q229" s="96"/>
      <c r="R229" s="96"/>
      <c r="S229" s="96"/>
      <c r="DO229" s="99"/>
    </row>
    <row r="230" spans="2:119" ht="15.75" customHeight="1">
      <c r="B230" s="94"/>
      <c r="C230" s="94"/>
      <c r="D230" s="94"/>
      <c r="E230" s="94"/>
      <c r="F230" s="94"/>
      <c r="G230" s="94"/>
      <c r="H230" s="94"/>
      <c r="I230" s="94"/>
      <c r="J230" s="94"/>
      <c r="K230" s="95"/>
      <c r="L230" s="95"/>
      <c r="M230" s="96"/>
      <c r="N230" s="96"/>
      <c r="O230" s="96"/>
      <c r="P230" s="96"/>
      <c r="Q230" s="96"/>
      <c r="R230" s="96"/>
      <c r="S230" s="96"/>
      <c r="DO230" s="99"/>
    </row>
    <row r="231" spans="2:119" ht="15.75" customHeight="1">
      <c r="B231" s="94"/>
      <c r="C231" s="94"/>
      <c r="D231" s="94"/>
      <c r="E231" s="94"/>
      <c r="F231" s="94"/>
      <c r="G231" s="94"/>
      <c r="H231" s="94"/>
      <c r="I231" s="94"/>
      <c r="J231" s="94"/>
      <c r="K231" s="95"/>
      <c r="L231" s="95"/>
      <c r="M231" s="96"/>
      <c r="N231" s="96"/>
      <c r="O231" s="96"/>
      <c r="P231" s="96"/>
      <c r="Q231" s="96"/>
      <c r="R231" s="96"/>
      <c r="S231" s="96"/>
      <c r="DO231" s="99"/>
    </row>
    <row r="232" spans="2:119" ht="15.75" customHeight="1">
      <c r="B232" s="94"/>
      <c r="C232" s="94"/>
      <c r="D232" s="94"/>
      <c r="E232" s="94"/>
      <c r="F232" s="94"/>
      <c r="G232" s="94"/>
      <c r="H232" s="94"/>
      <c r="I232" s="94"/>
      <c r="J232" s="94"/>
      <c r="K232" s="95"/>
      <c r="L232" s="95"/>
      <c r="M232" s="96"/>
      <c r="N232" s="96"/>
      <c r="O232" s="96"/>
      <c r="P232" s="96"/>
      <c r="Q232" s="96"/>
      <c r="R232" s="96"/>
      <c r="S232" s="96"/>
      <c r="DO232" s="99"/>
    </row>
    <row r="233" spans="2:119" ht="15.75" customHeight="1">
      <c r="B233" s="94"/>
      <c r="C233" s="94"/>
      <c r="D233" s="94"/>
      <c r="E233" s="94"/>
      <c r="F233" s="94"/>
      <c r="G233" s="94"/>
      <c r="H233" s="94"/>
      <c r="I233" s="94"/>
      <c r="J233" s="94"/>
      <c r="K233" s="95"/>
      <c r="L233" s="95"/>
      <c r="M233" s="96"/>
      <c r="N233" s="96"/>
      <c r="O233" s="96"/>
      <c r="P233" s="96"/>
      <c r="Q233" s="96"/>
      <c r="R233" s="96"/>
      <c r="S233" s="96"/>
      <c r="DO233" s="99"/>
    </row>
    <row r="234" spans="2:119" ht="15.75" customHeight="1">
      <c r="B234" s="94"/>
      <c r="C234" s="94"/>
      <c r="D234" s="94"/>
      <c r="E234" s="94"/>
      <c r="F234" s="94"/>
      <c r="G234" s="94"/>
      <c r="H234" s="94"/>
      <c r="I234" s="94"/>
      <c r="J234" s="94"/>
      <c r="K234" s="95"/>
      <c r="L234" s="95"/>
      <c r="M234" s="96"/>
      <c r="N234" s="96"/>
      <c r="O234" s="96"/>
      <c r="P234" s="96"/>
      <c r="Q234" s="96"/>
      <c r="R234" s="96"/>
      <c r="S234" s="96"/>
      <c r="DO234" s="99"/>
    </row>
    <row r="235" spans="2:119" ht="15.75" customHeight="1">
      <c r="B235" s="94"/>
      <c r="C235" s="94"/>
      <c r="D235" s="94"/>
      <c r="E235" s="94"/>
      <c r="F235" s="94"/>
      <c r="G235" s="94"/>
      <c r="H235" s="94"/>
      <c r="I235" s="94"/>
      <c r="J235" s="94"/>
      <c r="K235" s="95"/>
      <c r="L235" s="95"/>
      <c r="M235" s="96"/>
      <c r="N235" s="96"/>
      <c r="O235" s="96"/>
      <c r="P235" s="96"/>
      <c r="Q235" s="96"/>
      <c r="R235" s="96"/>
      <c r="S235" s="96"/>
      <c r="DO235" s="99"/>
    </row>
    <row r="236" spans="2:119" ht="15.75" customHeight="1">
      <c r="B236" s="94"/>
      <c r="C236" s="94"/>
      <c r="D236" s="94"/>
      <c r="E236" s="94"/>
      <c r="F236" s="94"/>
      <c r="G236" s="94"/>
      <c r="H236" s="94"/>
      <c r="I236" s="94"/>
      <c r="J236" s="94"/>
      <c r="K236" s="95"/>
      <c r="L236" s="95"/>
      <c r="M236" s="96"/>
      <c r="N236" s="96"/>
      <c r="O236" s="96"/>
      <c r="P236" s="96"/>
      <c r="Q236" s="96"/>
      <c r="R236" s="96"/>
      <c r="S236" s="96"/>
      <c r="DO236" s="99"/>
    </row>
    <row r="237" spans="2:119" ht="15.75" customHeight="1">
      <c r="B237" s="94"/>
      <c r="C237" s="94"/>
      <c r="D237" s="94"/>
      <c r="E237" s="94"/>
      <c r="F237" s="94"/>
      <c r="G237" s="94"/>
      <c r="H237" s="94"/>
      <c r="I237" s="94"/>
      <c r="J237" s="94"/>
      <c r="K237" s="95"/>
      <c r="L237" s="95"/>
      <c r="M237" s="96"/>
      <c r="N237" s="96"/>
      <c r="O237" s="96"/>
      <c r="P237" s="96"/>
      <c r="Q237" s="96"/>
      <c r="R237" s="96"/>
      <c r="S237" s="96"/>
      <c r="DO237" s="99"/>
    </row>
    <row r="238" spans="2:119" ht="15.75" customHeight="1">
      <c r="B238" s="94"/>
      <c r="C238" s="94"/>
      <c r="D238" s="94"/>
      <c r="E238" s="94"/>
      <c r="F238" s="94"/>
      <c r="G238" s="94"/>
      <c r="H238" s="94"/>
      <c r="I238" s="94"/>
      <c r="J238" s="94"/>
      <c r="K238" s="95"/>
      <c r="L238" s="95"/>
      <c r="M238" s="96"/>
      <c r="N238" s="96"/>
      <c r="O238" s="96"/>
      <c r="P238" s="96"/>
      <c r="Q238" s="96"/>
      <c r="R238" s="96"/>
      <c r="S238" s="96"/>
      <c r="DO238" s="99"/>
    </row>
    <row r="239" spans="2:119" ht="15.75" customHeight="1">
      <c r="B239" s="94"/>
      <c r="C239" s="94"/>
      <c r="D239" s="94"/>
      <c r="E239" s="94"/>
      <c r="F239" s="94"/>
      <c r="G239" s="94"/>
      <c r="H239" s="94"/>
      <c r="I239" s="94"/>
      <c r="J239" s="94"/>
      <c r="K239" s="95"/>
      <c r="L239" s="95"/>
      <c r="M239" s="96"/>
      <c r="N239" s="96"/>
      <c r="O239" s="96"/>
      <c r="P239" s="96"/>
      <c r="Q239" s="96"/>
      <c r="R239" s="96"/>
      <c r="S239" s="96"/>
      <c r="DO239" s="99"/>
    </row>
    <row r="240" spans="2:119" ht="15.75" customHeight="1">
      <c r="B240" s="94"/>
      <c r="C240" s="94"/>
      <c r="D240" s="94"/>
      <c r="E240" s="94"/>
      <c r="F240" s="94"/>
      <c r="G240" s="94"/>
      <c r="H240" s="94"/>
      <c r="I240" s="94"/>
      <c r="J240" s="94"/>
      <c r="K240" s="95"/>
      <c r="L240" s="95"/>
      <c r="M240" s="96"/>
      <c r="N240" s="96"/>
      <c r="O240" s="96"/>
      <c r="P240" s="96"/>
      <c r="Q240" s="96"/>
      <c r="R240" s="96"/>
      <c r="S240" s="96"/>
      <c r="DO240" s="99"/>
    </row>
    <row r="241" spans="2:119" ht="15.75" customHeight="1">
      <c r="B241" s="94"/>
      <c r="C241" s="94"/>
      <c r="D241" s="94"/>
      <c r="E241" s="94"/>
      <c r="F241" s="94"/>
      <c r="G241" s="94"/>
      <c r="H241" s="94"/>
      <c r="I241" s="94"/>
      <c r="J241" s="94"/>
      <c r="K241" s="95"/>
      <c r="L241" s="95"/>
      <c r="M241" s="96"/>
      <c r="N241" s="96"/>
      <c r="O241" s="96"/>
      <c r="P241" s="96"/>
      <c r="Q241" s="96"/>
      <c r="R241" s="96"/>
      <c r="S241" s="96"/>
      <c r="DO241" s="99"/>
    </row>
    <row r="242" spans="2:119" ht="15.75" customHeight="1">
      <c r="B242" s="94"/>
      <c r="C242" s="94"/>
      <c r="D242" s="94"/>
      <c r="E242" s="94"/>
      <c r="F242" s="94"/>
      <c r="G242" s="94"/>
      <c r="H242" s="94"/>
      <c r="I242" s="94"/>
      <c r="J242" s="94"/>
      <c r="K242" s="95"/>
      <c r="L242" s="95"/>
      <c r="M242" s="96"/>
      <c r="N242" s="96"/>
      <c r="O242" s="96"/>
      <c r="P242" s="96"/>
      <c r="Q242" s="96"/>
      <c r="R242" s="96"/>
      <c r="S242" s="96"/>
      <c r="DO242" s="99"/>
    </row>
    <row r="243" spans="2:119" ht="15.75" customHeight="1">
      <c r="B243" s="94"/>
      <c r="C243" s="94"/>
      <c r="D243" s="94"/>
      <c r="E243" s="94"/>
      <c r="F243" s="94"/>
      <c r="G243" s="94"/>
      <c r="H243" s="94"/>
      <c r="I243" s="94"/>
      <c r="J243" s="94"/>
      <c r="K243" s="95"/>
      <c r="L243" s="95"/>
      <c r="M243" s="96"/>
      <c r="N243" s="96"/>
      <c r="O243" s="96"/>
      <c r="P243" s="96"/>
      <c r="Q243" s="96"/>
      <c r="R243" s="96"/>
      <c r="S243" s="96"/>
      <c r="DO243" s="99"/>
    </row>
    <row r="244" spans="2:119" ht="15.75" customHeight="1">
      <c r="B244" s="94"/>
      <c r="C244" s="94"/>
      <c r="D244" s="94"/>
      <c r="E244" s="94"/>
      <c r="F244" s="94"/>
      <c r="G244" s="94"/>
      <c r="H244" s="94"/>
      <c r="I244" s="94"/>
      <c r="J244" s="94"/>
      <c r="K244" s="95"/>
      <c r="L244" s="95"/>
      <c r="M244" s="96"/>
      <c r="N244" s="96"/>
      <c r="O244" s="96"/>
      <c r="P244" s="96"/>
      <c r="Q244" s="96"/>
      <c r="R244" s="96"/>
      <c r="S244" s="96"/>
      <c r="DO244" s="99"/>
    </row>
    <row r="245" spans="2:119" ht="15.75" customHeight="1">
      <c r="B245" s="94"/>
      <c r="C245" s="94"/>
      <c r="D245" s="94"/>
      <c r="E245" s="94"/>
      <c r="F245" s="94"/>
      <c r="G245" s="94"/>
      <c r="H245" s="94"/>
      <c r="I245" s="94"/>
      <c r="J245" s="94"/>
      <c r="K245" s="95"/>
      <c r="L245" s="95"/>
      <c r="M245" s="96"/>
      <c r="N245" s="96"/>
      <c r="O245" s="96"/>
      <c r="P245" s="96"/>
      <c r="Q245" s="96"/>
      <c r="R245" s="96"/>
      <c r="S245" s="96"/>
      <c r="DO245" s="99"/>
    </row>
    <row r="246" spans="2:119" ht="15.75" customHeight="1">
      <c r="B246" s="94"/>
      <c r="C246" s="94"/>
      <c r="D246" s="94"/>
      <c r="E246" s="94"/>
      <c r="F246" s="94"/>
      <c r="G246" s="94"/>
      <c r="H246" s="94"/>
      <c r="I246" s="94"/>
      <c r="J246" s="94"/>
      <c r="K246" s="95"/>
      <c r="L246" s="95"/>
      <c r="M246" s="96"/>
      <c r="N246" s="96"/>
      <c r="O246" s="96"/>
      <c r="P246" s="96"/>
      <c r="Q246" s="96"/>
      <c r="R246" s="96"/>
      <c r="S246" s="96"/>
      <c r="DO246" s="99"/>
    </row>
    <row r="247" spans="2:119" ht="15.75" customHeight="1">
      <c r="B247" s="94"/>
      <c r="C247" s="94"/>
      <c r="D247" s="94"/>
      <c r="E247" s="94"/>
      <c r="F247" s="94"/>
      <c r="G247" s="94"/>
      <c r="H247" s="94"/>
      <c r="I247" s="94"/>
      <c r="J247" s="94"/>
      <c r="K247" s="95"/>
      <c r="L247" s="95"/>
      <c r="M247" s="96"/>
      <c r="N247" s="96"/>
      <c r="O247" s="96"/>
      <c r="P247" s="96"/>
      <c r="Q247" s="96"/>
      <c r="R247" s="96"/>
      <c r="S247" s="96"/>
      <c r="DO247" s="99"/>
    </row>
    <row r="248" spans="2:119" ht="15.75" customHeight="1">
      <c r="B248" s="94"/>
      <c r="C248" s="94"/>
      <c r="D248" s="94"/>
      <c r="E248" s="94"/>
      <c r="F248" s="94"/>
      <c r="G248" s="94"/>
      <c r="H248" s="94"/>
      <c r="I248" s="94"/>
      <c r="J248" s="94"/>
      <c r="K248" s="95"/>
      <c r="L248" s="95"/>
      <c r="M248" s="96"/>
      <c r="N248" s="96"/>
      <c r="O248" s="96"/>
      <c r="P248" s="96"/>
      <c r="Q248" s="96"/>
      <c r="R248" s="96"/>
      <c r="S248" s="96"/>
      <c r="DO248" s="99"/>
    </row>
    <row r="249" spans="2:119" ht="15.75" customHeight="1">
      <c r="B249" s="94"/>
      <c r="C249" s="94"/>
      <c r="D249" s="94"/>
      <c r="E249" s="94"/>
      <c r="F249" s="94"/>
      <c r="G249" s="94"/>
      <c r="H249" s="94"/>
      <c r="I249" s="94"/>
      <c r="J249" s="94"/>
      <c r="K249" s="95"/>
      <c r="L249" s="95"/>
      <c r="M249" s="96"/>
      <c r="N249" s="96"/>
      <c r="O249" s="96"/>
      <c r="P249" s="96"/>
      <c r="Q249" s="96"/>
      <c r="R249" s="96"/>
      <c r="S249" s="96"/>
      <c r="DO249" s="99"/>
    </row>
    <row r="250" spans="2:119" ht="15.75" customHeight="1">
      <c r="B250" s="94"/>
      <c r="C250" s="94"/>
      <c r="D250" s="94"/>
      <c r="E250" s="94"/>
      <c r="F250" s="94"/>
      <c r="G250" s="94"/>
      <c r="H250" s="94"/>
      <c r="I250" s="94"/>
      <c r="J250" s="94"/>
      <c r="K250" s="95"/>
      <c r="L250" s="95"/>
      <c r="M250" s="96"/>
      <c r="N250" s="96"/>
      <c r="O250" s="96"/>
      <c r="P250" s="96"/>
      <c r="Q250" s="96"/>
      <c r="R250" s="96"/>
      <c r="S250" s="96"/>
      <c r="DO250" s="99"/>
    </row>
    <row r="251" spans="2:119" ht="15.75" customHeight="1">
      <c r="B251" s="94"/>
      <c r="C251" s="94"/>
      <c r="D251" s="94"/>
      <c r="E251" s="94"/>
      <c r="F251" s="94"/>
      <c r="G251" s="94"/>
      <c r="H251" s="94"/>
      <c r="I251" s="94"/>
      <c r="J251" s="94"/>
      <c r="K251" s="95"/>
      <c r="L251" s="95"/>
      <c r="M251" s="96"/>
      <c r="N251" s="96"/>
      <c r="O251" s="96"/>
      <c r="P251" s="96"/>
      <c r="Q251" s="96"/>
      <c r="R251" s="96"/>
      <c r="S251" s="96"/>
      <c r="DO251" s="99"/>
    </row>
    <row r="252" spans="2:119" ht="15.75" customHeight="1">
      <c r="B252" s="94"/>
      <c r="C252" s="94"/>
      <c r="D252" s="94"/>
      <c r="E252" s="94"/>
      <c r="F252" s="94"/>
      <c r="G252" s="94"/>
      <c r="H252" s="94"/>
      <c r="I252" s="94"/>
      <c r="J252" s="94"/>
      <c r="K252" s="95"/>
      <c r="L252" s="95"/>
      <c r="M252" s="96"/>
      <c r="N252" s="96"/>
      <c r="O252" s="96"/>
      <c r="P252" s="96"/>
      <c r="Q252" s="96"/>
      <c r="R252" s="96"/>
      <c r="S252" s="96"/>
      <c r="DO252" s="99"/>
    </row>
    <row r="253" spans="2:119" ht="15.75" customHeight="1">
      <c r="B253" s="94"/>
      <c r="C253" s="94"/>
      <c r="D253" s="94"/>
      <c r="E253" s="94"/>
      <c r="F253" s="94"/>
      <c r="G253" s="94"/>
      <c r="H253" s="94"/>
      <c r="I253" s="94"/>
      <c r="J253" s="94"/>
      <c r="K253" s="95"/>
      <c r="L253" s="95"/>
      <c r="M253" s="96"/>
      <c r="N253" s="96"/>
      <c r="O253" s="96"/>
      <c r="P253" s="96"/>
      <c r="Q253" s="96"/>
      <c r="R253" s="96"/>
      <c r="S253" s="96"/>
      <c r="DO253" s="99"/>
    </row>
    <row r="254" spans="2:119" ht="15.75" customHeight="1">
      <c r="B254" s="94"/>
      <c r="C254" s="94"/>
      <c r="D254" s="94"/>
      <c r="E254" s="94"/>
      <c r="F254" s="94"/>
      <c r="G254" s="94"/>
      <c r="H254" s="94"/>
      <c r="I254" s="94"/>
      <c r="J254" s="94"/>
      <c r="K254" s="95"/>
      <c r="L254" s="95"/>
      <c r="M254" s="96"/>
      <c r="N254" s="96"/>
      <c r="O254" s="96"/>
      <c r="P254" s="96"/>
      <c r="Q254" s="96"/>
      <c r="R254" s="96"/>
      <c r="S254" s="96"/>
      <c r="DO254" s="99"/>
    </row>
    <row r="255" spans="2:119" ht="15.75" customHeight="1">
      <c r="B255" s="94"/>
      <c r="C255" s="94"/>
      <c r="D255" s="94"/>
      <c r="E255" s="94"/>
      <c r="F255" s="94"/>
      <c r="G255" s="94"/>
      <c r="H255" s="94"/>
      <c r="I255" s="94"/>
      <c r="J255" s="94"/>
      <c r="K255" s="95"/>
      <c r="L255" s="95"/>
      <c r="M255" s="96"/>
      <c r="N255" s="96"/>
      <c r="O255" s="96"/>
      <c r="P255" s="96"/>
      <c r="Q255" s="96"/>
      <c r="R255" s="96"/>
      <c r="S255" s="96"/>
      <c r="DO255" s="99"/>
    </row>
    <row r="256" spans="2:119" ht="15.75" customHeight="1">
      <c r="B256" s="94"/>
      <c r="C256" s="94"/>
      <c r="D256" s="94"/>
      <c r="E256" s="94"/>
      <c r="F256" s="94"/>
      <c r="G256" s="94"/>
      <c r="H256" s="94"/>
      <c r="I256" s="94"/>
      <c r="J256" s="94"/>
      <c r="K256" s="95"/>
      <c r="L256" s="95"/>
      <c r="M256" s="96"/>
      <c r="N256" s="96"/>
      <c r="O256" s="96"/>
      <c r="P256" s="96"/>
      <c r="Q256" s="96"/>
      <c r="R256" s="96"/>
      <c r="S256" s="96"/>
      <c r="DO256" s="99"/>
    </row>
    <row r="257" spans="2:119" ht="15.75" customHeight="1">
      <c r="B257" s="94"/>
      <c r="C257" s="94"/>
      <c r="D257" s="94"/>
      <c r="E257" s="94"/>
      <c r="F257" s="94"/>
      <c r="G257" s="94"/>
      <c r="H257" s="94"/>
      <c r="I257" s="94"/>
      <c r="J257" s="94"/>
      <c r="K257" s="95"/>
      <c r="L257" s="95"/>
      <c r="M257" s="96"/>
      <c r="N257" s="96"/>
      <c r="O257" s="96"/>
      <c r="P257" s="96"/>
      <c r="Q257" s="96"/>
      <c r="R257" s="96"/>
      <c r="S257" s="96"/>
      <c r="DO257" s="99"/>
    </row>
    <row r="258" spans="2:119" ht="15.75" customHeight="1">
      <c r="B258" s="94"/>
      <c r="C258" s="94"/>
      <c r="D258" s="94"/>
      <c r="E258" s="94"/>
      <c r="F258" s="94"/>
      <c r="G258" s="94"/>
      <c r="H258" s="94"/>
      <c r="I258" s="94"/>
      <c r="J258" s="94"/>
      <c r="K258" s="95"/>
      <c r="L258" s="95"/>
      <c r="M258" s="96"/>
      <c r="N258" s="96"/>
      <c r="O258" s="96"/>
      <c r="P258" s="96"/>
      <c r="Q258" s="96"/>
      <c r="R258" s="96"/>
      <c r="S258" s="96"/>
      <c r="DO258" s="99"/>
    </row>
    <row r="259" spans="2:119" ht="15.75" customHeight="1">
      <c r="B259" s="94"/>
      <c r="C259" s="94"/>
      <c r="D259" s="94"/>
      <c r="E259" s="94"/>
      <c r="F259" s="94"/>
      <c r="G259" s="94"/>
      <c r="H259" s="94"/>
      <c r="I259" s="94"/>
      <c r="J259" s="94"/>
      <c r="K259" s="95"/>
      <c r="L259" s="95"/>
      <c r="M259" s="96"/>
      <c r="N259" s="96"/>
      <c r="O259" s="96"/>
      <c r="P259" s="96"/>
      <c r="Q259" s="96"/>
      <c r="R259" s="96"/>
      <c r="S259" s="96"/>
      <c r="DO259" s="99"/>
    </row>
    <row r="260" spans="2:119" ht="15.75" customHeight="1">
      <c r="B260" s="94"/>
      <c r="C260" s="94"/>
      <c r="D260" s="94"/>
      <c r="E260" s="94"/>
      <c r="F260" s="94"/>
      <c r="G260" s="94"/>
      <c r="H260" s="94"/>
      <c r="I260" s="94"/>
      <c r="J260" s="94"/>
      <c r="K260" s="95"/>
      <c r="L260" s="95"/>
      <c r="M260" s="96"/>
      <c r="N260" s="96"/>
      <c r="O260" s="96"/>
      <c r="P260" s="96"/>
      <c r="Q260" s="96"/>
      <c r="R260" s="96"/>
      <c r="S260" s="96"/>
      <c r="DO260" s="99"/>
    </row>
    <row r="261" spans="2:119" ht="15.75" customHeight="1">
      <c r="B261" s="94"/>
      <c r="C261" s="94"/>
      <c r="D261" s="94"/>
      <c r="E261" s="94"/>
      <c r="F261" s="94"/>
      <c r="G261" s="94"/>
      <c r="H261" s="94"/>
      <c r="I261" s="94"/>
      <c r="J261" s="94"/>
      <c r="K261" s="95"/>
      <c r="L261" s="95"/>
      <c r="M261" s="96"/>
      <c r="N261" s="96"/>
      <c r="O261" s="96"/>
      <c r="P261" s="96"/>
      <c r="Q261" s="96"/>
      <c r="R261" s="96"/>
      <c r="S261" s="96"/>
      <c r="DO261" s="99"/>
    </row>
    <row r="262" spans="2:119" ht="15.75" customHeight="1">
      <c r="B262" s="94"/>
      <c r="C262" s="94"/>
      <c r="D262" s="94"/>
      <c r="E262" s="94"/>
      <c r="F262" s="94"/>
      <c r="G262" s="94"/>
      <c r="H262" s="94"/>
      <c r="I262" s="94"/>
      <c r="J262" s="94"/>
      <c r="K262" s="95"/>
      <c r="L262" s="95"/>
      <c r="M262" s="96"/>
      <c r="N262" s="96"/>
      <c r="O262" s="96"/>
      <c r="P262" s="96"/>
      <c r="Q262" s="96"/>
      <c r="R262" s="96"/>
      <c r="S262" s="96"/>
      <c r="DO262" s="99"/>
    </row>
    <row r="263" spans="2:119" ht="15.75" customHeight="1">
      <c r="B263" s="94"/>
      <c r="C263" s="94"/>
      <c r="D263" s="94"/>
      <c r="E263" s="94"/>
      <c r="F263" s="94"/>
      <c r="G263" s="94"/>
      <c r="H263" s="94"/>
      <c r="I263" s="94"/>
      <c r="J263" s="94"/>
      <c r="K263" s="95"/>
      <c r="L263" s="95"/>
      <c r="M263" s="96"/>
      <c r="N263" s="96"/>
      <c r="O263" s="96"/>
      <c r="P263" s="96"/>
      <c r="Q263" s="96"/>
      <c r="R263" s="96"/>
      <c r="S263" s="96"/>
      <c r="DO263" s="99"/>
    </row>
    <row r="264" spans="2:119" ht="15.75" customHeight="1">
      <c r="B264" s="94"/>
      <c r="C264" s="94"/>
      <c r="D264" s="94"/>
      <c r="E264" s="94"/>
      <c r="F264" s="94"/>
      <c r="G264" s="94"/>
      <c r="H264" s="94"/>
      <c r="I264" s="94"/>
      <c r="J264" s="94"/>
      <c r="K264" s="95"/>
      <c r="L264" s="95"/>
      <c r="M264" s="96"/>
      <c r="N264" s="96"/>
      <c r="O264" s="96"/>
      <c r="P264" s="96"/>
      <c r="Q264" s="96"/>
      <c r="R264" s="96"/>
      <c r="S264" s="96"/>
      <c r="DO264" s="99"/>
    </row>
    <row r="265" spans="2:119" ht="15.75" customHeight="1">
      <c r="B265" s="94"/>
      <c r="C265" s="94"/>
      <c r="D265" s="94"/>
      <c r="E265" s="94"/>
      <c r="F265" s="94"/>
      <c r="G265" s="94"/>
      <c r="H265" s="94"/>
      <c r="I265" s="94"/>
      <c r="J265" s="94"/>
      <c r="K265" s="95"/>
      <c r="L265" s="95"/>
      <c r="M265" s="96"/>
      <c r="N265" s="96"/>
      <c r="O265" s="96"/>
      <c r="P265" s="96"/>
      <c r="Q265" s="96"/>
      <c r="R265" s="96"/>
      <c r="S265" s="96"/>
      <c r="DO265" s="99"/>
    </row>
    <row r="266" spans="2:119" ht="15.75" customHeight="1">
      <c r="B266" s="94"/>
      <c r="C266" s="94"/>
      <c r="D266" s="94"/>
      <c r="E266" s="94"/>
      <c r="F266" s="94"/>
      <c r="G266" s="94"/>
      <c r="H266" s="94"/>
      <c r="I266" s="94"/>
      <c r="J266" s="94"/>
      <c r="K266" s="95"/>
      <c r="L266" s="95"/>
      <c r="M266" s="96"/>
      <c r="N266" s="96"/>
      <c r="O266" s="96"/>
      <c r="P266" s="96"/>
      <c r="Q266" s="96"/>
      <c r="R266" s="96"/>
      <c r="S266" s="96"/>
      <c r="DO266" s="99"/>
    </row>
    <row r="267" spans="2:119" ht="15.75" customHeight="1">
      <c r="B267" s="94"/>
      <c r="C267" s="94"/>
      <c r="D267" s="94"/>
      <c r="E267" s="94"/>
      <c r="F267" s="94"/>
      <c r="G267" s="94"/>
      <c r="H267" s="94"/>
      <c r="I267" s="94"/>
      <c r="J267" s="94"/>
      <c r="K267" s="95"/>
      <c r="L267" s="95"/>
      <c r="M267" s="96"/>
      <c r="N267" s="96"/>
      <c r="O267" s="96"/>
      <c r="P267" s="96"/>
      <c r="Q267" s="96"/>
      <c r="R267" s="96"/>
      <c r="S267" s="96"/>
      <c r="DO267" s="99"/>
    </row>
    <row r="268" spans="2:119" ht="15" customHeight="1">
      <c r="B268" s="94"/>
      <c r="C268" s="94"/>
      <c r="D268" s="94"/>
      <c r="E268" s="94"/>
      <c r="F268" s="94"/>
      <c r="G268" s="94"/>
      <c r="H268" s="94"/>
      <c r="I268" s="94"/>
      <c r="J268" s="94"/>
      <c r="K268" s="95"/>
      <c r="L268" s="95"/>
      <c r="M268" s="96"/>
      <c r="N268" s="96"/>
      <c r="O268" s="96"/>
      <c r="P268" s="96"/>
      <c r="Q268" s="96"/>
      <c r="R268" s="96"/>
      <c r="S268" s="96"/>
      <c r="DO268" s="99"/>
    </row>
    <row r="269" spans="2:119" ht="15" customHeight="1">
      <c r="B269" s="94"/>
      <c r="C269" s="94"/>
      <c r="D269" s="94"/>
      <c r="E269" s="94"/>
      <c r="F269" s="94"/>
      <c r="G269" s="94"/>
      <c r="H269" s="94"/>
      <c r="I269" s="94"/>
      <c r="J269" s="94"/>
      <c r="K269" s="95"/>
      <c r="L269" s="95"/>
      <c r="M269" s="96"/>
      <c r="N269" s="96"/>
      <c r="O269" s="96"/>
      <c r="P269" s="96"/>
      <c r="Q269" s="96"/>
      <c r="R269" s="96"/>
      <c r="S269" s="96"/>
      <c r="DO269" s="99"/>
    </row>
    <row r="270" spans="2:119" ht="15" customHeight="1">
      <c r="B270" s="94"/>
      <c r="C270" s="94"/>
      <c r="D270" s="94"/>
      <c r="E270" s="94"/>
      <c r="F270" s="94"/>
      <c r="G270" s="94"/>
      <c r="H270" s="94"/>
      <c r="I270" s="94"/>
      <c r="J270" s="94"/>
      <c r="K270" s="95"/>
      <c r="L270" s="95"/>
      <c r="M270" s="96"/>
      <c r="N270" s="96"/>
      <c r="O270" s="96"/>
      <c r="P270" s="96"/>
      <c r="Q270" s="96"/>
      <c r="R270" s="96"/>
      <c r="S270" s="96"/>
      <c r="DO270" s="99"/>
    </row>
    <row r="271" spans="2:119" ht="15" customHeight="1">
      <c r="B271" s="94"/>
      <c r="C271" s="94"/>
      <c r="D271" s="94"/>
      <c r="E271" s="94"/>
      <c r="F271" s="94"/>
      <c r="G271" s="94"/>
      <c r="H271" s="94"/>
      <c r="I271" s="94"/>
      <c r="J271" s="94"/>
      <c r="K271" s="95"/>
      <c r="L271" s="95"/>
      <c r="M271" s="96"/>
      <c r="N271" s="96"/>
      <c r="O271" s="96"/>
      <c r="P271" s="96"/>
      <c r="Q271" s="96"/>
      <c r="R271" s="96"/>
      <c r="S271" s="96"/>
      <c r="DO271" s="99"/>
    </row>
  </sheetData>
  <mergeCells count="627">
    <mergeCell ref="CW61:DD61"/>
    <mergeCell ref="CW62:DD62"/>
    <mergeCell ref="CW63:DD63"/>
    <mergeCell ref="CW64:DD64"/>
    <mergeCell ref="CW65:DD65"/>
    <mergeCell ref="CW49:DD49"/>
    <mergeCell ref="CW51:DD51"/>
    <mergeCell ref="CW53:DD53"/>
    <mergeCell ref="CW55:DD55"/>
    <mergeCell ref="CW57:DD57"/>
    <mergeCell ref="CW58:DD58"/>
    <mergeCell ref="CW37:DD37"/>
    <mergeCell ref="CW39:DD39"/>
    <mergeCell ref="CW41:DD41"/>
    <mergeCell ref="CW43:DD43"/>
    <mergeCell ref="CW45:DD45"/>
    <mergeCell ref="CW47:DD47"/>
    <mergeCell ref="CW25:DD25"/>
    <mergeCell ref="CW27:DD27"/>
    <mergeCell ref="CW29:DD29"/>
    <mergeCell ref="CW31:DD31"/>
    <mergeCell ref="CW33:DD33"/>
    <mergeCell ref="CW35:DD35"/>
    <mergeCell ref="B70:C70"/>
    <mergeCell ref="D70:E70"/>
    <mergeCell ref="CE70:CL70"/>
    <mergeCell ref="B71:C71"/>
    <mergeCell ref="G71:J71"/>
    <mergeCell ref="CW11:DE13"/>
    <mergeCell ref="CW15:DD15"/>
    <mergeCell ref="CW17:DD17"/>
    <mergeCell ref="CW19:DD19"/>
    <mergeCell ref="CW21:DD21"/>
    <mergeCell ref="BM69:BT69"/>
    <mergeCell ref="BV69:CC69"/>
    <mergeCell ref="CE69:CL69"/>
    <mergeCell ref="CN69:CU69"/>
    <mergeCell ref="BD66:BK66"/>
    <mergeCell ref="BM66:BT66"/>
    <mergeCell ref="BV66:CC66"/>
    <mergeCell ref="CE66:CL66"/>
    <mergeCell ref="CN66:CU66"/>
    <mergeCell ref="CN64:CU64"/>
    <mergeCell ref="B64:B65"/>
    <mergeCell ref="C64:C65"/>
    <mergeCell ref="D64:E65"/>
    <mergeCell ref="F64:F65"/>
    <mergeCell ref="DF69:DM69"/>
    <mergeCell ref="BV68:CC68"/>
    <mergeCell ref="CE68:CL68"/>
    <mergeCell ref="CN68:CU68"/>
    <mergeCell ref="DF68:DM68"/>
    <mergeCell ref="K69:R69"/>
    <mergeCell ref="T69:AA69"/>
    <mergeCell ref="AC69:AJ69"/>
    <mergeCell ref="AL69:AS69"/>
    <mergeCell ref="BD69:BK69"/>
    <mergeCell ref="T68:AA68"/>
    <mergeCell ref="AC68:AJ68"/>
    <mergeCell ref="AL68:AS68"/>
    <mergeCell ref="AU68:BB68"/>
    <mergeCell ref="BD68:BK68"/>
    <mergeCell ref="BM68:BT68"/>
    <mergeCell ref="CW68:DD68"/>
    <mergeCell ref="B68:B69"/>
    <mergeCell ref="C68:C69"/>
    <mergeCell ref="D68:E69"/>
    <mergeCell ref="F68:F69"/>
    <mergeCell ref="G68:G69"/>
    <mergeCell ref="H68:H69"/>
    <mergeCell ref="I68:I69"/>
    <mergeCell ref="K68:R68"/>
    <mergeCell ref="K67:R67"/>
    <mergeCell ref="B66:B67"/>
    <mergeCell ref="C66:C67"/>
    <mergeCell ref="D66:E67"/>
    <mergeCell ref="F66:F67"/>
    <mergeCell ref="G66:G67"/>
    <mergeCell ref="H66:H67"/>
    <mergeCell ref="DF66:DM66"/>
    <mergeCell ref="CW66:DD66"/>
    <mergeCell ref="I66:I67"/>
    <mergeCell ref="K66:R66"/>
    <mergeCell ref="T66:AA66"/>
    <mergeCell ref="AC66:AJ66"/>
    <mergeCell ref="AL66:AS66"/>
    <mergeCell ref="AU66:BB66"/>
    <mergeCell ref="CE65:CL65"/>
    <mergeCell ref="CN65:CU65"/>
    <mergeCell ref="DF65:DM65"/>
    <mergeCell ref="DF67:DM67"/>
    <mergeCell ref="T67:AA67"/>
    <mergeCell ref="AC67:AJ67"/>
    <mergeCell ref="AL67:AS67"/>
    <mergeCell ref="BD67:BK67"/>
    <mergeCell ref="BM67:BT67"/>
    <mergeCell ref="BV67:CC67"/>
    <mergeCell ref="CE67:CL67"/>
    <mergeCell ref="CN67:CU67"/>
    <mergeCell ref="CW67:DD67"/>
    <mergeCell ref="DF64:DM64"/>
    <mergeCell ref="K65:R65"/>
    <mergeCell ref="T65:AA65"/>
    <mergeCell ref="AC65:AJ65"/>
    <mergeCell ref="AL65:AS65"/>
    <mergeCell ref="BD65:BK65"/>
    <mergeCell ref="BM65:BT65"/>
    <mergeCell ref="BV65:CC65"/>
    <mergeCell ref="AC64:AJ64"/>
    <mergeCell ref="AL64:AS64"/>
    <mergeCell ref="AU64:BB64"/>
    <mergeCell ref="BD64:BK64"/>
    <mergeCell ref="BM64:BT64"/>
    <mergeCell ref="BV64:CC64"/>
    <mergeCell ref="G64:G65"/>
    <mergeCell ref="H64:H65"/>
    <mergeCell ref="I64:I65"/>
    <mergeCell ref="K64:R64"/>
    <mergeCell ref="T64:AA64"/>
    <mergeCell ref="BD63:BK63"/>
    <mergeCell ref="BM63:BT63"/>
    <mergeCell ref="BV63:CC63"/>
    <mergeCell ref="CE63:CL63"/>
    <mergeCell ref="K62:R62"/>
    <mergeCell ref="T62:AA62"/>
    <mergeCell ref="AC62:AJ62"/>
    <mergeCell ref="AL62:AS62"/>
    <mergeCell ref="AU62:BB62"/>
    <mergeCell ref="K63:R63"/>
    <mergeCell ref="T63:AA63"/>
    <mergeCell ref="AC63:AJ63"/>
    <mergeCell ref="AL63:AS63"/>
    <mergeCell ref="CE61:CL61"/>
    <mergeCell ref="CN61:CU61"/>
    <mergeCell ref="DF61:DM61"/>
    <mergeCell ref="B62:B63"/>
    <mergeCell ref="C62:C63"/>
    <mergeCell ref="D62:E63"/>
    <mergeCell ref="F62:F63"/>
    <mergeCell ref="G62:G63"/>
    <mergeCell ref="H62:H63"/>
    <mergeCell ref="B60:B61"/>
    <mergeCell ref="C60:C61"/>
    <mergeCell ref="D60:E61"/>
    <mergeCell ref="F60:F61"/>
    <mergeCell ref="G60:G61"/>
    <mergeCell ref="H60:H61"/>
    <mergeCell ref="I60:I61"/>
    <mergeCell ref="CN63:CU63"/>
    <mergeCell ref="DF63:DM63"/>
    <mergeCell ref="BD62:BK62"/>
    <mergeCell ref="BM62:BT62"/>
    <mergeCell ref="BV62:CC62"/>
    <mergeCell ref="CN62:CU62"/>
    <mergeCell ref="DF62:DM62"/>
    <mergeCell ref="I62:I63"/>
    <mergeCell ref="K61:R61"/>
    <mergeCell ref="T61:AA61"/>
    <mergeCell ref="AC61:AJ61"/>
    <mergeCell ref="AL61:AS61"/>
    <mergeCell ref="BD61:BK61"/>
    <mergeCell ref="BM61:BT61"/>
    <mergeCell ref="BV61:CC61"/>
    <mergeCell ref="AC60:AJ60"/>
    <mergeCell ref="AL60:AS60"/>
    <mergeCell ref="AU60:BB60"/>
    <mergeCell ref="BD60:BK60"/>
    <mergeCell ref="BM60:BT60"/>
    <mergeCell ref="BV60:CC60"/>
    <mergeCell ref="K60:R60"/>
    <mergeCell ref="T60:AA60"/>
    <mergeCell ref="DF59:DM59"/>
    <mergeCell ref="CW59:DD59"/>
    <mergeCell ref="BD58:BK58"/>
    <mergeCell ref="BM58:BT58"/>
    <mergeCell ref="BV58:CC58"/>
    <mergeCell ref="CN58:CU58"/>
    <mergeCell ref="DF58:DM58"/>
    <mergeCell ref="CN60:CU60"/>
    <mergeCell ref="DF60:DM60"/>
    <mergeCell ref="CW60:DD60"/>
    <mergeCell ref="K59:R59"/>
    <mergeCell ref="T59:AA59"/>
    <mergeCell ref="AC59:AJ59"/>
    <mergeCell ref="AL59:AS59"/>
    <mergeCell ref="BD59:BK59"/>
    <mergeCell ref="BM59:BT59"/>
    <mergeCell ref="BV59:CC59"/>
    <mergeCell ref="CE59:CL59"/>
    <mergeCell ref="CN59:CU59"/>
    <mergeCell ref="B58:B59"/>
    <mergeCell ref="C58:C59"/>
    <mergeCell ref="D58:E59"/>
    <mergeCell ref="F58:F59"/>
    <mergeCell ref="G58:G59"/>
    <mergeCell ref="H58:H59"/>
    <mergeCell ref="CN56:CU56"/>
    <mergeCell ref="DF56:DM56"/>
    <mergeCell ref="K57:R57"/>
    <mergeCell ref="T57:AA57"/>
    <mergeCell ref="CE57:CL57"/>
    <mergeCell ref="CN57:CU57"/>
    <mergeCell ref="AC56:AJ56"/>
    <mergeCell ref="AL56:AS56"/>
    <mergeCell ref="AU56:BB56"/>
    <mergeCell ref="BD56:BK56"/>
    <mergeCell ref="BM56:BT56"/>
    <mergeCell ref="BV56:CC56"/>
    <mergeCell ref="I58:I59"/>
    <mergeCell ref="K58:R58"/>
    <mergeCell ref="T58:AA58"/>
    <mergeCell ref="AC58:AJ58"/>
    <mergeCell ref="AL58:AS58"/>
    <mergeCell ref="AU58:BB58"/>
    <mergeCell ref="AL54:AS54"/>
    <mergeCell ref="AU54:BB54"/>
    <mergeCell ref="CE55:CL55"/>
    <mergeCell ref="B56:B57"/>
    <mergeCell ref="C56:C57"/>
    <mergeCell ref="D56:E57"/>
    <mergeCell ref="F56:F57"/>
    <mergeCell ref="G56:G57"/>
    <mergeCell ref="H56:H57"/>
    <mergeCell ref="I56:I57"/>
    <mergeCell ref="K56:R56"/>
    <mergeCell ref="T56:AA56"/>
    <mergeCell ref="CN52:CU52"/>
    <mergeCell ref="DF52:DM52"/>
    <mergeCell ref="CE53:CL53"/>
    <mergeCell ref="B54:B55"/>
    <mergeCell ref="C54:C55"/>
    <mergeCell ref="D54:E55"/>
    <mergeCell ref="F54:F55"/>
    <mergeCell ref="G54:G55"/>
    <mergeCell ref="H54:H55"/>
    <mergeCell ref="AC52:AJ52"/>
    <mergeCell ref="AL52:AS52"/>
    <mergeCell ref="AU52:BB52"/>
    <mergeCell ref="BD52:BK52"/>
    <mergeCell ref="BM52:BT52"/>
    <mergeCell ref="BV52:CC52"/>
    <mergeCell ref="BD54:BK54"/>
    <mergeCell ref="BM54:BT54"/>
    <mergeCell ref="BV54:CC54"/>
    <mergeCell ref="CN54:CU54"/>
    <mergeCell ref="DF54:DM54"/>
    <mergeCell ref="I54:I55"/>
    <mergeCell ref="K54:R54"/>
    <mergeCell ref="T54:AA54"/>
    <mergeCell ref="AC54:AJ54"/>
    <mergeCell ref="AL50:AS50"/>
    <mergeCell ref="AU50:BB50"/>
    <mergeCell ref="CE51:CL51"/>
    <mergeCell ref="B52:B53"/>
    <mergeCell ref="C52:C53"/>
    <mergeCell ref="D52:E53"/>
    <mergeCell ref="F52:F53"/>
    <mergeCell ref="G52:G53"/>
    <mergeCell ref="H52:H53"/>
    <mergeCell ref="I52:I53"/>
    <mergeCell ref="K52:R52"/>
    <mergeCell ref="T52:AA52"/>
    <mergeCell ref="CN48:CU48"/>
    <mergeCell ref="DF48:DM48"/>
    <mergeCell ref="CE49:CL49"/>
    <mergeCell ref="B50:B51"/>
    <mergeCell ref="C50:C51"/>
    <mergeCell ref="D50:E51"/>
    <mergeCell ref="F50:F51"/>
    <mergeCell ref="G50:G51"/>
    <mergeCell ref="H50:H51"/>
    <mergeCell ref="AC48:AJ48"/>
    <mergeCell ref="AL48:AS48"/>
    <mergeCell ref="AU48:BB48"/>
    <mergeCell ref="BD48:BK48"/>
    <mergeCell ref="BM48:BT48"/>
    <mergeCell ref="BV48:CC48"/>
    <mergeCell ref="BD50:BK50"/>
    <mergeCell ref="BM50:BT50"/>
    <mergeCell ref="BV50:CC50"/>
    <mergeCell ref="CN50:CU50"/>
    <mergeCell ref="DF50:DM50"/>
    <mergeCell ref="I50:I51"/>
    <mergeCell ref="K50:R50"/>
    <mergeCell ref="T50:AA50"/>
    <mergeCell ref="AC50:AJ50"/>
    <mergeCell ref="AL46:AS46"/>
    <mergeCell ref="AU46:BB46"/>
    <mergeCell ref="CE47:CL47"/>
    <mergeCell ref="B48:B49"/>
    <mergeCell ref="C48:C49"/>
    <mergeCell ref="D48:E49"/>
    <mergeCell ref="F48:F49"/>
    <mergeCell ref="G48:G49"/>
    <mergeCell ref="H48:H49"/>
    <mergeCell ref="I48:I49"/>
    <mergeCell ref="K48:R48"/>
    <mergeCell ref="T48:AA48"/>
    <mergeCell ref="CN44:CU44"/>
    <mergeCell ref="DF44:DM44"/>
    <mergeCell ref="CE45:CL45"/>
    <mergeCell ref="B46:B47"/>
    <mergeCell ref="C46:C47"/>
    <mergeCell ref="D46:E47"/>
    <mergeCell ref="F46:F47"/>
    <mergeCell ref="G46:G47"/>
    <mergeCell ref="H46:H47"/>
    <mergeCell ref="AC44:AJ44"/>
    <mergeCell ref="AL44:AS44"/>
    <mergeCell ref="AU44:BB44"/>
    <mergeCell ref="BD44:BK44"/>
    <mergeCell ref="BM44:BT44"/>
    <mergeCell ref="BV44:CC44"/>
    <mergeCell ref="BD46:BK46"/>
    <mergeCell ref="BM46:BT46"/>
    <mergeCell ref="BV46:CC46"/>
    <mergeCell ref="CN46:CU46"/>
    <mergeCell ref="DF46:DM46"/>
    <mergeCell ref="I46:I47"/>
    <mergeCell ref="K46:R46"/>
    <mergeCell ref="T46:AA46"/>
    <mergeCell ref="AC46:AJ46"/>
    <mergeCell ref="AL42:AS42"/>
    <mergeCell ref="AU42:BB42"/>
    <mergeCell ref="CE43:CL43"/>
    <mergeCell ref="B44:B45"/>
    <mergeCell ref="C44:C45"/>
    <mergeCell ref="D44:E45"/>
    <mergeCell ref="F44:F45"/>
    <mergeCell ref="G44:G45"/>
    <mergeCell ref="H44:H45"/>
    <mergeCell ref="I44:I45"/>
    <mergeCell ref="K44:R44"/>
    <mergeCell ref="T44:AA44"/>
    <mergeCell ref="CN40:CU40"/>
    <mergeCell ref="DF40:DM40"/>
    <mergeCell ref="CE41:CL41"/>
    <mergeCell ref="B42:B43"/>
    <mergeCell ref="C42:C43"/>
    <mergeCell ref="D42:E43"/>
    <mergeCell ref="F42:F43"/>
    <mergeCell ref="G42:G43"/>
    <mergeCell ref="H42:H43"/>
    <mergeCell ref="AC40:AJ40"/>
    <mergeCell ref="AL40:AS40"/>
    <mergeCell ref="AU40:BB40"/>
    <mergeCell ref="BD40:BK40"/>
    <mergeCell ref="BM40:BT40"/>
    <mergeCell ref="BV40:CC40"/>
    <mergeCell ref="BD42:BK42"/>
    <mergeCell ref="BM42:BT42"/>
    <mergeCell ref="BV42:CC42"/>
    <mergeCell ref="CN42:CU42"/>
    <mergeCell ref="DF42:DM42"/>
    <mergeCell ref="I42:I43"/>
    <mergeCell ref="K42:R42"/>
    <mergeCell ref="T42:AA42"/>
    <mergeCell ref="AC42:AJ42"/>
    <mergeCell ref="K38:R38"/>
    <mergeCell ref="T38:AA38"/>
    <mergeCell ref="AC38:AJ38"/>
    <mergeCell ref="AL38:AS38"/>
    <mergeCell ref="AU38:BB38"/>
    <mergeCell ref="CE39:CL39"/>
    <mergeCell ref="B40:B41"/>
    <mergeCell ref="C40:C41"/>
    <mergeCell ref="D40:E41"/>
    <mergeCell ref="F40:F41"/>
    <mergeCell ref="G40:G41"/>
    <mergeCell ref="H40:H41"/>
    <mergeCell ref="I40:I41"/>
    <mergeCell ref="K40:R40"/>
    <mergeCell ref="T40:AA40"/>
    <mergeCell ref="CE37:CL37"/>
    <mergeCell ref="CN37:CU37"/>
    <mergeCell ref="DF37:DM37"/>
    <mergeCell ref="B38:B39"/>
    <mergeCell ref="C38:C39"/>
    <mergeCell ref="D38:E39"/>
    <mergeCell ref="F38:F39"/>
    <mergeCell ref="G38:G39"/>
    <mergeCell ref="H38:H39"/>
    <mergeCell ref="D37:E37"/>
    <mergeCell ref="K37:R37"/>
    <mergeCell ref="T37:AA37"/>
    <mergeCell ref="AC37:AJ37"/>
    <mergeCell ref="AL37:AS37"/>
    <mergeCell ref="AU37:BB37"/>
    <mergeCell ref="BD37:BK37"/>
    <mergeCell ref="BM37:BT37"/>
    <mergeCell ref="BV37:CC37"/>
    <mergeCell ref="BD38:BK38"/>
    <mergeCell ref="BM38:BT38"/>
    <mergeCell ref="BV38:CC38"/>
    <mergeCell ref="CN38:CU38"/>
    <mergeCell ref="DF38:DM38"/>
    <mergeCell ref="I38:I39"/>
    <mergeCell ref="BD35:BK35"/>
    <mergeCell ref="BM35:BT35"/>
    <mergeCell ref="BV35:CC35"/>
    <mergeCell ref="CE35:CL35"/>
    <mergeCell ref="CN35:CU35"/>
    <mergeCell ref="DF35:DM35"/>
    <mergeCell ref="I35:I36"/>
    <mergeCell ref="K35:R35"/>
    <mergeCell ref="T35:AA35"/>
    <mergeCell ref="AC35:AJ35"/>
    <mergeCell ref="AL35:AS35"/>
    <mergeCell ref="AU35:BB35"/>
    <mergeCell ref="CE33:CL33"/>
    <mergeCell ref="CN33:CU33"/>
    <mergeCell ref="DF33:DM33"/>
    <mergeCell ref="B35:B36"/>
    <mergeCell ref="C35:C36"/>
    <mergeCell ref="D35:E36"/>
    <mergeCell ref="F35:F36"/>
    <mergeCell ref="G35:G36"/>
    <mergeCell ref="H35:H36"/>
    <mergeCell ref="AC33:AJ33"/>
    <mergeCell ref="AL33:AS33"/>
    <mergeCell ref="AU33:BB33"/>
    <mergeCell ref="BD33:BK33"/>
    <mergeCell ref="BM33:BT33"/>
    <mergeCell ref="BV33:CC33"/>
    <mergeCell ref="B33:B34"/>
    <mergeCell ref="C33:C34"/>
    <mergeCell ref="D33:E34"/>
    <mergeCell ref="F33:F34"/>
    <mergeCell ref="G33:G34"/>
    <mergeCell ref="H33:H34"/>
    <mergeCell ref="I33:I34"/>
    <mergeCell ref="K33:R33"/>
    <mergeCell ref="T33:AA33"/>
    <mergeCell ref="BD31:BK31"/>
    <mergeCell ref="BM31:BT31"/>
    <mergeCell ref="BV31:CC31"/>
    <mergeCell ref="CE31:CL31"/>
    <mergeCell ref="CN31:CU31"/>
    <mergeCell ref="DF31:DM31"/>
    <mergeCell ref="I31:I32"/>
    <mergeCell ref="K31:R31"/>
    <mergeCell ref="T31:AA31"/>
    <mergeCell ref="AC31:AJ31"/>
    <mergeCell ref="AL31:AS31"/>
    <mergeCell ref="AU31:BB31"/>
    <mergeCell ref="CE29:CL29"/>
    <mergeCell ref="CN29:CU29"/>
    <mergeCell ref="DF29:DM29"/>
    <mergeCell ref="B31:B32"/>
    <mergeCell ref="C31:C32"/>
    <mergeCell ref="D31:E32"/>
    <mergeCell ref="F31:F32"/>
    <mergeCell ref="G31:G32"/>
    <mergeCell ref="H31:H32"/>
    <mergeCell ref="AC29:AJ29"/>
    <mergeCell ref="AL29:AS29"/>
    <mergeCell ref="AU29:BB29"/>
    <mergeCell ref="BD29:BK29"/>
    <mergeCell ref="BM29:BT29"/>
    <mergeCell ref="BV29:CC29"/>
    <mergeCell ref="B29:B30"/>
    <mergeCell ref="C29:C30"/>
    <mergeCell ref="D29:E30"/>
    <mergeCell ref="F29:F30"/>
    <mergeCell ref="G29:G30"/>
    <mergeCell ref="H29:H30"/>
    <mergeCell ref="I29:I30"/>
    <mergeCell ref="K29:R29"/>
    <mergeCell ref="T29:AA29"/>
    <mergeCell ref="BD27:BK27"/>
    <mergeCell ref="BM27:BT27"/>
    <mergeCell ref="BV27:CC27"/>
    <mergeCell ref="CE27:CL27"/>
    <mergeCell ref="CN27:CU27"/>
    <mergeCell ref="DF27:DM27"/>
    <mergeCell ref="I27:I28"/>
    <mergeCell ref="K27:R27"/>
    <mergeCell ref="T27:AA27"/>
    <mergeCell ref="AC27:AJ27"/>
    <mergeCell ref="AL27:AS27"/>
    <mergeCell ref="AU27:BB27"/>
    <mergeCell ref="CE25:CL25"/>
    <mergeCell ref="CN25:CU25"/>
    <mergeCell ref="DF25:DM25"/>
    <mergeCell ref="B27:B28"/>
    <mergeCell ref="C27:C28"/>
    <mergeCell ref="D27:E28"/>
    <mergeCell ref="F27:F28"/>
    <mergeCell ref="G27:G28"/>
    <mergeCell ref="H27:H28"/>
    <mergeCell ref="AC25:AJ25"/>
    <mergeCell ref="AL25:AS25"/>
    <mergeCell ref="AU25:BB25"/>
    <mergeCell ref="BD25:BK25"/>
    <mergeCell ref="BM25:BT25"/>
    <mergeCell ref="BV25:CC25"/>
    <mergeCell ref="B25:B26"/>
    <mergeCell ref="C25:C26"/>
    <mergeCell ref="D25:E26"/>
    <mergeCell ref="F25:F26"/>
    <mergeCell ref="G25:G26"/>
    <mergeCell ref="H25:H26"/>
    <mergeCell ref="I25:I26"/>
    <mergeCell ref="K25:R25"/>
    <mergeCell ref="T25:AA25"/>
    <mergeCell ref="BD23:BK23"/>
    <mergeCell ref="BM23:BT23"/>
    <mergeCell ref="BV23:CC23"/>
    <mergeCell ref="CE23:CL23"/>
    <mergeCell ref="CN23:CU23"/>
    <mergeCell ref="DF23:DM23"/>
    <mergeCell ref="CW23:DD23"/>
    <mergeCell ref="I23:I24"/>
    <mergeCell ref="K23:R23"/>
    <mergeCell ref="T23:AA23"/>
    <mergeCell ref="AC23:AJ23"/>
    <mergeCell ref="AL23:AS23"/>
    <mergeCell ref="AU23:BB23"/>
    <mergeCell ref="CE21:CL21"/>
    <mergeCell ref="CN21:CU21"/>
    <mergeCell ref="DF21:DM21"/>
    <mergeCell ref="B23:B24"/>
    <mergeCell ref="C23:C24"/>
    <mergeCell ref="D23:E24"/>
    <mergeCell ref="F23:F24"/>
    <mergeCell ref="G23:G24"/>
    <mergeCell ref="H23:H24"/>
    <mergeCell ref="AC21:AJ21"/>
    <mergeCell ref="AL21:AS21"/>
    <mergeCell ref="AU21:BB21"/>
    <mergeCell ref="BD21:BK21"/>
    <mergeCell ref="BM21:BT21"/>
    <mergeCell ref="BV21:CC21"/>
    <mergeCell ref="B21:B22"/>
    <mergeCell ref="C21:C22"/>
    <mergeCell ref="D21:E22"/>
    <mergeCell ref="F21:F22"/>
    <mergeCell ref="G21:G22"/>
    <mergeCell ref="H21:H22"/>
    <mergeCell ref="I21:I22"/>
    <mergeCell ref="K21:R21"/>
    <mergeCell ref="T21:AA21"/>
    <mergeCell ref="BD19:BK19"/>
    <mergeCell ref="BM19:BT19"/>
    <mergeCell ref="BV19:CC19"/>
    <mergeCell ref="CE19:CL19"/>
    <mergeCell ref="CN19:CU19"/>
    <mergeCell ref="DF19:DM19"/>
    <mergeCell ref="I19:I20"/>
    <mergeCell ref="K19:R19"/>
    <mergeCell ref="T19:AA19"/>
    <mergeCell ref="AC19:AJ19"/>
    <mergeCell ref="AL19:AS19"/>
    <mergeCell ref="AU19:BB19"/>
    <mergeCell ref="CE17:CL17"/>
    <mergeCell ref="CN17:CU17"/>
    <mergeCell ref="DF17:DM17"/>
    <mergeCell ref="B19:B20"/>
    <mergeCell ref="C19:C20"/>
    <mergeCell ref="D19:E20"/>
    <mergeCell ref="F19:F20"/>
    <mergeCell ref="G19:G20"/>
    <mergeCell ref="H19:H20"/>
    <mergeCell ref="AC17:AJ17"/>
    <mergeCell ref="AL17:AS17"/>
    <mergeCell ref="AU17:BB17"/>
    <mergeCell ref="BD17:BK17"/>
    <mergeCell ref="BM17:BT17"/>
    <mergeCell ref="BV17:CC17"/>
    <mergeCell ref="B17:B18"/>
    <mergeCell ref="C17:C18"/>
    <mergeCell ref="D17:E18"/>
    <mergeCell ref="F17:F18"/>
    <mergeCell ref="G17:G18"/>
    <mergeCell ref="H17:H18"/>
    <mergeCell ref="I17:I18"/>
    <mergeCell ref="K17:R17"/>
    <mergeCell ref="T17:AA17"/>
    <mergeCell ref="CE15:CL15"/>
    <mergeCell ref="CN15:CU15"/>
    <mergeCell ref="DF15:DM15"/>
    <mergeCell ref="I15:I16"/>
    <mergeCell ref="K15:R15"/>
    <mergeCell ref="T15:AA15"/>
    <mergeCell ref="AC15:AJ15"/>
    <mergeCell ref="AL15:AS15"/>
    <mergeCell ref="AU15:BB15"/>
    <mergeCell ref="B15:B16"/>
    <mergeCell ref="C15:C16"/>
    <mergeCell ref="D15:E16"/>
    <mergeCell ref="F15:F16"/>
    <mergeCell ref="G15:G16"/>
    <mergeCell ref="H15:H16"/>
    <mergeCell ref="BD11:BL13"/>
    <mergeCell ref="BM11:BU13"/>
    <mergeCell ref="BV11:CD13"/>
    <mergeCell ref="I11:I14"/>
    <mergeCell ref="K11:S13"/>
    <mergeCell ref="T11:AB13"/>
    <mergeCell ref="AC11:AK13"/>
    <mergeCell ref="AL11:AT13"/>
    <mergeCell ref="AU11:BC13"/>
    <mergeCell ref="BD15:BK15"/>
    <mergeCell ref="BM15:BT15"/>
    <mergeCell ref="BV15:CC15"/>
    <mergeCell ref="B2:DP3"/>
    <mergeCell ref="B4:E4"/>
    <mergeCell ref="B5:E5"/>
    <mergeCell ref="B6:E6"/>
    <mergeCell ref="B7:E7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H11:H14"/>
    <mergeCell ref="DO11:DO14"/>
    <mergeCell ref="DP11:DP14"/>
    <mergeCell ref="J13:J14"/>
    <mergeCell ref="CE11:CM13"/>
    <mergeCell ref="CN11:CV13"/>
    <mergeCell ref="DF11:DN13"/>
  </mergeCells>
  <pageMargins left="0.70866141732283472" right="0.70866141732283472" top="0.74803149606299213" bottom="0.74803149606299213" header="0" footer="0"/>
  <pageSetup paperSize="5" orientation="landscape" r:id="rId1"/>
  <headerFooter>
    <oddFooter>&amp;RF-PEM-07-00  DIF Guadalajara Pág. &amp;P de</oddFooter>
  </headerFooter>
  <rowBreaks count="2" manualBreakCount="2">
    <brk id="61" man="1"/>
    <brk id="28" man="1"/>
  </rowBreaks>
  <colBreaks count="1" manualBreakCount="1">
    <brk id="121" man="1"/>
  </colBreaks>
  <ignoredErrors>
    <ignoredError sqref="DN16:DN69 DE16:DE69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4" zoomScaleNormal="100" zoomScaleSheetLayoutView="100" workbookViewId="0">
      <selection activeCell="B36" sqref="B36"/>
    </sheetView>
  </sheetViews>
  <sheetFormatPr baseColWidth="10" defaultColWidth="10.7109375" defaultRowHeight="15"/>
  <sheetData/>
  <pageMargins left="0.69930555555555596" right="0.69930555555555596" top="0.75" bottom="0.75" header="0.50972222222222197" footer="0.50972222222222197"/>
  <pageSetup paperSize="9" firstPageNumber="0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Ausencias</vt:lpstr>
      <vt:lpstr>Servicios Jurídicos</vt:lpstr>
      <vt:lpstr>Casa medio camino</vt:lpstr>
      <vt:lpstr>Casa Hogar Villas Miravalle</vt:lpstr>
      <vt:lpstr>Prev, atención,superv,desarroll</vt:lpstr>
      <vt:lpstr>AUVIFAM</vt:lpstr>
      <vt:lpstr>Custodia, Tutela, Adopcione</vt:lpstr>
      <vt:lpstr>Hoja2</vt:lpstr>
      <vt:lpstr>Ausencias!Área_de_impresión</vt:lpstr>
      <vt:lpstr>'Casa Hogar Villas Miravalle'!Área_de_impresión</vt:lpstr>
      <vt:lpstr>'Casa medio camino'!Área_de_impresión</vt:lpstr>
      <vt:lpstr>'Prev, atención,superv,desarroll'!Área_de_impresión</vt:lpstr>
      <vt:lpstr>'Servicios Jurídicos'!Área_de_impresión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INDETEC;MIRANDA</dc:creator>
  <cp:lastModifiedBy>xilonen olga garcia vuevaas</cp:lastModifiedBy>
  <cp:revision>1</cp:revision>
  <cp:lastPrinted>2020-02-19T16:58:51Z</cp:lastPrinted>
  <dcterms:created xsi:type="dcterms:W3CDTF">2014-09-29T19:12:00Z</dcterms:created>
  <dcterms:modified xsi:type="dcterms:W3CDTF">2021-03-19T20:40:00Z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2058-10.2.0.7516</vt:lpwstr>
  </property>
</Properties>
</file>