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ar.luna.DIFGDLAD\Documents\PILY 2021\MIR 2021\JUNIO\"/>
    </mc:Choice>
  </mc:AlternateContent>
  <bookViews>
    <workbookView xWindow="0" yWindow="0" windowWidth="19155" windowHeight="11520" tabRatio="724"/>
  </bookViews>
  <sheets>
    <sheet name="Ausencias" sheetId="47" r:id="rId1"/>
    <sheet name="Servicios Jurídicos" sheetId="51" r:id="rId2"/>
    <sheet name="Casa medio camino" sheetId="52" r:id="rId3"/>
    <sheet name="Casa Hogar Villas Miravalle" sheetId="50" r:id="rId4"/>
    <sheet name="Prev, atención,superv,desarroll" sheetId="48" r:id="rId5"/>
    <sheet name="Custodia, Tutela, Adopciones" sheetId="53" r:id="rId6"/>
    <sheet name="UAVIFAM" sheetId="49" r:id="rId7"/>
    <sheet name="Hoja2" sheetId="9" state="hidden" r:id="rId8"/>
  </sheets>
  <definedNames>
    <definedName name="_xlnm.Print_Area" localSheetId="0">Ausencias!$A$1:$DP$45</definedName>
    <definedName name="_xlnm.Print_Area" localSheetId="3">'Casa Hogar Villas Miravalle'!$A$1:$DP$62</definedName>
    <definedName name="_xlnm.Print_Area" localSheetId="4">'Prev, atención,superv,desarroll'!$A$1:$DP$73</definedName>
    <definedName name="_xlnm.Print_Area" localSheetId="1">'Servicios Jurídicos'!$A$1:$CX$35</definedName>
    <definedName name="CARACTERÍSTICAS" localSheetId="0">#REF!</definedName>
    <definedName name="CARACTERÍSTICAS" localSheetId="3">#REF!</definedName>
    <definedName name="CARACTERÍSTICAS" localSheetId="2">#REF!</definedName>
    <definedName name="CARACTERÍSTICAS" localSheetId="5">#REF!</definedName>
    <definedName name="CARACTERÍSTICAS" localSheetId="4">#REF!</definedName>
    <definedName name="CARACTERÍSTICAS" localSheetId="1">#REF!</definedName>
    <definedName name="CARACTERÍSTICAS" localSheetId="6">#REF!</definedName>
    <definedName name="CARACTERÍSTICAS">#REF!</definedName>
    <definedName name="PROGRAMA" localSheetId="0">#REF!</definedName>
    <definedName name="PROGRAMA" localSheetId="3">#REF!</definedName>
    <definedName name="PROGRAMA" localSheetId="2">#REF!</definedName>
    <definedName name="PROGRAMA" localSheetId="5">#REF!</definedName>
    <definedName name="PROGRAMA" localSheetId="4">#REF!</definedName>
    <definedName name="PROGRAMA" localSheetId="1">#REF!</definedName>
    <definedName name="PROGRAMA" localSheetId="6">#REF!</definedName>
    <definedName name="PROGRAMA">#REF!</definedName>
  </definedNames>
  <calcPr calcId="152511"/>
</workbook>
</file>

<file path=xl/calcChain.xml><?xml version="1.0" encoding="utf-8"?>
<calcChain xmlns="http://schemas.openxmlformats.org/spreadsheetml/2006/main">
  <c r="BL16" i="49" l="1"/>
  <c r="BL17" i="49"/>
  <c r="BL18" i="49"/>
  <c r="BL19" i="49"/>
  <c r="BL20" i="49"/>
  <c r="BL21" i="49"/>
  <c r="BL22" i="49"/>
  <c r="BL23" i="49"/>
  <c r="BL24" i="49"/>
  <c r="BL25" i="49"/>
  <c r="BL26" i="49"/>
  <c r="BL27" i="49"/>
  <c r="BL28" i="49"/>
  <c r="BL29" i="49"/>
  <c r="BL30" i="49"/>
  <c r="BL31" i="49"/>
  <c r="BL32" i="49"/>
  <c r="BL33" i="49"/>
  <c r="BL34" i="49"/>
  <c r="BL35" i="49"/>
  <c r="BL36" i="49"/>
  <c r="BL37" i="49"/>
  <c r="BL15" i="49"/>
  <c r="BL17" i="53" l="1"/>
  <c r="BL18" i="53"/>
  <c r="BL19" i="53"/>
  <c r="BL20" i="53"/>
  <c r="BL21" i="53"/>
  <c r="BL22" i="53"/>
  <c r="BL23" i="53"/>
  <c r="BL24" i="53"/>
  <c r="BL25" i="53"/>
  <c r="BL26" i="53"/>
  <c r="BL27" i="53"/>
  <c r="BL28" i="53"/>
  <c r="BL29" i="53"/>
  <c r="BL30" i="53"/>
  <c r="BL31" i="53"/>
  <c r="BL32" i="53"/>
  <c r="BL33" i="53"/>
  <c r="BL34" i="53"/>
  <c r="BL35" i="53"/>
  <c r="BL36" i="53"/>
  <c r="BL37" i="53"/>
  <c r="BL38" i="53"/>
  <c r="BL39" i="53"/>
  <c r="BL40" i="53"/>
  <c r="BL41" i="53"/>
  <c r="BL42" i="53"/>
  <c r="BL43" i="53"/>
  <c r="BL44" i="53"/>
  <c r="BL45" i="53"/>
  <c r="BL46" i="53"/>
  <c r="BL47" i="53"/>
  <c r="BL48" i="53"/>
  <c r="BL49" i="53"/>
  <c r="BL50" i="53"/>
  <c r="BL51" i="53"/>
  <c r="BL52" i="53"/>
  <c r="BL53" i="53"/>
  <c r="BL54" i="53"/>
  <c r="BL55" i="53"/>
  <c r="BL56" i="53"/>
  <c r="BL57" i="53"/>
  <c r="BL58" i="53"/>
  <c r="BL59" i="53"/>
  <c r="BL60" i="53"/>
  <c r="BL61" i="53"/>
  <c r="BL62" i="53"/>
  <c r="BL63" i="53"/>
  <c r="BL64" i="53"/>
  <c r="BL65" i="53"/>
  <c r="BL66" i="53"/>
  <c r="BL67" i="53"/>
  <c r="BL68" i="53"/>
  <c r="BL16" i="53"/>
  <c r="BL24" i="48"/>
  <c r="BL22" i="48"/>
  <c r="BL17" i="48"/>
  <c r="BL18" i="48"/>
  <c r="BL19" i="48"/>
  <c r="BL20" i="48"/>
  <c r="BL21" i="48"/>
  <c r="BL23" i="48"/>
  <c r="BL25" i="48"/>
  <c r="BL26" i="48"/>
  <c r="BL27" i="48"/>
  <c r="BL28" i="48"/>
  <c r="BL29" i="48"/>
  <c r="BL30" i="48"/>
  <c r="BL31" i="48"/>
  <c r="BL32" i="48"/>
  <c r="BL33" i="48"/>
  <c r="BL34" i="48"/>
  <c r="BL35" i="48"/>
  <c r="BL36" i="48"/>
  <c r="BL37" i="48"/>
  <c r="BL38" i="48"/>
  <c r="BL39" i="48"/>
  <c r="BL40" i="48"/>
  <c r="BL41" i="48"/>
  <c r="BL42" i="48"/>
  <c r="BL43" i="48"/>
  <c r="BL44" i="48"/>
  <c r="BL45" i="48"/>
  <c r="BL46" i="48"/>
  <c r="BL47" i="48"/>
  <c r="BL48" i="48"/>
  <c r="BL49" i="48"/>
  <c r="BL50" i="48"/>
  <c r="BL51" i="48"/>
  <c r="BL52" i="48"/>
  <c r="BL53" i="48"/>
  <c r="BL54" i="48"/>
  <c r="BL55" i="48"/>
  <c r="BL56" i="48"/>
  <c r="BL57" i="48"/>
  <c r="BL58" i="48"/>
  <c r="BL16" i="48"/>
  <c r="BC17" i="48"/>
  <c r="BC18" i="48"/>
  <c r="BC19" i="48"/>
  <c r="BC20" i="48"/>
  <c r="BC21" i="48"/>
  <c r="BC22" i="48"/>
  <c r="BC23" i="48"/>
  <c r="BC24" i="48"/>
  <c r="BC25" i="48"/>
  <c r="BC26" i="48"/>
  <c r="BC27" i="48"/>
  <c r="BC28" i="48"/>
  <c r="BC29" i="48"/>
  <c r="BC30" i="48"/>
  <c r="BC31" i="48"/>
  <c r="BC32" i="48"/>
  <c r="BC33" i="48"/>
  <c r="BC34" i="48"/>
  <c r="BC35" i="48"/>
  <c r="BC36" i="48"/>
  <c r="BC37" i="48"/>
  <c r="BC38" i="48"/>
  <c r="BC39" i="48"/>
  <c r="BC40" i="48"/>
  <c r="BC41" i="48"/>
  <c r="BC42" i="48"/>
  <c r="BC43" i="48"/>
  <c r="BC44" i="48"/>
  <c r="BC45" i="48"/>
  <c r="BC46" i="48"/>
  <c r="BC47" i="48"/>
  <c r="BC48" i="48"/>
  <c r="BC49" i="48"/>
  <c r="BC50" i="48"/>
  <c r="BC51" i="48"/>
  <c r="BC52" i="48"/>
  <c r="BC53" i="48"/>
  <c r="BC54" i="48"/>
  <c r="BC55" i="48"/>
  <c r="BC56" i="48"/>
  <c r="BC57" i="48"/>
  <c r="BC58" i="48"/>
  <c r="BC16" i="48"/>
  <c r="AT17" i="48"/>
  <c r="AT18" i="48"/>
  <c r="AT19" i="48"/>
  <c r="AT20" i="48"/>
  <c r="AT21" i="48"/>
  <c r="AT22" i="48"/>
  <c r="AT23" i="48"/>
  <c r="AT24" i="48"/>
  <c r="AT25" i="48"/>
  <c r="AT26" i="48"/>
  <c r="AT27" i="48"/>
  <c r="AT28" i="48"/>
  <c r="AT29" i="48"/>
  <c r="AT30" i="48"/>
  <c r="AT31" i="48"/>
  <c r="AT32" i="48"/>
  <c r="AT33" i="48"/>
  <c r="AT34" i="48"/>
  <c r="AT35" i="48"/>
  <c r="AT36" i="48"/>
  <c r="AT37" i="48"/>
  <c r="AT38" i="48"/>
  <c r="AT39" i="48"/>
  <c r="AT40" i="48"/>
  <c r="AT41" i="48"/>
  <c r="AT42" i="48"/>
  <c r="AT43" i="48"/>
  <c r="AT44" i="48"/>
  <c r="AT45" i="48"/>
  <c r="AT46" i="48"/>
  <c r="AT47" i="48"/>
  <c r="AT48" i="48"/>
  <c r="AT49" i="48"/>
  <c r="AT50" i="48"/>
  <c r="AT51" i="48"/>
  <c r="AT52" i="48"/>
  <c r="AT53" i="48"/>
  <c r="AT54" i="48"/>
  <c r="AT55" i="48"/>
  <c r="AT56" i="48"/>
  <c r="AT57" i="48"/>
  <c r="AT58" i="48"/>
  <c r="AT16" i="48"/>
  <c r="AK29" i="48"/>
  <c r="AK30" i="48"/>
  <c r="AK31" i="48"/>
  <c r="AK32" i="48"/>
  <c r="AK33" i="48"/>
  <c r="AK34" i="48"/>
  <c r="AK35" i="48"/>
  <c r="AK36" i="48"/>
  <c r="AK37" i="48"/>
  <c r="AK38" i="48"/>
  <c r="AK39" i="48"/>
  <c r="AK40" i="48"/>
  <c r="AK41" i="48"/>
  <c r="AK42" i="48"/>
  <c r="AK43" i="48"/>
  <c r="AK44" i="48"/>
  <c r="AK45" i="48"/>
  <c r="AK46" i="48"/>
  <c r="AK47" i="48"/>
  <c r="AK48" i="48"/>
  <c r="AK49" i="48"/>
  <c r="AK50" i="48"/>
  <c r="AK51" i="48"/>
  <c r="AK52" i="48"/>
  <c r="AK53" i="48"/>
  <c r="AK54" i="48"/>
  <c r="AK55" i="48"/>
  <c r="AK56" i="48"/>
  <c r="AK57" i="48"/>
  <c r="AK58" i="48"/>
  <c r="AK17" i="48"/>
  <c r="AK18" i="48"/>
  <c r="AK19" i="48"/>
  <c r="AK20" i="48"/>
  <c r="AK21" i="48"/>
  <c r="AK22" i="48"/>
  <c r="AK23" i="48"/>
  <c r="AK24" i="48"/>
  <c r="AK25" i="48"/>
  <c r="AK26" i="48"/>
  <c r="AK27" i="48"/>
  <c r="AK28" i="48"/>
  <c r="AK16" i="48"/>
  <c r="AB17" i="48"/>
  <c r="AB18" i="48"/>
  <c r="AB19" i="48"/>
  <c r="AB20" i="48"/>
  <c r="AB21" i="48"/>
  <c r="AB22" i="48"/>
  <c r="AB23" i="48"/>
  <c r="AB24" i="48"/>
  <c r="AB25" i="48"/>
  <c r="AB26" i="48"/>
  <c r="AB27" i="48"/>
  <c r="AB28" i="48"/>
  <c r="AB29" i="48"/>
  <c r="AB30" i="48"/>
  <c r="AB31" i="48"/>
  <c r="AB32" i="48"/>
  <c r="AB33" i="48"/>
  <c r="AB34" i="48"/>
  <c r="AB35" i="48"/>
  <c r="AB36" i="48"/>
  <c r="AB37" i="48"/>
  <c r="AB38" i="48"/>
  <c r="AB39" i="48"/>
  <c r="AB40" i="48"/>
  <c r="AB41" i="48"/>
  <c r="AB42" i="48"/>
  <c r="AB43" i="48"/>
  <c r="AB44" i="48"/>
  <c r="AB45" i="48"/>
  <c r="AB46" i="48"/>
  <c r="AB47" i="48"/>
  <c r="AB48" i="48"/>
  <c r="AB49" i="48"/>
  <c r="AB50" i="48"/>
  <c r="AB51" i="48"/>
  <c r="AB52" i="48"/>
  <c r="AB53" i="48"/>
  <c r="AB54" i="48"/>
  <c r="AB55" i="48"/>
  <c r="AB56" i="48"/>
  <c r="AB57" i="48"/>
  <c r="AB58" i="48"/>
  <c r="AB16" i="48"/>
  <c r="S17" i="48"/>
  <c r="S18" i="48"/>
  <c r="S19" i="48"/>
  <c r="S20" i="48"/>
  <c r="S21" i="48"/>
  <c r="S22" i="48"/>
  <c r="S23" i="48"/>
  <c r="S24" i="48"/>
  <c r="S25" i="48"/>
  <c r="S26" i="48"/>
  <c r="S27" i="48"/>
  <c r="S28" i="48"/>
  <c r="S29" i="48"/>
  <c r="S30" i="48"/>
  <c r="S31" i="48"/>
  <c r="S32" i="48"/>
  <c r="S33" i="48"/>
  <c r="S34" i="48"/>
  <c r="S35" i="48"/>
  <c r="S36" i="48"/>
  <c r="S37" i="48"/>
  <c r="S38" i="48"/>
  <c r="S39" i="48"/>
  <c r="S40" i="48"/>
  <c r="S41" i="48"/>
  <c r="S42" i="48"/>
  <c r="S43" i="48"/>
  <c r="S44" i="48"/>
  <c r="S45" i="48"/>
  <c r="S46" i="48"/>
  <c r="S47" i="48"/>
  <c r="S48" i="48"/>
  <c r="S49" i="48"/>
  <c r="S50" i="48"/>
  <c r="S51" i="48"/>
  <c r="S52" i="48"/>
  <c r="S53" i="48"/>
  <c r="S54" i="48"/>
  <c r="S55" i="48"/>
  <c r="S56" i="48"/>
  <c r="S57" i="48"/>
  <c r="S58" i="48"/>
  <c r="S16" i="48"/>
  <c r="BL17" i="50" l="1"/>
  <c r="BL18" i="50"/>
  <c r="BL19" i="50"/>
  <c r="BL20" i="50"/>
  <c r="BL21" i="50"/>
  <c r="BL22" i="50"/>
  <c r="BL23" i="50"/>
  <c r="BL24" i="50"/>
  <c r="BL25" i="50"/>
  <c r="BL26" i="50"/>
  <c r="BL27" i="50"/>
  <c r="BL28" i="50"/>
  <c r="BL29" i="50"/>
  <c r="BL30" i="50"/>
  <c r="BL31" i="50"/>
  <c r="BL32" i="50"/>
  <c r="BL16" i="50"/>
  <c r="BL17" i="52"/>
  <c r="BL18" i="52"/>
  <c r="BL19" i="52"/>
  <c r="BL20" i="52"/>
  <c r="BL21" i="52"/>
  <c r="BL22" i="52"/>
  <c r="BL23" i="52"/>
  <c r="BL24" i="52"/>
  <c r="BL25" i="52"/>
  <c r="BL26" i="52"/>
  <c r="BL27" i="52"/>
  <c r="BL28" i="52"/>
  <c r="BL29" i="52"/>
  <c r="BL30" i="52"/>
  <c r="BL16" i="52"/>
  <c r="BL16" i="51"/>
  <c r="BL15" i="51"/>
  <c r="BL14" i="49"/>
  <c r="BL15" i="50"/>
  <c r="BL15" i="52"/>
  <c r="BL19" i="51"/>
  <c r="BL20" i="51"/>
  <c r="BL21" i="51"/>
  <c r="BL22" i="51"/>
  <c r="BL23" i="51"/>
  <c r="BL24" i="51"/>
  <c r="BL25" i="51"/>
  <c r="BL26" i="51"/>
  <c r="BL27" i="51"/>
  <c r="BL28" i="51"/>
  <c r="BL29" i="51"/>
  <c r="BL30" i="51"/>
  <c r="BL31" i="51"/>
  <c r="BL32" i="51"/>
  <c r="BL33" i="51"/>
  <c r="BL34" i="51"/>
  <c r="BL18" i="51"/>
  <c r="BL17" i="51"/>
  <c r="BL25" i="47"/>
  <c r="BL26" i="47"/>
  <c r="BL27" i="47"/>
  <c r="BL28" i="47"/>
  <c r="BL29" i="47"/>
  <c r="BL30" i="47"/>
  <c r="BL24" i="47"/>
  <c r="BL22" i="47"/>
  <c r="BL19" i="47"/>
  <c r="BL20" i="47"/>
  <c r="BL17" i="47"/>
  <c r="BL18" i="47"/>
  <c r="BL16" i="47"/>
  <c r="DN68" i="53"/>
  <c r="DE68" i="53"/>
  <c r="CV68" i="53"/>
  <c r="DO68" i="53" s="1"/>
  <c r="CM68" i="53"/>
  <c r="CD68" i="53"/>
  <c r="BU68" i="53"/>
  <c r="BC68" i="53"/>
  <c r="AT68" i="53"/>
  <c r="AK68" i="53"/>
  <c r="AB68" i="53"/>
  <c r="S68" i="53"/>
  <c r="DN67" i="53"/>
  <c r="DE67" i="53"/>
  <c r="CV67" i="53"/>
  <c r="CM67" i="53"/>
  <c r="CD67" i="53"/>
  <c r="BU67" i="53"/>
  <c r="BC67" i="53"/>
  <c r="AT67" i="53"/>
  <c r="AK67" i="53"/>
  <c r="AB67" i="53"/>
  <c r="S67" i="53"/>
  <c r="DN66" i="53"/>
  <c r="DO66" i="53" s="1"/>
  <c r="DE66" i="53"/>
  <c r="CV66" i="53"/>
  <c r="CM66" i="53"/>
  <c r="CD66" i="53"/>
  <c r="BU66" i="53"/>
  <c r="BC66" i="53"/>
  <c r="AT66" i="53"/>
  <c r="AK66" i="53"/>
  <c r="AB66" i="53"/>
  <c r="S66" i="53"/>
  <c r="DO65" i="53"/>
  <c r="DN65" i="53"/>
  <c r="DE65" i="53"/>
  <c r="CV65" i="53"/>
  <c r="CM65" i="53"/>
  <c r="CD65" i="53"/>
  <c r="BU65" i="53"/>
  <c r="BC65" i="53"/>
  <c r="AT65" i="53"/>
  <c r="AK65" i="53"/>
  <c r="AB65" i="53"/>
  <c r="S65" i="53"/>
  <c r="DN64" i="53"/>
  <c r="DE64" i="53"/>
  <c r="CV64" i="53"/>
  <c r="DO64" i="53" s="1"/>
  <c r="CM64" i="53"/>
  <c r="CD64" i="53"/>
  <c r="BU64" i="53"/>
  <c r="BC64" i="53"/>
  <c r="AT64" i="53"/>
  <c r="AK64" i="53"/>
  <c r="AB64" i="53"/>
  <c r="S64" i="53"/>
  <c r="DN63" i="53"/>
  <c r="DE63" i="53"/>
  <c r="CV63" i="53"/>
  <c r="CM63" i="53"/>
  <c r="CD63" i="53"/>
  <c r="BU63" i="53"/>
  <c r="BC63" i="53"/>
  <c r="AT63" i="53"/>
  <c r="AK63" i="53"/>
  <c r="AB63" i="53"/>
  <c r="S63" i="53"/>
  <c r="DN62" i="53"/>
  <c r="DO62" i="53" s="1"/>
  <c r="DE62" i="53"/>
  <c r="CV62" i="53"/>
  <c r="CM62" i="53"/>
  <c r="CD62" i="53"/>
  <c r="BU62" i="53"/>
  <c r="BC62" i="53"/>
  <c r="AT62" i="53"/>
  <c r="AK62" i="53"/>
  <c r="AB62" i="53"/>
  <c r="S62" i="53"/>
  <c r="DN61" i="53"/>
  <c r="DE61" i="53"/>
  <c r="CV61" i="53"/>
  <c r="DO61" i="53" s="1"/>
  <c r="CM61" i="53"/>
  <c r="CD61" i="53"/>
  <c r="BU61" i="53"/>
  <c r="BC61" i="53"/>
  <c r="AT61" i="53"/>
  <c r="AK61" i="53"/>
  <c r="AB61" i="53"/>
  <c r="S61" i="53"/>
  <c r="DN60" i="53"/>
  <c r="DE60" i="53"/>
  <c r="CV60" i="53"/>
  <c r="DO60" i="53" s="1"/>
  <c r="CM60" i="53"/>
  <c r="CD60" i="53"/>
  <c r="BU60" i="53"/>
  <c r="BC60" i="53"/>
  <c r="AT60" i="53"/>
  <c r="AK60" i="53"/>
  <c r="AB60" i="53"/>
  <c r="S60" i="53"/>
  <c r="DN59" i="53"/>
  <c r="DE59" i="53"/>
  <c r="CV59" i="53"/>
  <c r="CM59" i="53"/>
  <c r="CD59" i="53"/>
  <c r="BU59" i="53"/>
  <c r="BC59" i="53"/>
  <c r="AT59" i="53"/>
  <c r="AK59" i="53"/>
  <c r="AB59" i="53"/>
  <c r="S59" i="53"/>
  <c r="DN58" i="53"/>
  <c r="DO58" i="53" s="1"/>
  <c r="DE58" i="53"/>
  <c r="CV58" i="53"/>
  <c r="CM58" i="53"/>
  <c r="CD58" i="53"/>
  <c r="BU58" i="53"/>
  <c r="BC58" i="53"/>
  <c r="AT58" i="53"/>
  <c r="AK58" i="53"/>
  <c r="AB58" i="53"/>
  <c r="S58" i="53"/>
  <c r="DN57" i="53"/>
  <c r="DE57" i="53"/>
  <c r="DO57" i="53" s="1"/>
  <c r="CV57" i="53"/>
  <c r="CM57" i="53"/>
  <c r="CD57" i="53"/>
  <c r="BU57" i="53"/>
  <c r="BC57" i="53"/>
  <c r="AT57" i="53"/>
  <c r="AK57" i="53"/>
  <c r="AB57" i="53"/>
  <c r="S57" i="53"/>
  <c r="DN56" i="53"/>
  <c r="DE56" i="53"/>
  <c r="CV56" i="53"/>
  <c r="DO56" i="53" s="1"/>
  <c r="CM56" i="53"/>
  <c r="CD56" i="53"/>
  <c r="BU56" i="53"/>
  <c r="BC56" i="53"/>
  <c r="AT56" i="53"/>
  <c r="AK56" i="53"/>
  <c r="AB56" i="53"/>
  <c r="S56" i="53"/>
  <c r="DN55" i="53"/>
  <c r="DE55" i="53"/>
  <c r="DO55" i="53" s="1"/>
  <c r="CV55" i="53"/>
  <c r="CM55" i="53"/>
  <c r="CD55" i="53"/>
  <c r="BU55" i="53"/>
  <c r="BC55" i="53"/>
  <c r="AT55" i="53"/>
  <c r="AK55" i="53"/>
  <c r="AB55" i="53"/>
  <c r="S55" i="53"/>
  <c r="DN54" i="53"/>
  <c r="DO54" i="53" s="1"/>
  <c r="DE54" i="53"/>
  <c r="CV54" i="53"/>
  <c r="CM54" i="53"/>
  <c r="CD54" i="53"/>
  <c r="BU54" i="53"/>
  <c r="BC54" i="53"/>
  <c r="AT54" i="53"/>
  <c r="S54" i="53"/>
  <c r="DN53" i="53"/>
  <c r="DE53" i="53"/>
  <c r="CV53" i="53"/>
  <c r="CM53" i="53"/>
  <c r="CD53" i="53"/>
  <c r="BU53" i="53"/>
  <c r="BC53" i="53"/>
  <c r="AT53" i="53"/>
  <c r="AK53" i="53"/>
  <c r="AB53" i="53"/>
  <c r="S53" i="53"/>
  <c r="DN52" i="53"/>
  <c r="DE52" i="53"/>
  <c r="DO52" i="53" s="1"/>
  <c r="CV52" i="53"/>
  <c r="CM52" i="53"/>
  <c r="CD52" i="53"/>
  <c r="BU52" i="53"/>
  <c r="BC52" i="53"/>
  <c r="AT52" i="53"/>
  <c r="AB52" i="53"/>
  <c r="S52" i="53"/>
  <c r="DN51" i="53"/>
  <c r="DE51" i="53"/>
  <c r="CV51" i="53"/>
  <c r="DO51" i="53" s="1"/>
  <c r="CM51" i="53"/>
  <c r="CD51" i="53"/>
  <c r="BU51" i="53"/>
  <c r="BC51" i="53"/>
  <c r="AT51" i="53"/>
  <c r="AK51" i="53"/>
  <c r="AB51" i="53"/>
  <c r="S51" i="53"/>
  <c r="DN50" i="53"/>
  <c r="DE50" i="53"/>
  <c r="DO50" i="53" s="1"/>
  <c r="CV50" i="53"/>
  <c r="CM50" i="53"/>
  <c r="CD50" i="53"/>
  <c r="BU50" i="53"/>
  <c r="BC50" i="53"/>
  <c r="AT50" i="53"/>
  <c r="S50" i="53"/>
  <c r="DN49" i="53"/>
  <c r="DO49" i="53" s="1"/>
  <c r="DE49" i="53"/>
  <c r="CV49" i="53"/>
  <c r="CM49" i="53"/>
  <c r="CD49" i="53"/>
  <c r="BU49" i="53"/>
  <c r="BC49" i="53"/>
  <c r="AT49" i="53"/>
  <c r="AK49" i="53"/>
  <c r="AB49" i="53"/>
  <c r="S49" i="53"/>
  <c r="DN48" i="53"/>
  <c r="DE48" i="53"/>
  <c r="CV48" i="53"/>
  <c r="DO48" i="53" s="1"/>
  <c r="CM48" i="53"/>
  <c r="CD48" i="53"/>
  <c r="BU48" i="53"/>
  <c r="BC48" i="53"/>
  <c r="AT48" i="53"/>
  <c r="S48" i="53"/>
  <c r="DN47" i="53"/>
  <c r="DE47" i="53"/>
  <c r="CV47" i="53"/>
  <c r="CM47" i="53"/>
  <c r="CD47" i="53"/>
  <c r="BU47" i="53"/>
  <c r="BC47" i="53"/>
  <c r="AT47" i="53"/>
  <c r="AK47" i="53"/>
  <c r="AB47" i="53"/>
  <c r="S47" i="53"/>
  <c r="DO46" i="53"/>
  <c r="DN46" i="53"/>
  <c r="DE46" i="53"/>
  <c r="CV46" i="53"/>
  <c r="CM46" i="53"/>
  <c r="CD46" i="53"/>
  <c r="BU46" i="53"/>
  <c r="BC46" i="53"/>
  <c r="AT46" i="53"/>
  <c r="S46" i="53"/>
  <c r="DN45" i="53"/>
  <c r="DE45" i="53"/>
  <c r="CV45" i="53"/>
  <c r="CM45" i="53"/>
  <c r="CD45" i="53"/>
  <c r="BU45" i="53"/>
  <c r="BC45" i="53"/>
  <c r="AT45" i="53"/>
  <c r="AK45" i="53"/>
  <c r="AB45" i="53"/>
  <c r="S45" i="53"/>
  <c r="DN44" i="53"/>
  <c r="DO44" i="53" s="1"/>
  <c r="DE44" i="53"/>
  <c r="CV44" i="53"/>
  <c r="CM44" i="53"/>
  <c r="CD44" i="53"/>
  <c r="BU44" i="53"/>
  <c r="BC44" i="53"/>
  <c r="AT44" i="53"/>
  <c r="S44" i="53"/>
  <c r="DN43" i="53"/>
  <c r="DE43" i="53"/>
  <c r="CV43" i="53"/>
  <c r="CM43" i="53"/>
  <c r="CD43" i="53"/>
  <c r="BU43" i="53"/>
  <c r="BC43" i="53"/>
  <c r="AT43" i="53"/>
  <c r="AK43" i="53"/>
  <c r="AB43" i="53"/>
  <c r="S43" i="53"/>
  <c r="DN42" i="53"/>
  <c r="DE42" i="53"/>
  <c r="DO42" i="53" s="1"/>
  <c r="CV42" i="53"/>
  <c r="CM42" i="53"/>
  <c r="CD42" i="53"/>
  <c r="BU42" i="53"/>
  <c r="BC42" i="53"/>
  <c r="AT42" i="53"/>
  <c r="S42" i="53"/>
  <c r="DN41" i="53"/>
  <c r="DE41" i="53"/>
  <c r="CV41" i="53"/>
  <c r="DO41" i="53" s="1"/>
  <c r="CM41" i="53"/>
  <c r="CD41" i="53"/>
  <c r="BU41" i="53"/>
  <c r="BC41" i="53"/>
  <c r="AT41" i="53"/>
  <c r="AK41" i="53"/>
  <c r="AB41" i="53"/>
  <c r="S41" i="53"/>
  <c r="DN40" i="53"/>
  <c r="DE40" i="53"/>
  <c r="CV40" i="53"/>
  <c r="DO40" i="53" s="1"/>
  <c r="CM40" i="53"/>
  <c r="CD40" i="53"/>
  <c r="BU40" i="53"/>
  <c r="BC40" i="53"/>
  <c r="AT40" i="53"/>
  <c r="S40" i="53"/>
  <c r="DN39" i="53"/>
  <c r="DE39" i="53"/>
  <c r="CV39" i="53"/>
  <c r="CM39" i="53"/>
  <c r="BU39" i="53"/>
  <c r="BC39" i="53"/>
  <c r="AT39" i="53"/>
  <c r="AK39" i="53"/>
  <c r="AB39" i="53"/>
  <c r="S39" i="53"/>
  <c r="DN38" i="53"/>
  <c r="DO38" i="53" s="1"/>
  <c r="DE38" i="53"/>
  <c r="CV38" i="53"/>
  <c r="CM38" i="53"/>
  <c r="CD38" i="53"/>
  <c r="BU38" i="53"/>
  <c r="BC38" i="53"/>
  <c r="AT38" i="53"/>
  <c r="S38" i="53"/>
  <c r="DN37" i="53"/>
  <c r="DE37" i="53"/>
  <c r="DO37" i="53" s="1"/>
  <c r="CV37" i="53"/>
  <c r="CM37" i="53"/>
  <c r="CD37" i="53"/>
  <c r="BU37" i="53"/>
  <c r="BC37" i="53"/>
  <c r="AT37" i="53"/>
  <c r="AK37" i="53"/>
  <c r="AB37" i="53"/>
  <c r="S37" i="53"/>
  <c r="DN36" i="53"/>
  <c r="DE36" i="53"/>
  <c r="DO36" i="53" s="1"/>
  <c r="CV36" i="53"/>
  <c r="CM36" i="53"/>
  <c r="CD36" i="53"/>
  <c r="BU36" i="53"/>
  <c r="BC36" i="53"/>
  <c r="AT36" i="53"/>
  <c r="AK36" i="53"/>
  <c r="AB36" i="53"/>
  <c r="S36" i="53"/>
  <c r="DN35" i="53"/>
  <c r="DE35" i="53"/>
  <c r="CV35" i="53"/>
  <c r="CM35" i="53"/>
  <c r="CD35" i="53"/>
  <c r="BU35" i="53"/>
  <c r="BC35" i="53"/>
  <c r="AT35" i="53"/>
  <c r="AK35" i="53"/>
  <c r="AB35" i="53"/>
  <c r="S35" i="53"/>
  <c r="DO34" i="53"/>
  <c r="DN34" i="53"/>
  <c r="DE34" i="53"/>
  <c r="CV34" i="53"/>
  <c r="CM34" i="53"/>
  <c r="CD34" i="53"/>
  <c r="BU34" i="53"/>
  <c r="BC34" i="53"/>
  <c r="AT34" i="53"/>
  <c r="S34" i="53"/>
  <c r="DN33" i="53"/>
  <c r="DE33" i="53"/>
  <c r="CV33" i="53"/>
  <c r="CM33" i="53"/>
  <c r="CD33" i="53"/>
  <c r="BU33" i="53"/>
  <c r="BC33" i="53"/>
  <c r="AT33" i="53"/>
  <c r="AK33" i="53"/>
  <c r="AB33" i="53"/>
  <c r="S33" i="53"/>
  <c r="DN32" i="53"/>
  <c r="DO32" i="53" s="1"/>
  <c r="DE32" i="53"/>
  <c r="CV32" i="53"/>
  <c r="CM32" i="53"/>
  <c r="CD32" i="53"/>
  <c r="BU32" i="53"/>
  <c r="BC32" i="53"/>
  <c r="AT32" i="53"/>
  <c r="S32" i="53"/>
  <c r="DN31" i="53"/>
  <c r="DE31" i="53"/>
  <c r="CV31" i="53"/>
  <c r="CM31" i="53"/>
  <c r="CD31" i="53"/>
  <c r="BU31" i="53"/>
  <c r="BC31" i="53"/>
  <c r="AT31" i="53"/>
  <c r="AK31" i="53"/>
  <c r="AB31" i="53"/>
  <c r="S31" i="53"/>
  <c r="DN30" i="53"/>
  <c r="DE30" i="53"/>
  <c r="DO30" i="53" s="1"/>
  <c r="CV30" i="53"/>
  <c r="CM30" i="53"/>
  <c r="CD30" i="53"/>
  <c r="BU30" i="53"/>
  <c r="BC30" i="53"/>
  <c r="AT30" i="53"/>
  <c r="AK30" i="53"/>
  <c r="S30" i="53"/>
  <c r="DN29" i="53"/>
  <c r="DO29" i="53" s="1"/>
  <c r="DE29" i="53"/>
  <c r="CV29" i="53"/>
  <c r="CM29" i="53"/>
  <c r="CD29" i="53"/>
  <c r="BU29" i="53"/>
  <c r="BC29" i="53"/>
  <c r="AT29" i="53"/>
  <c r="AK29" i="53"/>
  <c r="AB29" i="53"/>
  <c r="S29" i="53"/>
  <c r="DN28" i="53"/>
  <c r="DE28" i="53"/>
  <c r="DO28" i="53" s="1"/>
  <c r="CV28" i="53"/>
  <c r="CM28" i="53"/>
  <c r="CD28" i="53"/>
  <c r="BU28" i="53"/>
  <c r="BC28" i="53"/>
  <c r="AT28" i="53"/>
  <c r="S28" i="53"/>
  <c r="DN27" i="53"/>
  <c r="DE27" i="53"/>
  <c r="CV27" i="53"/>
  <c r="CM27" i="53"/>
  <c r="CD27" i="53"/>
  <c r="BU27" i="53"/>
  <c r="BC27" i="53"/>
  <c r="AT27" i="53"/>
  <c r="AK27" i="53"/>
  <c r="AB27" i="53"/>
  <c r="S27" i="53"/>
  <c r="DO27" i="53" s="1"/>
  <c r="DN26" i="53"/>
  <c r="DO26" i="53" s="1"/>
  <c r="DE26" i="53"/>
  <c r="CV26" i="53"/>
  <c r="CM26" i="53"/>
  <c r="CD26" i="53"/>
  <c r="BU26" i="53"/>
  <c r="BC26" i="53"/>
  <c r="AT26" i="53"/>
  <c r="S26" i="53"/>
  <c r="DN25" i="53"/>
  <c r="DE25" i="53"/>
  <c r="CV25" i="53"/>
  <c r="CM25" i="53"/>
  <c r="CD25" i="53"/>
  <c r="BU25" i="53"/>
  <c r="BC25" i="53"/>
  <c r="AT25" i="53"/>
  <c r="AK25" i="53"/>
  <c r="AB25" i="53"/>
  <c r="S25" i="53"/>
  <c r="DN24" i="53"/>
  <c r="DE24" i="53"/>
  <c r="CV24" i="53"/>
  <c r="CM24" i="53"/>
  <c r="CD24" i="53"/>
  <c r="BU24" i="53"/>
  <c r="BC24" i="53"/>
  <c r="AT24" i="53"/>
  <c r="DO24" i="53" s="1"/>
  <c r="S24" i="53"/>
  <c r="DN23" i="53"/>
  <c r="DE23" i="53"/>
  <c r="DO23" i="53" s="1"/>
  <c r="CV23" i="53"/>
  <c r="CM23" i="53"/>
  <c r="CD23" i="53"/>
  <c r="BU23" i="53"/>
  <c r="BC23" i="53"/>
  <c r="AT23" i="53"/>
  <c r="AK23" i="53"/>
  <c r="AB23" i="53"/>
  <c r="S23" i="53"/>
  <c r="DN22" i="53"/>
  <c r="DO22" i="53" s="1"/>
  <c r="DE22" i="53"/>
  <c r="CV22" i="53"/>
  <c r="CM22" i="53"/>
  <c r="CD22" i="53"/>
  <c r="BU22" i="53"/>
  <c r="BC22" i="53"/>
  <c r="AT22" i="53"/>
  <c r="S22" i="53"/>
  <c r="DN21" i="53"/>
  <c r="DO21" i="53" s="1"/>
  <c r="DE21" i="53"/>
  <c r="CV21" i="53"/>
  <c r="CM21" i="53"/>
  <c r="CD21" i="53"/>
  <c r="BU21" i="53"/>
  <c r="BC21" i="53"/>
  <c r="AT21" i="53"/>
  <c r="AK21" i="53"/>
  <c r="AB21" i="53"/>
  <c r="S21" i="53"/>
  <c r="DN20" i="53"/>
  <c r="DE20" i="53"/>
  <c r="DO20" i="53" s="1"/>
  <c r="CV20" i="53"/>
  <c r="CM20" i="53"/>
  <c r="CD20" i="53"/>
  <c r="BU20" i="53"/>
  <c r="BC20" i="53"/>
  <c r="AT20" i="53"/>
  <c r="S20" i="53"/>
  <c r="DN19" i="53"/>
  <c r="DE19" i="53"/>
  <c r="CV19" i="53"/>
  <c r="CM19" i="53"/>
  <c r="CD19" i="53"/>
  <c r="BU19" i="53"/>
  <c r="BC19" i="53"/>
  <c r="DO19" i="53" s="1"/>
  <c r="AT19" i="53"/>
  <c r="AK19" i="53"/>
  <c r="AB19" i="53"/>
  <c r="S19" i="53"/>
  <c r="DN18" i="53"/>
  <c r="DO18" i="53" s="1"/>
  <c r="DE18" i="53"/>
  <c r="CV18" i="53"/>
  <c r="CM18" i="53"/>
  <c r="CD18" i="53"/>
  <c r="BU18" i="53"/>
  <c r="BC18" i="53"/>
  <c r="AT18" i="53"/>
  <c r="AK18" i="53"/>
  <c r="AB18" i="53"/>
  <c r="S18" i="53"/>
  <c r="DN17" i="53"/>
  <c r="DE17" i="53"/>
  <c r="CV17" i="53"/>
  <c r="CM17" i="53"/>
  <c r="CD17" i="53"/>
  <c r="BU17" i="53"/>
  <c r="BC17" i="53"/>
  <c r="AT17" i="53"/>
  <c r="AK17" i="53"/>
  <c r="AB17" i="53"/>
  <c r="S17" i="53"/>
  <c r="DN16" i="53"/>
  <c r="DO16" i="53" s="1"/>
  <c r="DE16" i="53"/>
  <c r="CV16" i="53"/>
  <c r="CM16" i="53"/>
  <c r="CD16" i="53"/>
  <c r="BU16" i="53"/>
  <c r="BC16" i="53"/>
  <c r="AT16" i="53"/>
  <c r="S16" i="53"/>
  <c r="DN15" i="53"/>
  <c r="DE15" i="53"/>
  <c r="CV15" i="53"/>
  <c r="CM15" i="53"/>
  <c r="CD15" i="53"/>
  <c r="BU15" i="53"/>
  <c r="BL15" i="53"/>
  <c r="BC15" i="53"/>
  <c r="AT15" i="53"/>
  <c r="AK15" i="53"/>
  <c r="AB15" i="53"/>
  <c r="S15" i="53"/>
  <c r="DO67" i="53" l="1"/>
  <c r="DO63" i="53"/>
  <c r="DO59" i="53"/>
  <c r="DO53" i="53"/>
  <c r="DO47" i="53"/>
  <c r="DO45" i="53"/>
  <c r="DO43" i="53"/>
  <c r="DO39" i="53"/>
  <c r="DO35" i="53"/>
  <c r="DO33" i="53"/>
  <c r="DO31" i="53"/>
  <c r="DO25" i="53"/>
  <c r="DO17" i="53"/>
  <c r="DO15" i="53"/>
  <c r="AB31" i="52"/>
  <c r="DN30" i="52"/>
  <c r="DE30" i="52"/>
  <c r="CV30" i="52"/>
  <c r="CM30" i="52"/>
  <c r="CD30" i="52"/>
  <c r="BU30" i="52"/>
  <c r="BC30" i="52"/>
  <c r="AT30" i="52"/>
  <c r="AK30" i="52"/>
  <c r="AB30" i="52"/>
  <c r="S30" i="52"/>
  <c r="DO30" i="52" s="1"/>
  <c r="DN29" i="52"/>
  <c r="DE29" i="52"/>
  <c r="CV29" i="52"/>
  <c r="CM29" i="52"/>
  <c r="CD29" i="52"/>
  <c r="BU29" i="52"/>
  <c r="BC29" i="52"/>
  <c r="AT29" i="52"/>
  <c r="AK29" i="52"/>
  <c r="AB29" i="52"/>
  <c r="S29" i="52"/>
  <c r="DN28" i="52"/>
  <c r="DE28" i="52"/>
  <c r="CV28" i="52"/>
  <c r="CM28" i="52"/>
  <c r="CD28" i="52"/>
  <c r="BU28" i="52"/>
  <c r="BC28" i="52"/>
  <c r="AT28" i="52"/>
  <c r="AK28" i="52"/>
  <c r="AB28" i="52"/>
  <c r="S28" i="52"/>
  <c r="DO28" i="52" s="1"/>
  <c r="DN27" i="52"/>
  <c r="DE27" i="52"/>
  <c r="CV27" i="52"/>
  <c r="CM27" i="52"/>
  <c r="CD27" i="52"/>
  <c r="BU27" i="52"/>
  <c r="BC27" i="52"/>
  <c r="AT27" i="52"/>
  <c r="AK27" i="52"/>
  <c r="AB27" i="52"/>
  <c r="S27" i="52"/>
  <c r="DN26" i="52"/>
  <c r="DE26" i="52"/>
  <c r="CV26" i="52"/>
  <c r="CM26" i="52"/>
  <c r="CD26" i="52"/>
  <c r="BU26" i="52"/>
  <c r="BC26" i="52"/>
  <c r="AT26" i="52"/>
  <c r="AK26" i="52"/>
  <c r="AB26" i="52"/>
  <c r="S26" i="52"/>
  <c r="DO26" i="52" s="1"/>
  <c r="DN25" i="52"/>
  <c r="DE25" i="52"/>
  <c r="CV25" i="52"/>
  <c r="CM25" i="52"/>
  <c r="CD25" i="52"/>
  <c r="BU25" i="52"/>
  <c r="BC25" i="52"/>
  <c r="AT25" i="52"/>
  <c r="AK25" i="52"/>
  <c r="AB25" i="52"/>
  <c r="S25" i="52"/>
  <c r="DN24" i="52"/>
  <c r="DE24" i="52"/>
  <c r="CV24" i="52"/>
  <c r="CM24" i="52"/>
  <c r="CD24" i="52"/>
  <c r="BU24" i="52"/>
  <c r="BC24" i="52"/>
  <c r="AT24" i="52"/>
  <c r="AK24" i="52"/>
  <c r="AB24" i="52"/>
  <c r="S24" i="52"/>
  <c r="DO24" i="52" s="1"/>
  <c r="DN23" i="52"/>
  <c r="DE23" i="52"/>
  <c r="CV23" i="52"/>
  <c r="CM23" i="52"/>
  <c r="CD23" i="52"/>
  <c r="BU23" i="52"/>
  <c r="BC23" i="52"/>
  <c r="AT23" i="52"/>
  <c r="AK23" i="52"/>
  <c r="AB23" i="52"/>
  <c r="S23" i="52"/>
  <c r="DN22" i="52"/>
  <c r="DE22" i="52"/>
  <c r="CV22" i="52"/>
  <c r="CM22" i="52"/>
  <c r="CD22" i="52"/>
  <c r="BU22" i="52"/>
  <c r="BC22" i="52"/>
  <c r="AT22" i="52"/>
  <c r="AK22" i="52"/>
  <c r="AB22" i="52"/>
  <c r="S22" i="52"/>
  <c r="DO22" i="52" s="1"/>
  <c r="DN21" i="52"/>
  <c r="DE21" i="52"/>
  <c r="CV21" i="52"/>
  <c r="CM21" i="52"/>
  <c r="CD21" i="52"/>
  <c r="BU21" i="52"/>
  <c r="BC21" i="52"/>
  <c r="AT21" i="52"/>
  <c r="AK21" i="52"/>
  <c r="AB21" i="52"/>
  <c r="S21" i="52"/>
  <c r="DN20" i="52"/>
  <c r="DE20" i="52"/>
  <c r="CV20" i="52"/>
  <c r="CM20" i="52"/>
  <c r="CD20" i="52"/>
  <c r="BU20" i="52"/>
  <c r="BC20" i="52"/>
  <c r="AT20" i="52"/>
  <c r="AK20" i="52"/>
  <c r="AB20" i="52"/>
  <c r="S20" i="52"/>
  <c r="DO20" i="52" s="1"/>
  <c r="DN19" i="52"/>
  <c r="DE19" i="52"/>
  <c r="CV19" i="52"/>
  <c r="CM19" i="52"/>
  <c r="CD19" i="52"/>
  <c r="BU19" i="52"/>
  <c r="BC19" i="52"/>
  <c r="AT19" i="52"/>
  <c r="AK19" i="52"/>
  <c r="AB19" i="52"/>
  <c r="S19" i="52"/>
  <c r="DN18" i="52"/>
  <c r="DE18" i="52"/>
  <c r="CV18" i="52"/>
  <c r="CM18" i="52"/>
  <c r="CD18" i="52"/>
  <c r="BU18" i="52"/>
  <c r="BC18" i="52"/>
  <c r="AT18" i="52"/>
  <c r="AK18" i="52"/>
  <c r="AB18" i="52"/>
  <c r="S18" i="52"/>
  <c r="DO18" i="52" s="1"/>
  <c r="DN17" i="52"/>
  <c r="DE17" i="52"/>
  <c r="CV17" i="52"/>
  <c r="CM17" i="52"/>
  <c r="CD17" i="52"/>
  <c r="BU17" i="52"/>
  <c r="BC17" i="52"/>
  <c r="AT17" i="52"/>
  <c r="AK17" i="52"/>
  <c r="AB17" i="52"/>
  <c r="S17" i="52"/>
  <c r="DN16" i="52"/>
  <c r="DE16" i="52"/>
  <c r="CV16" i="52"/>
  <c r="CM16" i="52"/>
  <c r="CD16" i="52"/>
  <c r="BU16" i="52"/>
  <c r="BC16" i="52"/>
  <c r="AT16" i="52"/>
  <c r="AK16" i="52"/>
  <c r="AB16" i="52"/>
  <c r="S16" i="52"/>
  <c r="DO16" i="52" s="1"/>
  <c r="DO15" i="52"/>
  <c r="DN15" i="52"/>
  <c r="DE15" i="52"/>
  <c r="CV15" i="52"/>
  <c r="CM15" i="52"/>
  <c r="CD15" i="52"/>
  <c r="BU15" i="52"/>
  <c r="BC15" i="52"/>
  <c r="AT15" i="52"/>
  <c r="AK15" i="52"/>
  <c r="AB15" i="52"/>
  <c r="S15" i="52"/>
  <c r="DO29" i="52" l="1"/>
  <c r="DO27" i="52"/>
  <c r="DO25" i="52"/>
  <c r="DO23" i="52"/>
  <c r="DO21" i="52"/>
  <c r="DO19" i="52"/>
  <c r="DO17" i="52"/>
  <c r="DN34" i="51" l="1"/>
  <c r="DE34" i="51"/>
  <c r="CV34" i="51"/>
  <c r="CM34" i="51"/>
  <c r="CD34" i="51"/>
  <c r="BU34" i="51"/>
  <c r="BC34" i="51"/>
  <c r="AT34" i="51"/>
  <c r="AK34" i="51"/>
  <c r="AB34" i="51"/>
  <c r="S34" i="51"/>
  <c r="DO34" i="51" s="1"/>
  <c r="DN33" i="51"/>
  <c r="DE33" i="51"/>
  <c r="CV33" i="51"/>
  <c r="CM33" i="51"/>
  <c r="CD33" i="51"/>
  <c r="BU33" i="51"/>
  <c r="BC33" i="51"/>
  <c r="AT33" i="51"/>
  <c r="AK33" i="51"/>
  <c r="AB33" i="51"/>
  <c r="S33" i="51"/>
  <c r="DN32" i="51"/>
  <c r="DE32" i="51"/>
  <c r="CV32" i="51"/>
  <c r="CM32" i="51"/>
  <c r="CD32" i="51"/>
  <c r="BU32" i="51"/>
  <c r="BC32" i="51"/>
  <c r="AT32" i="51"/>
  <c r="AK32" i="51"/>
  <c r="AB32" i="51"/>
  <c r="S32" i="51"/>
  <c r="DO32" i="51" s="1"/>
  <c r="DN31" i="51"/>
  <c r="DE31" i="51"/>
  <c r="CV31" i="51"/>
  <c r="CM31" i="51"/>
  <c r="CD31" i="51"/>
  <c r="BU31" i="51"/>
  <c r="BC31" i="51"/>
  <c r="AT31" i="51"/>
  <c r="AK31" i="51"/>
  <c r="AB31" i="51"/>
  <c r="S31" i="51"/>
  <c r="DO31" i="51" s="1"/>
  <c r="DN30" i="51"/>
  <c r="DE30" i="51"/>
  <c r="CV30" i="51"/>
  <c r="CM30" i="51"/>
  <c r="CD30" i="51"/>
  <c r="BU30" i="51"/>
  <c r="BC30" i="51"/>
  <c r="AT30" i="51"/>
  <c r="AK30" i="51"/>
  <c r="AB30" i="51"/>
  <c r="S30" i="51"/>
  <c r="DO30" i="51" s="1"/>
  <c r="DN29" i="51"/>
  <c r="CV29" i="51"/>
  <c r="CM29" i="51"/>
  <c r="CD29" i="51"/>
  <c r="BU29" i="51"/>
  <c r="BC29" i="51"/>
  <c r="AT29" i="51"/>
  <c r="AK29" i="51"/>
  <c r="AB29" i="51"/>
  <c r="DO29" i="51" s="1"/>
  <c r="S29" i="51"/>
  <c r="DN28" i="51"/>
  <c r="DE28" i="51"/>
  <c r="CV28" i="51"/>
  <c r="CM28" i="51"/>
  <c r="CD28" i="51"/>
  <c r="BU28" i="51"/>
  <c r="BC28" i="51"/>
  <c r="AT28" i="51"/>
  <c r="AK28" i="51"/>
  <c r="AB28" i="51"/>
  <c r="S28" i="51"/>
  <c r="DO28" i="51" s="1"/>
  <c r="DN27" i="51"/>
  <c r="DE27" i="51"/>
  <c r="CV27" i="51"/>
  <c r="CM27" i="51"/>
  <c r="CD27" i="51"/>
  <c r="BU27" i="51"/>
  <c r="BC27" i="51"/>
  <c r="AT27" i="51"/>
  <c r="AK27" i="51"/>
  <c r="AB27" i="51"/>
  <c r="S27" i="51"/>
  <c r="DN26" i="51"/>
  <c r="DE26" i="51"/>
  <c r="CV26" i="51"/>
  <c r="CM26" i="51"/>
  <c r="CD26" i="51"/>
  <c r="BU26" i="51"/>
  <c r="BC26" i="51"/>
  <c r="AT26" i="51"/>
  <c r="AK26" i="51"/>
  <c r="AB26" i="51"/>
  <c r="S26" i="51"/>
  <c r="DO26" i="51" s="1"/>
  <c r="DN25" i="51"/>
  <c r="DE25" i="51"/>
  <c r="CD25" i="51"/>
  <c r="BU25" i="51"/>
  <c r="BC25" i="51"/>
  <c r="AK25" i="51"/>
  <c r="AB25" i="51"/>
  <c r="S25" i="51"/>
  <c r="DN24" i="51"/>
  <c r="DE24" i="51"/>
  <c r="CV24" i="51"/>
  <c r="CM24" i="51"/>
  <c r="CD24" i="51"/>
  <c r="BU24" i="51"/>
  <c r="BC24" i="51"/>
  <c r="AT24" i="51"/>
  <c r="AK24" i="51"/>
  <c r="AB24" i="51"/>
  <c r="S24" i="51"/>
  <c r="DO24" i="51" s="1"/>
  <c r="DN23" i="51"/>
  <c r="DE23" i="51"/>
  <c r="CV23" i="51"/>
  <c r="CD23" i="51"/>
  <c r="BU23" i="51"/>
  <c r="BC23" i="51"/>
  <c r="AT23" i="51"/>
  <c r="AK23" i="51"/>
  <c r="AB23" i="51"/>
  <c r="S23" i="51"/>
  <c r="DN22" i="51"/>
  <c r="DE22" i="51"/>
  <c r="CV22" i="51"/>
  <c r="CM22" i="51"/>
  <c r="CD22" i="51"/>
  <c r="BU22" i="51"/>
  <c r="BC22" i="51"/>
  <c r="AT22" i="51"/>
  <c r="AK22" i="51"/>
  <c r="AB22" i="51"/>
  <c r="S22" i="51"/>
  <c r="DO22" i="51" s="1"/>
  <c r="DN21" i="51"/>
  <c r="DE21" i="51"/>
  <c r="CV21" i="51"/>
  <c r="CM21" i="51"/>
  <c r="CD21" i="51"/>
  <c r="BU21" i="51"/>
  <c r="BC21" i="51"/>
  <c r="AT21" i="51"/>
  <c r="AK21" i="51"/>
  <c r="AB21" i="51"/>
  <c r="S21" i="51"/>
  <c r="DN20" i="51"/>
  <c r="DE20" i="51"/>
  <c r="CV20" i="51"/>
  <c r="CM20" i="51"/>
  <c r="CD20" i="51"/>
  <c r="BU20" i="51"/>
  <c r="BC20" i="51"/>
  <c r="AT20" i="51"/>
  <c r="AK20" i="51"/>
  <c r="AB20" i="51"/>
  <c r="S20" i="51"/>
  <c r="DO20" i="51" s="1"/>
  <c r="DN19" i="51"/>
  <c r="DE19" i="51"/>
  <c r="CV19" i="51"/>
  <c r="CM19" i="51"/>
  <c r="CD19" i="51"/>
  <c r="BU19" i="51"/>
  <c r="BC19" i="51"/>
  <c r="AT19" i="51"/>
  <c r="AK19" i="51"/>
  <c r="AB19" i="51"/>
  <c r="S19" i="51"/>
  <c r="DN18" i="51"/>
  <c r="DE18" i="51"/>
  <c r="CV18" i="51"/>
  <c r="CM18" i="51"/>
  <c r="CD18" i="51"/>
  <c r="BU18" i="51"/>
  <c r="BC18" i="51"/>
  <c r="AT18" i="51"/>
  <c r="AK18" i="51"/>
  <c r="AB18" i="51"/>
  <c r="S18" i="51"/>
  <c r="DO18" i="51" s="1"/>
  <c r="DN17" i="51"/>
  <c r="DE17" i="51"/>
  <c r="CV17" i="51"/>
  <c r="CM17" i="51"/>
  <c r="CD17" i="51"/>
  <c r="BU17" i="51"/>
  <c r="BC17" i="51"/>
  <c r="AT17" i="51"/>
  <c r="AK17" i="51"/>
  <c r="AB17" i="51"/>
  <c r="S17" i="51"/>
  <c r="DN16" i="51"/>
  <c r="DE16" i="51"/>
  <c r="CV16" i="51"/>
  <c r="CM16" i="51"/>
  <c r="CD16" i="51"/>
  <c r="BU16" i="51"/>
  <c r="BC16" i="51"/>
  <c r="AT16" i="51"/>
  <c r="AK16" i="51"/>
  <c r="AB16" i="51"/>
  <c r="S16" i="51"/>
  <c r="DO16" i="51" s="1"/>
  <c r="DN15" i="51"/>
  <c r="DE15" i="51"/>
  <c r="CV15" i="51"/>
  <c r="CM15" i="51"/>
  <c r="CD15" i="51"/>
  <c r="BU15" i="51"/>
  <c r="BC15" i="51"/>
  <c r="AT15" i="51"/>
  <c r="AK15" i="51"/>
  <c r="DO33" i="51" l="1"/>
  <c r="DO27" i="51"/>
  <c r="DO25" i="51"/>
  <c r="DO23" i="51"/>
  <c r="DO21" i="51"/>
  <c r="DO19" i="51"/>
  <c r="DO17" i="51"/>
  <c r="DO15" i="51"/>
  <c r="DN32" i="50"/>
  <c r="DE32" i="50"/>
  <c r="CV32" i="50"/>
  <c r="DO32" i="50" s="1"/>
  <c r="CM32" i="50"/>
  <c r="CD32" i="50"/>
  <c r="BU32" i="50"/>
  <c r="BC32" i="50"/>
  <c r="AT32" i="50"/>
  <c r="AK32" i="50"/>
  <c r="AB32" i="50"/>
  <c r="S32" i="50"/>
  <c r="DN31" i="50"/>
  <c r="DE31" i="50"/>
  <c r="CV31" i="50"/>
  <c r="CM31" i="50"/>
  <c r="CD31" i="50"/>
  <c r="BU31" i="50"/>
  <c r="BC31" i="50"/>
  <c r="AT31" i="50"/>
  <c r="AK31" i="50"/>
  <c r="AB31" i="50"/>
  <c r="S31" i="50"/>
  <c r="DN30" i="50"/>
  <c r="DO30" i="50" s="1"/>
  <c r="DE30" i="50"/>
  <c r="CV30" i="50"/>
  <c r="CM30" i="50"/>
  <c r="CD30" i="50"/>
  <c r="BU30" i="50"/>
  <c r="BC30" i="50"/>
  <c r="AT30" i="50"/>
  <c r="AK30" i="50"/>
  <c r="AB30" i="50"/>
  <c r="S30" i="50"/>
  <c r="DN29" i="50"/>
  <c r="DO29" i="50" s="1"/>
  <c r="DE29" i="50"/>
  <c r="CV29" i="50"/>
  <c r="CM29" i="50"/>
  <c r="CD29" i="50"/>
  <c r="BU29" i="50"/>
  <c r="BC29" i="50"/>
  <c r="AT29" i="50"/>
  <c r="AK29" i="50"/>
  <c r="AB29" i="50"/>
  <c r="S29" i="50"/>
  <c r="DN28" i="50"/>
  <c r="DE28" i="50"/>
  <c r="CV28" i="50"/>
  <c r="DO28" i="50" s="1"/>
  <c r="CM28" i="50"/>
  <c r="CD28" i="50"/>
  <c r="BU28" i="50"/>
  <c r="BC28" i="50"/>
  <c r="AT28" i="50"/>
  <c r="AK28" i="50"/>
  <c r="AB28" i="50"/>
  <c r="S28" i="50"/>
  <c r="DN27" i="50"/>
  <c r="DE27" i="50"/>
  <c r="CV27" i="50"/>
  <c r="CM27" i="50"/>
  <c r="CD27" i="50"/>
  <c r="BU27" i="50"/>
  <c r="BC27" i="50"/>
  <c r="AT27" i="50"/>
  <c r="AK27" i="50"/>
  <c r="AB27" i="50"/>
  <c r="S27" i="50"/>
  <c r="DN26" i="50"/>
  <c r="DO26" i="50" s="1"/>
  <c r="DE26" i="50"/>
  <c r="CV26" i="50"/>
  <c r="CM26" i="50"/>
  <c r="CD26" i="50"/>
  <c r="BU26" i="50"/>
  <c r="BC26" i="50"/>
  <c r="AT26" i="50"/>
  <c r="AK26" i="50"/>
  <c r="AB26" i="50"/>
  <c r="S26" i="50"/>
  <c r="DN25" i="50"/>
  <c r="DE25" i="50"/>
  <c r="CV25" i="50"/>
  <c r="CM25" i="50"/>
  <c r="CD25" i="50"/>
  <c r="BU25" i="50"/>
  <c r="BC25" i="50"/>
  <c r="AT25" i="50"/>
  <c r="AK25" i="50"/>
  <c r="AB25" i="50"/>
  <c r="S25" i="50"/>
  <c r="DO24" i="50"/>
  <c r="DN24" i="50"/>
  <c r="DE24" i="50"/>
  <c r="CV24" i="50"/>
  <c r="CM24" i="50"/>
  <c r="CD24" i="50"/>
  <c r="BU24" i="50"/>
  <c r="BC24" i="50"/>
  <c r="AT24" i="50"/>
  <c r="AK24" i="50"/>
  <c r="AB24" i="50"/>
  <c r="S24" i="50"/>
  <c r="DN23" i="50"/>
  <c r="DE23" i="50"/>
  <c r="CV23" i="50"/>
  <c r="CM23" i="50"/>
  <c r="CD23" i="50"/>
  <c r="BU23" i="50"/>
  <c r="BC23" i="50"/>
  <c r="AT23" i="50"/>
  <c r="AK23" i="50"/>
  <c r="AB23" i="50"/>
  <c r="S23" i="50"/>
  <c r="DN22" i="50"/>
  <c r="DE22" i="50"/>
  <c r="CV22" i="50"/>
  <c r="DO22" i="50" s="1"/>
  <c r="CM22" i="50"/>
  <c r="CD22" i="50"/>
  <c r="BU22" i="50"/>
  <c r="BC22" i="50"/>
  <c r="AT22" i="50"/>
  <c r="AK22" i="50"/>
  <c r="AB22" i="50"/>
  <c r="S22" i="50"/>
  <c r="DN21" i="50"/>
  <c r="DE21" i="50"/>
  <c r="CV21" i="50"/>
  <c r="CM21" i="50"/>
  <c r="CD21" i="50"/>
  <c r="BU21" i="50"/>
  <c r="BC21" i="50"/>
  <c r="AT21" i="50"/>
  <c r="AK21" i="50"/>
  <c r="AB21" i="50"/>
  <c r="S21" i="50"/>
  <c r="DN20" i="50"/>
  <c r="DO20" i="50" s="1"/>
  <c r="DE20" i="50"/>
  <c r="CV20" i="50"/>
  <c r="CM20" i="50"/>
  <c r="CD20" i="50"/>
  <c r="BU20" i="50"/>
  <c r="BC20" i="50"/>
  <c r="AT20" i="50"/>
  <c r="AK20" i="50"/>
  <c r="AB20" i="50"/>
  <c r="S20" i="50"/>
  <c r="DN19" i="50"/>
  <c r="DE19" i="50"/>
  <c r="DO19" i="50" s="1"/>
  <c r="CV19" i="50"/>
  <c r="CM19" i="50"/>
  <c r="CD19" i="50"/>
  <c r="BU19" i="50"/>
  <c r="BC19" i="50"/>
  <c r="AT19" i="50"/>
  <c r="AK19" i="50"/>
  <c r="AB19" i="50"/>
  <c r="S19" i="50"/>
  <c r="DN18" i="50"/>
  <c r="DE18" i="50"/>
  <c r="CV18" i="50"/>
  <c r="DO18" i="50" s="1"/>
  <c r="CM18" i="50"/>
  <c r="CD18" i="50"/>
  <c r="BU18" i="50"/>
  <c r="BC18" i="50"/>
  <c r="AT18" i="50"/>
  <c r="AK18" i="50"/>
  <c r="AB18" i="50"/>
  <c r="S18" i="50"/>
  <c r="DN17" i="50"/>
  <c r="DE17" i="50"/>
  <c r="CV17" i="50"/>
  <c r="CM17" i="50"/>
  <c r="CD17" i="50"/>
  <c r="BU17" i="50"/>
  <c r="AT17" i="50"/>
  <c r="AK17" i="50"/>
  <c r="AB17" i="50"/>
  <c r="S17" i="50"/>
  <c r="DN16" i="50"/>
  <c r="DE16" i="50"/>
  <c r="DO16" i="50" s="1"/>
  <c r="CV16" i="50"/>
  <c r="CM16" i="50"/>
  <c r="CD16" i="50"/>
  <c r="BU16" i="50"/>
  <c r="BC16" i="50"/>
  <c r="AT16" i="50"/>
  <c r="AK16" i="50"/>
  <c r="AB16" i="50"/>
  <c r="S16" i="50"/>
  <c r="DN15" i="50"/>
  <c r="DO15" i="50" s="1"/>
  <c r="DE15" i="50"/>
  <c r="CV15" i="50"/>
  <c r="CM15" i="50"/>
  <c r="CD15" i="50"/>
  <c r="BU15" i="50"/>
  <c r="BC15" i="50"/>
  <c r="AT15" i="50"/>
  <c r="AK15" i="50"/>
  <c r="AB15" i="50"/>
  <c r="S15" i="50"/>
  <c r="DO31" i="50" l="1"/>
  <c r="DO27" i="50"/>
  <c r="DO25" i="50"/>
  <c r="DO23" i="50"/>
  <c r="DO21" i="50"/>
  <c r="DO17" i="50"/>
  <c r="DN37" i="49"/>
  <c r="DE37" i="49"/>
  <c r="CV37" i="49"/>
  <c r="CM37" i="49"/>
  <c r="CD37" i="49"/>
  <c r="BU37" i="49"/>
  <c r="BB37" i="49"/>
  <c r="BA37" i="49"/>
  <c r="AZ37" i="49"/>
  <c r="AY37" i="49"/>
  <c r="AX37" i="49"/>
  <c r="AW37" i="49"/>
  <c r="AV37" i="49"/>
  <c r="AU37" i="49"/>
  <c r="BC37" i="49" s="1"/>
  <c r="AT37" i="49"/>
  <c r="AK37" i="49"/>
  <c r="AA37" i="49"/>
  <c r="Z37" i="49"/>
  <c r="Y37" i="49"/>
  <c r="X37" i="49"/>
  <c r="W37" i="49"/>
  <c r="V37" i="49"/>
  <c r="U37" i="49"/>
  <c r="T37" i="49"/>
  <c r="AB37" i="49" s="1"/>
  <c r="S37" i="49"/>
  <c r="DN36" i="49"/>
  <c r="DO36" i="49" s="1"/>
  <c r="DE36" i="49"/>
  <c r="CV36" i="49"/>
  <c r="CM36" i="49"/>
  <c r="CD36" i="49"/>
  <c r="BU36" i="49"/>
  <c r="BC36" i="49"/>
  <c r="AT36" i="49"/>
  <c r="AK36" i="49"/>
  <c r="AB36" i="49"/>
  <c r="S36" i="49"/>
  <c r="DN35" i="49"/>
  <c r="DE35" i="49"/>
  <c r="CV35" i="49"/>
  <c r="CM35" i="49"/>
  <c r="CD35" i="49"/>
  <c r="BU35" i="49"/>
  <c r="BJ35" i="49"/>
  <c r="BI35" i="49"/>
  <c r="BH35" i="49"/>
  <c r="BB35" i="49"/>
  <c r="BA35" i="49"/>
  <c r="AZ35" i="49"/>
  <c r="AY35" i="49"/>
  <c r="AV35" i="49"/>
  <c r="AU35" i="49"/>
  <c r="BC35" i="49" s="1"/>
  <c r="AT35" i="49"/>
  <c r="AH35" i="49"/>
  <c r="AG35" i="49"/>
  <c r="AK35" i="49" s="1"/>
  <c r="X35" i="49"/>
  <c r="AB35" i="49" s="1"/>
  <c r="S35" i="49"/>
  <c r="DN34" i="49"/>
  <c r="DO34" i="49" s="1"/>
  <c r="DE34" i="49"/>
  <c r="CV34" i="49"/>
  <c r="CM34" i="49"/>
  <c r="CD34" i="49"/>
  <c r="BU34" i="49"/>
  <c r="BC34" i="49"/>
  <c r="AT34" i="49"/>
  <c r="AK34" i="49"/>
  <c r="AB34" i="49"/>
  <c r="S34" i="49"/>
  <c r="DN33" i="49"/>
  <c r="DO33" i="49" s="1"/>
  <c r="DE33" i="49"/>
  <c r="CV33" i="49"/>
  <c r="CM33" i="49"/>
  <c r="CD33" i="49"/>
  <c r="BU33" i="49"/>
  <c r="BC33" i="49"/>
  <c r="AT33" i="49"/>
  <c r="AK33" i="49"/>
  <c r="AB33" i="49"/>
  <c r="S33" i="49"/>
  <c r="DN32" i="49"/>
  <c r="DE32" i="49"/>
  <c r="CV32" i="49"/>
  <c r="CM32" i="49"/>
  <c r="CD32" i="49"/>
  <c r="BU32" i="49"/>
  <c r="BC32" i="49"/>
  <c r="AT32" i="49"/>
  <c r="AK32" i="49"/>
  <c r="AB32" i="49"/>
  <c r="S32" i="49"/>
  <c r="DN31" i="49"/>
  <c r="DO31" i="49" s="1"/>
  <c r="DE31" i="49"/>
  <c r="CV31" i="49"/>
  <c r="CM31" i="49"/>
  <c r="CD31" i="49"/>
  <c r="BU31" i="49"/>
  <c r="BB31" i="49"/>
  <c r="BA31" i="49"/>
  <c r="AY31" i="49"/>
  <c r="AX31" i="49"/>
  <c r="AW31" i="49"/>
  <c r="BC31" i="49" s="1"/>
  <c r="AV31" i="49"/>
  <c r="AU31" i="49"/>
  <c r="AT31" i="49"/>
  <c r="AJ31" i="49"/>
  <c r="AI31" i="49"/>
  <c r="AH31" i="49"/>
  <c r="AG31" i="49"/>
  <c r="AF31" i="49"/>
  <c r="AE31" i="49"/>
  <c r="AD31" i="49"/>
  <c r="AC31" i="49"/>
  <c r="AK31" i="49" s="1"/>
  <c r="AA31" i="49"/>
  <c r="Z31" i="49"/>
  <c r="Y31" i="49"/>
  <c r="X31" i="49"/>
  <c r="W31" i="49"/>
  <c r="V31" i="49"/>
  <c r="U31" i="49"/>
  <c r="T31" i="49"/>
  <c r="AB31" i="49" s="1"/>
  <c r="S31" i="49"/>
  <c r="DN30" i="49"/>
  <c r="DO30" i="49" s="1"/>
  <c r="DE30" i="49"/>
  <c r="CV30" i="49"/>
  <c r="CM30" i="49"/>
  <c r="BU30" i="49"/>
  <c r="BC30" i="49"/>
  <c r="AT30" i="49"/>
  <c r="AK30" i="49"/>
  <c r="AB30" i="49"/>
  <c r="S30" i="49"/>
  <c r="DN29" i="49"/>
  <c r="DO29" i="49" s="1"/>
  <c r="DE29" i="49"/>
  <c r="CV29" i="49"/>
  <c r="CM29" i="49"/>
  <c r="CD29" i="49"/>
  <c r="BU29" i="49"/>
  <c r="BB29" i="49"/>
  <c r="BA29" i="49"/>
  <c r="AZ29" i="49"/>
  <c r="AY29" i="49"/>
  <c r="AX29" i="49"/>
  <c r="AW29" i="49"/>
  <c r="AV29" i="49"/>
  <c r="AU29" i="49"/>
  <c r="BC29" i="49" s="1"/>
  <c r="AT29" i="49"/>
  <c r="AK29" i="49"/>
  <c r="AA29" i="49"/>
  <c r="Z29" i="49"/>
  <c r="Y29" i="49"/>
  <c r="X29" i="49"/>
  <c r="W29" i="49"/>
  <c r="V29" i="49"/>
  <c r="U29" i="49"/>
  <c r="T29" i="49"/>
  <c r="AB29" i="49" s="1"/>
  <c r="S29" i="49"/>
  <c r="DN28" i="49"/>
  <c r="DE28" i="49"/>
  <c r="CV28" i="49"/>
  <c r="CM28" i="49"/>
  <c r="CD28" i="49"/>
  <c r="BU28" i="49"/>
  <c r="BC28" i="49"/>
  <c r="AT28" i="49"/>
  <c r="AK28" i="49"/>
  <c r="AB28" i="49"/>
  <c r="S28" i="49"/>
  <c r="DN27" i="49"/>
  <c r="DE27" i="49"/>
  <c r="CV27" i="49"/>
  <c r="CM27" i="49"/>
  <c r="CD27" i="49"/>
  <c r="BU27" i="49"/>
  <c r="AX27" i="49"/>
  <c r="AW27" i="49"/>
  <c r="BC27" i="49" s="1"/>
  <c r="AT27" i="49"/>
  <c r="AK27" i="49"/>
  <c r="AB27" i="49"/>
  <c r="S27" i="49"/>
  <c r="DN26" i="49"/>
  <c r="DE26" i="49"/>
  <c r="DO26" i="49" s="1"/>
  <c r="CV26" i="49"/>
  <c r="CM26" i="49"/>
  <c r="CD26" i="49"/>
  <c r="BU26" i="49"/>
  <c r="BC26" i="49"/>
  <c r="AT26" i="49"/>
  <c r="AK26" i="49"/>
  <c r="AB26" i="49"/>
  <c r="S26" i="49"/>
  <c r="DN25" i="49"/>
  <c r="DE25" i="49"/>
  <c r="CV25" i="49"/>
  <c r="CM25" i="49"/>
  <c r="CD25" i="49"/>
  <c r="BU25" i="49"/>
  <c r="BK25" i="49"/>
  <c r="BJ25" i="49"/>
  <c r="BI25" i="49"/>
  <c r="BH25" i="49"/>
  <c r="BG25" i="49"/>
  <c r="BF25" i="49"/>
  <c r="BE25" i="49"/>
  <c r="BD25" i="49"/>
  <c r="BB25" i="49"/>
  <c r="BA25" i="49"/>
  <c r="AZ25" i="49"/>
  <c r="AY25" i="49"/>
  <c r="AX25" i="49"/>
  <c r="AW25" i="49"/>
  <c r="AV25" i="49"/>
  <c r="AU25" i="49"/>
  <c r="BC25" i="49" s="1"/>
  <c r="AT25" i="49"/>
  <c r="AJ25" i="49"/>
  <c r="AI25" i="49"/>
  <c r="AH25" i="49"/>
  <c r="AG25" i="49"/>
  <c r="AK25" i="49" s="1"/>
  <c r="Y25" i="49"/>
  <c r="X25" i="49"/>
  <c r="U25" i="49"/>
  <c r="T25" i="49"/>
  <c r="AB25" i="49" s="1"/>
  <c r="S25" i="49"/>
  <c r="DN24" i="49"/>
  <c r="DE24" i="49"/>
  <c r="CV24" i="49"/>
  <c r="CM24" i="49"/>
  <c r="CD24" i="49"/>
  <c r="BU24" i="49"/>
  <c r="BC24" i="49"/>
  <c r="AT24" i="49"/>
  <c r="AK24" i="49"/>
  <c r="AB24" i="49"/>
  <c r="S24" i="49"/>
  <c r="DN23" i="49"/>
  <c r="DO23" i="49" s="1"/>
  <c r="DE23" i="49"/>
  <c r="CV23" i="49"/>
  <c r="CM23" i="49"/>
  <c r="CD23" i="49"/>
  <c r="BU23" i="49"/>
  <c r="BC23" i="49"/>
  <c r="AT23" i="49"/>
  <c r="AK23" i="49"/>
  <c r="AB23" i="49"/>
  <c r="S23" i="49"/>
  <c r="DO22" i="49"/>
  <c r="DE22" i="49"/>
  <c r="CV22" i="49"/>
  <c r="CM22" i="49"/>
  <c r="CD22" i="49"/>
  <c r="BU22" i="49"/>
  <c r="BC22" i="49"/>
  <c r="AT22" i="49"/>
  <c r="AK22" i="49"/>
  <c r="AB22" i="49"/>
  <c r="S22" i="49"/>
  <c r="DN21" i="49"/>
  <c r="DE21" i="49"/>
  <c r="CV21" i="49"/>
  <c r="CM21" i="49"/>
  <c r="CD21" i="49"/>
  <c r="BU21" i="49"/>
  <c r="BK21" i="49"/>
  <c r="BJ21" i="49"/>
  <c r="BI21" i="49"/>
  <c r="BH21" i="49"/>
  <c r="BF21" i="49"/>
  <c r="BE21" i="49"/>
  <c r="BD21" i="49"/>
  <c r="BB21" i="49"/>
  <c r="BA21" i="49"/>
  <c r="AZ21" i="49"/>
  <c r="AY21" i="49"/>
  <c r="AX21" i="49"/>
  <c r="AW21" i="49"/>
  <c r="AV21" i="49"/>
  <c r="AU21" i="49"/>
  <c r="BC21" i="49" s="1"/>
  <c r="AT21" i="49"/>
  <c r="AJ21" i="49"/>
  <c r="AI21" i="49"/>
  <c r="AH21" i="49"/>
  <c r="AG21" i="49"/>
  <c r="AF21" i="49"/>
  <c r="AE21" i="49"/>
  <c r="AD21" i="49"/>
  <c r="AC21" i="49"/>
  <c r="AK21" i="49" s="1"/>
  <c r="AA21" i="49"/>
  <c r="Z21" i="49"/>
  <c r="Y21" i="49"/>
  <c r="X21" i="49"/>
  <c r="W21" i="49"/>
  <c r="V21" i="49"/>
  <c r="U21" i="49"/>
  <c r="T21" i="49"/>
  <c r="AB21" i="49" s="1"/>
  <c r="S21" i="49"/>
  <c r="DN20" i="49"/>
  <c r="DO20" i="49" s="1"/>
  <c r="DE20" i="49"/>
  <c r="CV20" i="49"/>
  <c r="CM20" i="49"/>
  <c r="CD20" i="49"/>
  <c r="BU20" i="49"/>
  <c r="BC20" i="49"/>
  <c r="AT20" i="49"/>
  <c r="AK20" i="49"/>
  <c r="AB20" i="49"/>
  <c r="S20" i="49"/>
  <c r="DN19" i="49"/>
  <c r="DE19" i="49"/>
  <c r="CV19" i="49"/>
  <c r="CM19" i="49"/>
  <c r="CD19" i="49"/>
  <c r="BU19" i="49"/>
  <c r="BK19" i="49"/>
  <c r="BJ19" i="49"/>
  <c r="BI19" i="49"/>
  <c r="BH19" i="49"/>
  <c r="BG19" i="49"/>
  <c r="BF19" i="49"/>
  <c r="BE19" i="49"/>
  <c r="BD19" i="49"/>
  <c r="BB19" i="49"/>
  <c r="BA19" i="49"/>
  <c r="AZ19" i="49"/>
  <c r="AY19" i="49"/>
  <c r="AX19" i="49"/>
  <c r="AW19" i="49"/>
  <c r="AV19" i="49"/>
  <c r="AU19" i="49"/>
  <c r="BC19" i="49" s="1"/>
  <c r="AT19" i="49"/>
  <c r="AJ19" i="49"/>
  <c r="AK19" i="49" s="1"/>
  <c r="AI19" i="49"/>
  <c r="AA19" i="49"/>
  <c r="Z19" i="49"/>
  <c r="Y19" i="49"/>
  <c r="X19" i="49"/>
  <c r="W19" i="49"/>
  <c r="V19" i="49"/>
  <c r="U19" i="49"/>
  <c r="T19" i="49"/>
  <c r="AB19" i="49" s="1"/>
  <c r="S19" i="49"/>
  <c r="DN18" i="49"/>
  <c r="DE18" i="49"/>
  <c r="CV18" i="49"/>
  <c r="CM18" i="49"/>
  <c r="CD18" i="49"/>
  <c r="BU18" i="49"/>
  <c r="BC18" i="49"/>
  <c r="AT18" i="49"/>
  <c r="AK18" i="49"/>
  <c r="AB18" i="49"/>
  <c r="S18" i="49"/>
  <c r="DN17" i="49"/>
  <c r="DE17" i="49"/>
  <c r="DO17" i="49" s="1"/>
  <c r="CV17" i="49"/>
  <c r="CM17" i="49"/>
  <c r="CD17" i="49"/>
  <c r="BU17" i="49"/>
  <c r="BC17" i="49"/>
  <c r="AT17" i="49"/>
  <c r="AK17" i="49"/>
  <c r="AB17" i="49"/>
  <c r="AA17" i="49"/>
  <c r="Z17" i="49"/>
  <c r="S17" i="49"/>
  <c r="DO16" i="49"/>
  <c r="DN16" i="49"/>
  <c r="DE16" i="49"/>
  <c r="CV16" i="49"/>
  <c r="CM16" i="49"/>
  <c r="CD16" i="49"/>
  <c r="BU16" i="49"/>
  <c r="BC16" i="49"/>
  <c r="AT16" i="49"/>
  <c r="AK16" i="49"/>
  <c r="AB16" i="49"/>
  <c r="S16" i="49"/>
  <c r="DN15" i="49"/>
  <c r="DE15" i="49"/>
  <c r="CV15" i="49"/>
  <c r="CM15" i="49"/>
  <c r="CD15" i="49"/>
  <c r="BU15" i="49"/>
  <c r="BK15" i="49"/>
  <c r="BJ15" i="49"/>
  <c r="BG15" i="49"/>
  <c r="BF15" i="49"/>
  <c r="BB15" i="49"/>
  <c r="BA15" i="49"/>
  <c r="AZ15" i="49"/>
  <c r="AY15" i="49"/>
  <c r="AX15" i="49"/>
  <c r="AW15" i="49"/>
  <c r="AV15" i="49"/>
  <c r="AU15" i="49"/>
  <c r="BC15" i="49" s="1"/>
  <c r="AT15" i="49"/>
  <c r="AG15" i="49"/>
  <c r="AE15" i="49"/>
  <c r="AD15" i="49"/>
  <c r="AC15" i="49"/>
  <c r="AK15" i="49" s="1"/>
  <c r="AA15" i="49"/>
  <c r="Z15" i="49"/>
  <c r="Y15" i="49"/>
  <c r="X15" i="49"/>
  <c r="W15" i="49"/>
  <c r="V15" i="49"/>
  <c r="U15" i="49"/>
  <c r="T15" i="49"/>
  <c r="AB15" i="49" s="1"/>
  <c r="S15" i="49"/>
  <c r="DN14" i="49"/>
  <c r="DO14" i="49" s="1"/>
  <c r="DE14" i="49"/>
  <c r="CV14" i="49"/>
  <c r="CM14" i="49"/>
  <c r="CD14" i="49"/>
  <c r="BC14" i="49"/>
  <c r="AT14" i="49"/>
  <c r="AB14" i="49"/>
  <c r="S14" i="49"/>
  <c r="DO32" i="49" l="1"/>
  <c r="DO28" i="49"/>
  <c r="DO24" i="49"/>
  <c r="DO18" i="49"/>
  <c r="DO19" i="49"/>
  <c r="DO25" i="49"/>
  <c r="DO35" i="49"/>
  <c r="DO21" i="49"/>
  <c r="DO37" i="49"/>
  <c r="DO15" i="49"/>
  <c r="DO27" i="49"/>
  <c r="DN58" i="48" l="1"/>
  <c r="DE58" i="48"/>
  <c r="CV58" i="48"/>
  <c r="DO58" i="48" s="1"/>
  <c r="CM58" i="48"/>
  <c r="CD58" i="48"/>
  <c r="BU58" i="48"/>
  <c r="DN57" i="48"/>
  <c r="DE57" i="48"/>
  <c r="DO57" i="48" s="1"/>
  <c r="CV57" i="48"/>
  <c r="CM57" i="48"/>
  <c r="CD57" i="48"/>
  <c r="BU57" i="48"/>
  <c r="DN56" i="48"/>
  <c r="DO56" i="48" s="1"/>
  <c r="DE56" i="48"/>
  <c r="CV56" i="48"/>
  <c r="CM56" i="48"/>
  <c r="CD56" i="48"/>
  <c r="BU56" i="48"/>
  <c r="DO55" i="48"/>
  <c r="DN55" i="48"/>
  <c r="DE55" i="48"/>
  <c r="CV55" i="48"/>
  <c r="CM55" i="48"/>
  <c r="CD55" i="48"/>
  <c r="BU55" i="48"/>
  <c r="DN54" i="48"/>
  <c r="DE54" i="48"/>
  <c r="CV54" i="48"/>
  <c r="DO54" i="48" s="1"/>
  <c r="CM54" i="48"/>
  <c r="CD54" i="48"/>
  <c r="BU54" i="48"/>
  <c r="DN53" i="48"/>
  <c r="DE53" i="48"/>
  <c r="DO53" i="48" s="1"/>
  <c r="CV53" i="48"/>
  <c r="CM53" i="48"/>
  <c r="CD53" i="48"/>
  <c r="BU53" i="48"/>
  <c r="DN52" i="48"/>
  <c r="DO52" i="48" s="1"/>
  <c r="DE52" i="48"/>
  <c r="CV52" i="48"/>
  <c r="CM52" i="48"/>
  <c r="CD52" i="48"/>
  <c r="BU52" i="48"/>
  <c r="DO51" i="48"/>
  <c r="DN51" i="48"/>
  <c r="DE51" i="48"/>
  <c r="CV51" i="48"/>
  <c r="CM51" i="48"/>
  <c r="CD51" i="48"/>
  <c r="BU51" i="48"/>
  <c r="DN50" i="48"/>
  <c r="DE50" i="48"/>
  <c r="CV50" i="48"/>
  <c r="DO50" i="48" s="1"/>
  <c r="CM50" i="48"/>
  <c r="CD50" i="48"/>
  <c r="BU50" i="48"/>
  <c r="DN49" i="48"/>
  <c r="DE49" i="48"/>
  <c r="DO49" i="48" s="1"/>
  <c r="CV49" i="48"/>
  <c r="CM49" i="48"/>
  <c r="CD49" i="48"/>
  <c r="BU49" i="48"/>
  <c r="DN48" i="48"/>
  <c r="DO48" i="48" s="1"/>
  <c r="DE48" i="48"/>
  <c r="CV48" i="48"/>
  <c r="CM48" i="48"/>
  <c r="CD48" i="48"/>
  <c r="BU48" i="48"/>
  <c r="DO47" i="48"/>
  <c r="DN47" i="48"/>
  <c r="DE47" i="48"/>
  <c r="CV47" i="48"/>
  <c r="CM47" i="48"/>
  <c r="CD47" i="48"/>
  <c r="BU47" i="48"/>
  <c r="DN46" i="48"/>
  <c r="DE46" i="48"/>
  <c r="CV46" i="48"/>
  <c r="DO46" i="48" s="1"/>
  <c r="CM46" i="48"/>
  <c r="CD46" i="48"/>
  <c r="BU46" i="48"/>
  <c r="DN45" i="48"/>
  <c r="DE45" i="48"/>
  <c r="DO45" i="48" s="1"/>
  <c r="CV45" i="48"/>
  <c r="CM45" i="48"/>
  <c r="CD45" i="48"/>
  <c r="BU45" i="48"/>
  <c r="DN44" i="48"/>
  <c r="DO44" i="48" s="1"/>
  <c r="DE44" i="48"/>
  <c r="CV44" i="48"/>
  <c r="CM44" i="48"/>
  <c r="CD44" i="48"/>
  <c r="BU44" i="48"/>
  <c r="DO43" i="48"/>
  <c r="DN43" i="48"/>
  <c r="DE43" i="48"/>
  <c r="CV43" i="48"/>
  <c r="CM43" i="48"/>
  <c r="CD43" i="48"/>
  <c r="BU43" i="48"/>
  <c r="DN42" i="48"/>
  <c r="DE42" i="48"/>
  <c r="CV42" i="48"/>
  <c r="DO42" i="48" s="1"/>
  <c r="CM42" i="48"/>
  <c r="CD42" i="48"/>
  <c r="BU42" i="48"/>
  <c r="DN41" i="48"/>
  <c r="DE41" i="48"/>
  <c r="DO41" i="48" s="1"/>
  <c r="CV41" i="48"/>
  <c r="CM41" i="48"/>
  <c r="CD41" i="48"/>
  <c r="BU41" i="48"/>
  <c r="DN40" i="48"/>
  <c r="DO40" i="48" s="1"/>
  <c r="DE40" i="48"/>
  <c r="CV40" i="48"/>
  <c r="CM40" i="48"/>
  <c r="CD40" i="48"/>
  <c r="BU40" i="48"/>
  <c r="DO39" i="48"/>
  <c r="DN39" i="48"/>
  <c r="DE39" i="48"/>
  <c r="CV39" i="48"/>
  <c r="CM39" i="48"/>
  <c r="CD39" i="48"/>
  <c r="BU39" i="48"/>
  <c r="DN38" i="48"/>
  <c r="DE38" i="48"/>
  <c r="CV38" i="48"/>
  <c r="DO38" i="48" s="1"/>
  <c r="CM38" i="48"/>
  <c r="CD38" i="48"/>
  <c r="BU38" i="48"/>
  <c r="DN37" i="48"/>
  <c r="DE37" i="48"/>
  <c r="DO37" i="48" s="1"/>
  <c r="CV37" i="48"/>
  <c r="CM37" i="48"/>
  <c r="CD37" i="48"/>
  <c r="BU37" i="48"/>
  <c r="DN36" i="48"/>
  <c r="DO36" i="48" s="1"/>
  <c r="DE36" i="48"/>
  <c r="CV36" i="48"/>
  <c r="CM36" i="48"/>
  <c r="CD36" i="48"/>
  <c r="BU36" i="48"/>
  <c r="DO35" i="48"/>
  <c r="DN35" i="48"/>
  <c r="DE35" i="48"/>
  <c r="CV35" i="48"/>
  <c r="CM35" i="48"/>
  <c r="CD35" i="48"/>
  <c r="BU35" i="48"/>
  <c r="DO34" i="48"/>
  <c r="DN34" i="48"/>
  <c r="DE34" i="48"/>
  <c r="CV34" i="48"/>
  <c r="CM34" i="48"/>
  <c r="CD34" i="48"/>
  <c r="BU34" i="48"/>
  <c r="DN33" i="48"/>
  <c r="DE33" i="48"/>
  <c r="CV33" i="48"/>
  <c r="DO33" i="48" s="1"/>
  <c r="CM33" i="48"/>
  <c r="CD33" i="48"/>
  <c r="BU33" i="48"/>
  <c r="DN32" i="48"/>
  <c r="DE32" i="48"/>
  <c r="DO32" i="48" s="1"/>
  <c r="CV32" i="48"/>
  <c r="CM32" i="48"/>
  <c r="CD32" i="48"/>
  <c r="BU32" i="48"/>
  <c r="DN31" i="48"/>
  <c r="DO31" i="48" s="1"/>
  <c r="DE31" i="48"/>
  <c r="CV31" i="48"/>
  <c r="CD31" i="48"/>
  <c r="BU31" i="48"/>
  <c r="DN30" i="48"/>
  <c r="DO30" i="48" s="1"/>
  <c r="DE30" i="48"/>
  <c r="CV30" i="48"/>
  <c r="CM30" i="48"/>
  <c r="CD30" i="48"/>
  <c r="BU30" i="48"/>
  <c r="DO29" i="48"/>
  <c r="DN29" i="48"/>
  <c r="DE29" i="48"/>
  <c r="CV29" i="48"/>
  <c r="CM29" i="48"/>
  <c r="CD29" i="48"/>
  <c r="BU29" i="48"/>
  <c r="DN28" i="48"/>
  <c r="DE28" i="48"/>
  <c r="CV28" i="48"/>
  <c r="DO28" i="48" s="1"/>
  <c r="CM28" i="48"/>
  <c r="CD28" i="48"/>
  <c r="BU28" i="48"/>
  <c r="DN27" i="48"/>
  <c r="DO27" i="48" s="1"/>
  <c r="DE27" i="48"/>
  <c r="CV27" i="48"/>
  <c r="CM27" i="48"/>
  <c r="CD27" i="48"/>
  <c r="BU27" i="48"/>
  <c r="DN26" i="48"/>
  <c r="DE26" i="48"/>
  <c r="CV26" i="48"/>
  <c r="CM26" i="48"/>
  <c r="CD26" i="48"/>
  <c r="BU26" i="48"/>
  <c r="AI26" i="48"/>
  <c r="AH26" i="48"/>
  <c r="AG26" i="48"/>
  <c r="AF26" i="48"/>
  <c r="AE26" i="48"/>
  <c r="AD26" i="48"/>
  <c r="AC26" i="48"/>
  <c r="AJ26" i="48"/>
  <c r="DO25" i="48"/>
  <c r="DN25" i="48"/>
  <c r="DE25" i="48"/>
  <c r="CV25" i="48"/>
  <c r="CM25" i="48"/>
  <c r="CD25" i="48"/>
  <c r="BU25" i="48"/>
  <c r="DN24" i="48"/>
  <c r="DE24" i="48"/>
  <c r="CV24" i="48"/>
  <c r="DO24" i="48" s="1"/>
  <c r="CM24" i="48"/>
  <c r="CD24" i="48"/>
  <c r="BU24" i="48"/>
  <c r="DN23" i="48"/>
  <c r="DE23" i="48"/>
  <c r="DO23" i="48" s="1"/>
  <c r="CV23" i="48"/>
  <c r="CM23" i="48"/>
  <c r="CD23" i="48"/>
  <c r="BU23" i="48"/>
  <c r="DN22" i="48"/>
  <c r="DO22" i="48" s="1"/>
  <c r="DE22" i="48"/>
  <c r="CV22" i="48"/>
  <c r="CM22" i="48"/>
  <c r="CD22" i="48"/>
  <c r="BU22" i="48"/>
  <c r="DO21" i="48"/>
  <c r="DN21" i="48"/>
  <c r="DE21" i="48"/>
  <c r="CV21" i="48"/>
  <c r="CM21" i="48"/>
  <c r="CD21" i="48"/>
  <c r="BU21" i="48"/>
  <c r="DN20" i="48"/>
  <c r="DE20" i="48"/>
  <c r="CV20" i="48"/>
  <c r="CM20" i="48"/>
  <c r="CD20" i="48"/>
  <c r="BU20" i="48"/>
  <c r="BK20" i="48"/>
  <c r="BJ20" i="48"/>
  <c r="BI20" i="48"/>
  <c r="BH20" i="48"/>
  <c r="BG20" i="48"/>
  <c r="BF20" i="48"/>
  <c r="BE20" i="48"/>
  <c r="BD20" i="48"/>
  <c r="BB20" i="48"/>
  <c r="BA20" i="48"/>
  <c r="AZ20" i="48"/>
  <c r="AY20" i="48"/>
  <c r="AX20" i="48"/>
  <c r="AW20" i="48"/>
  <c r="AV20" i="48"/>
  <c r="AU20" i="48"/>
  <c r="AS20" i="48"/>
  <c r="AR20" i="48"/>
  <c r="AQ20" i="48"/>
  <c r="AP20" i="48"/>
  <c r="AO20" i="48"/>
  <c r="AN20" i="48"/>
  <c r="AM20" i="48"/>
  <c r="AL20" i="48"/>
  <c r="AJ20" i="48"/>
  <c r="AI20" i="48"/>
  <c r="AH20" i="48"/>
  <c r="AG20" i="48"/>
  <c r="AF20" i="48"/>
  <c r="AE20" i="48"/>
  <c r="AD20" i="48"/>
  <c r="AC20" i="48"/>
  <c r="AA20" i="48"/>
  <c r="Z20" i="48"/>
  <c r="Y20" i="48"/>
  <c r="X20" i="48"/>
  <c r="W20" i="48"/>
  <c r="V20" i="48"/>
  <c r="U20" i="48"/>
  <c r="T20" i="48"/>
  <c r="DN19" i="48"/>
  <c r="DE19" i="48"/>
  <c r="DO19" i="48" s="1"/>
  <c r="CV19" i="48"/>
  <c r="CD19" i="48"/>
  <c r="BU19" i="48"/>
  <c r="DN18" i="48"/>
  <c r="DE18" i="48"/>
  <c r="DO18" i="48" s="1"/>
  <c r="CV18" i="48"/>
  <c r="CM18" i="48"/>
  <c r="CD18" i="48"/>
  <c r="BU18" i="48"/>
  <c r="DN17" i="48"/>
  <c r="DO17" i="48" s="1"/>
  <c r="DE17" i="48"/>
  <c r="CV17" i="48"/>
  <c r="CM17" i="48"/>
  <c r="CD17" i="48"/>
  <c r="BU17" i="48"/>
  <c r="DN16" i="48"/>
  <c r="DO16" i="48" s="1"/>
  <c r="DE16" i="48"/>
  <c r="CV16" i="48"/>
  <c r="CM16" i="48"/>
  <c r="CD16" i="48"/>
  <c r="BU16" i="48"/>
  <c r="DO15" i="48"/>
  <c r="DN15" i="48"/>
  <c r="DE15" i="48"/>
  <c r="CV15" i="48"/>
  <c r="CM15" i="48"/>
  <c r="CD15" i="48"/>
  <c r="BU15" i="48"/>
  <c r="BL15" i="48"/>
  <c r="BC15" i="48"/>
  <c r="AT15" i="48"/>
  <c r="AK15" i="48"/>
  <c r="AB15" i="48"/>
  <c r="S15" i="48"/>
  <c r="DO26" i="48" l="1"/>
  <c r="DO20" i="48"/>
  <c r="DN30" i="47" l="1"/>
  <c r="DE30" i="47"/>
  <c r="CV30" i="47"/>
  <c r="CM30" i="47"/>
  <c r="CD30" i="47"/>
  <c r="BU30" i="47"/>
  <c r="BC30" i="47"/>
  <c r="AT30" i="47"/>
  <c r="AK30" i="47"/>
  <c r="AB30" i="47"/>
  <c r="S30" i="47"/>
  <c r="DO30" i="47" s="1"/>
  <c r="DN29" i="47"/>
  <c r="DE29" i="47"/>
  <c r="CV29" i="47"/>
  <c r="CM29" i="47"/>
  <c r="CD29" i="47"/>
  <c r="BU29" i="47"/>
  <c r="BC29" i="47"/>
  <c r="AT29" i="47"/>
  <c r="AK29" i="47"/>
  <c r="AB29" i="47"/>
  <c r="S29" i="47"/>
  <c r="DO29" i="47" s="1"/>
  <c r="DN28" i="47"/>
  <c r="DE28" i="47"/>
  <c r="CV28" i="47"/>
  <c r="CM28" i="47"/>
  <c r="CD28" i="47"/>
  <c r="BU28" i="47"/>
  <c r="BC28" i="47"/>
  <c r="AT28" i="47"/>
  <c r="AK28" i="47"/>
  <c r="AB28" i="47"/>
  <c r="S28" i="47"/>
  <c r="DO28" i="47" s="1"/>
  <c r="DN27" i="47"/>
  <c r="DE27" i="47"/>
  <c r="CV27" i="47"/>
  <c r="CM27" i="47"/>
  <c r="CD27" i="47"/>
  <c r="BU27" i="47"/>
  <c r="BC27" i="47"/>
  <c r="AT27" i="47"/>
  <c r="AK27" i="47"/>
  <c r="AB27" i="47"/>
  <c r="S27" i="47"/>
  <c r="DO27" i="47" s="1"/>
  <c r="DN26" i="47"/>
  <c r="DE26" i="47"/>
  <c r="CV26" i="47"/>
  <c r="CM26" i="47"/>
  <c r="CD26" i="47"/>
  <c r="BU26" i="47"/>
  <c r="BC26" i="47"/>
  <c r="AT26" i="47"/>
  <c r="AK26" i="47"/>
  <c r="AB26" i="47"/>
  <c r="S26" i="47"/>
  <c r="DO26" i="47" s="1"/>
  <c r="DN25" i="47"/>
  <c r="DE25" i="47"/>
  <c r="CV25" i="47"/>
  <c r="CM25" i="47"/>
  <c r="CD25" i="47"/>
  <c r="BU25" i="47"/>
  <c r="BC25" i="47"/>
  <c r="AT25" i="47"/>
  <c r="AK25" i="47"/>
  <c r="AB25" i="47"/>
  <c r="S25" i="47"/>
  <c r="DN24" i="47"/>
  <c r="DE24" i="47"/>
  <c r="CV24" i="47"/>
  <c r="CM24" i="47"/>
  <c r="CD24" i="47"/>
  <c r="BU24" i="47"/>
  <c r="BC24" i="47"/>
  <c r="AT24" i="47"/>
  <c r="AK24" i="47"/>
  <c r="AB24" i="47"/>
  <c r="S24" i="47"/>
  <c r="DO24" i="47" s="1"/>
  <c r="DN23" i="47"/>
  <c r="DE23" i="47"/>
  <c r="CV23" i="47"/>
  <c r="CM23" i="47"/>
  <c r="CD23" i="47"/>
  <c r="BU23" i="47"/>
  <c r="BL23" i="47"/>
  <c r="BC23" i="47"/>
  <c r="AT23" i="47"/>
  <c r="AK23" i="47"/>
  <c r="AB23" i="47"/>
  <c r="S23" i="47"/>
  <c r="DO23" i="47" s="1"/>
  <c r="DN22" i="47"/>
  <c r="DE22" i="47"/>
  <c r="CV22" i="47"/>
  <c r="CM22" i="47"/>
  <c r="CD22" i="47"/>
  <c r="BU22" i="47"/>
  <c r="BC22" i="47"/>
  <c r="AT22" i="47"/>
  <c r="AK22" i="47"/>
  <c r="AB22" i="47"/>
  <c r="S22" i="47"/>
  <c r="DO22" i="47" s="1"/>
  <c r="DN21" i="47"/>
  <c r="DE21" i="47"/>
  <c r="CV21" i="47"/>
  <c r="CM21" i="47"/>
  <c r="CD21" i="47"/>
  <c r="BU21" i="47"/>
  <c r="BL21" i="47"/>
  <c r="BC21" i="47"/>
  <c r="AT21" i="47"/>
  <c r="AK21" i="47"/>
  <c r="AB21" i="47"/>
  <c r="S21" i="47"/>
  <c r="DO21" i="47" s="1"/>
  <c r="DN20" i="47"/>
  <c r="DE20" i="47"/>
  <c r="CV20" i="47"/>
  <c r="CM20" i="47"/>
  <c r="CD20" i="47"/>
  <c r="BU20" i="47"/>
  <c r="BC20" i="47"/>
  <c r="AT20" i="47"/>
  <c r="AK20" i="47"/>
  <c r="AB20" i="47"/>
  <c r="S20" i="47"/>
  <c r="DO20" i="47" s="1"/>
  <c r="DN19" i="47"/>
  <c r="DE19" i="47"/>
  <c r="CV19" i="47"/>
  <c r="CM19" i="47"/>
  <c r="CD19" i="47"/>
  <c r="BU19" i="47"/>
  <c r="BC19" i="47"/>
  <c r="AT19" i="47"/>
  <c r="AK19" i="47"/>
  <c r="AB19" i="47"/>
  <c r="S19" i="47"/>
  <c r="DO19" i="47" s="1"/>
  <c r="DN18" i="47"/>
  <c r="DE18" i="47"/>
  <c r="CV18" i="47"/>
  <c r="CM18" i="47"/>
  <c r="CD18" i="47"/>
  <c r="BU18" i="47"/>
  <c r="BC18" i="47"/>
  <c r="AT18" i="47"/>
  <c r="AK18" i="47"/>
  <c r="AB18" i="47"/>
  <c r="S18" i="47"/>
  <c r="DO18" i="47" s="1"/>
  <c r="DN17" i="47"/>
  <c r="DE17" i="47"/>
  <c r="CV17" i="47"/>
  <c r="CM17" i="47"/>
  <c r="CD17" i="47"/>
  <c r="BU17" i="47"/>
  <c r="BC17" i="47"/>
  <c r="AT17" i="47"/>
  <c r="AK17" i="47"/>
  <c r="AB17" i="47"/>
  <c r="S17" i="47"/>
  <c r="DO17" i="47" s="1"/>
  <c r="DN16" i="47"/>
  <c r="DE16" i="47"/>
  <c r="CV16" i="47"/>
  <c r="CM16" i="47"/>
  <c r="CD16" i="47"/>
  <c r="BU16" i="47"/>
  <c r="BC16" i="47"/>
  <c r="AT16" i="47"/>
  <c r="AK16" i="47"/>
  <c r="AB16" i="47"/>
  <c r="S16" i="47"/>
  <c r="DO16" i="47" s="1"/>
  <c r="DN15" i="47"/>
  <c r="DE15" i="47"/>
  <c r="CV15" i="47"/>
  <c r="CM15" i="47"/>
  <c r="CD15" i="47"/>
  <c r="BU15" i="47"/>
  <c r="BL15" i="47"/>
  <c r="BC15" i="47"/>
  <c r="AT15" i="47"/>
  <c r="AK15" i="47"/>
  <c r="AB15" i="47"/>
  <c r="S15" i="47"/>
  <c r="DO15" i="47" s="1"/>
  <c r="DO25" i="47" l="1"/>
</calcChain>
</file>

<file path=xl/comments1.xml><?xml version="1.0" encoding="utf-8"?>
<comments xmlns="http://schemas.openxmlformats.org/spreadsheetml/2006/main">
  <authors>
    <author>NIÑEZ</author>
    <author>Usuario</author>
  </authors>
  <commentList>
    <comment ref="AU28" authorId="0" shapeId="0">
      <text>
        <r>
          <rPr>
            <b/>
            <sz val="36"/>
            <color indexed="81"/>
            <rFont val="Tahoma"/>
            <family val="2"/>
          </rPr>
          <t>NIÑEZ:</t>
        </r>
        <r>
          <rPr>
            <sz val="36"/>
            <color indexed="81"/>
            <rFont val="Tahoma"/>
            <family val="2"/>
          </rPr>
          <t xml:space="preserve">
5 despensas karina,
 1 luci, 
19 del voluntariado
3 despensas Arce</t>
        </r>
      </text>
    </comment>
    <comment ref="AU32" authorId="0" shapeId="0">
      <text>
        <r>
          <rPr>
            <sz val="36"/>
            <color indexed="81"/>
            <rFont val="Tahoma"/>
            <family val="2"/>
          </rPr>
          <t>114 refrigerios(85 karina, 29 prev, 
50 bolos
119 paquetes de pañales
138 latas de leche
348 juguetes</t>
        </r>
      </text>
    </comment>
    <comment ref="AC5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aquí se supone que se tendrían las dos téticas de </t>
        </r>
      </text>
    </comment>
  </commentList>
</comments>
</file>

<file path=xl/sharedStrings.xml><?xml version="1.0" encoding="utf-8"?>
<sst xmlns="http://schemas.openxmlformats.org/spreadsheetml/2006/main" count="1718" uniqueCount="257">
  <si>
    <t>Padrón de beneficiarios</t>
  </si>
  <si>
    <t>Acompañamientos</t>
  </si>
  <si>
    <t>Personas</t>
  </si>
  <si>
    <t>Servicios</t>
  </si>
  <si>
    <t>Padrones de beneficiarios</t>
  </si>
  <si>
    <t>Total de padrones de beneficiarios elaborados</t>
  </si>
  <si>
    <t>Total de cronogramas de entrega de apoyos realizados</t>
  </si>
  <si>
    <t>Total de planes de contenidos y actividades elaborados</t>
  </si>
  <si>
    <t>Total de informes de casos cerrados</t>
  </si>
  <si>
    <t>Lista de expedientes</t>
  </si>
  <si>
    <t>Total de planes de trabajo diseñados e implementados</t>
  </si>
  <si>
    <t>Total de informes de seguimientos elaborados</t>
  </si>
  <si>
    <t>Padrón de beneficiarios
Reporte</t>
  </si>
  <si>
    <t>Padrón de beneficiarios
Lista de expedientes</t>
  </si>
  <si>
    <t>Cronograma de entregas</t>
  </si>
  <si>
    <t>Total de listas de expedientes integrados</t>
  </si>
  <si>
    <t>Acompañar a las Ausencias</t>
  </si>
  <si>
    <t>Servicios Jurídicos Asistenciales</t>
  </si>
  <si>
    <t>Unidades de Atención a la Violencia Familiares</t>
  </si>
  <si>
    <t>Casa de Medio Camino</t>
  </si>
  <si>
    <t>Custodia, Tutela y Adopciones</t>
  </si>
  <si>
    <t>Casa Hogar Villas Miravalle</t>
  </si>
  <si>
    <t>Prevención de riesgos y violencia, atención, supervivencia y desarrollo de NNA</t>
  </si>
  <si>
    <t>COLOR METAS</t>
  </si>
  <si>
    <t>APOYOS</t>
  </si>
  <si>
    <t>SERVICIOS</t>
  </si>
  <si>
    <t>ACOMPAÑAMIENTOS</t>
  </si>
  <si>
    <t>PROYECTOS/RESTITUCION</t>
  </si>
  <si>
    <t xml:space="preserve">                                                                                                        Reporte de avances de metas 2021</t>
  </si>
  <si>
    <t>Coordinación de Programas</t>
  </si>
  <si>
    <t>COORDINACIÓN, DIRECCIÓN Y DEPARTAMENTO RESPONSABLE</t>
  </si>
  <si>
    <t>NOMBRE DEL PROGRAMA</t>
  </si>
  <si>
    <t>Atención a las Violencias</t>
  </si>
  <si>
    <t>NOMBRE DE LA MIR</t>
  </si>
  <si>
    <t xml:space="preserve">Reporte de avances de metas </t>
  </si>
  <si>
    <t>Componentes/Actividades</t>
  </si>
  <si>
    <t>Indicadores</t>
  </si>
  <si>
    <t>Unidad de medida</t>
  </si>
  <si>
    <t>Medio de verificación</t>
  </si>
  <si>
    <t>Línea de base 2020</t>
  </si>
  <si>
    <t>Metas 2021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</si>
  <si>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</si>
  <si>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</si>
  <si>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</si>
  <si>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</si>
  <si>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</si>
  <si>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</si>
  <si>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</si>
  <si>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</si>
  <si>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</si>
  <si>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</si>
  <si>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</si>
  <si>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</si>
  <si>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</si>
  <si>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</si>
  <si>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</si>
  <si>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ANUAL</t>
  </si>
  <si>
    <t>Observaciones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</si>
  <si>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</si>
  <si>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</si>
  <si>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</si>
  <si>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</si>
  <si>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</si>
  <si>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</si>
  <si>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</si>
  <si>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</si>
  <si>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</si>
  <si>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</si>
  <si>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</si>
  <si>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</si>
  <si>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</t>
  </si>
  <si>
    <t>Personas beneficiadas con apoyos</t>
  </si>
  <si>
    <t>Programada</t>
  </si>
  <si>
    <t>Realizada</t>
  </si>
  <si>
    <t>C3:Acompañamientos a Niñas, niños, adolescentes y sus familias para contribuir a la restitución de sus derechos</t>
  </si>
  <si>
    <t>Acompañamientos realizados  a Niñas, niños, adolescentes y sus familias</t>
  </si>
  <si>
    <t>Personas beneficiadas con las sesiones y talleres</t>
  </si>
  <si>
    <t xml:space="preserve">Apoyos otorgados  a las Niñas, niños, adolescentes y sus familias </t>
  </si>
  <si>
    <t>Apoyo</t>
  </si>
  <si>
    <t>Becas alimenticias gestionadas</t>
  </si>
  <si>
    <t>Acompañamiento</t>
  </si>
  <si>
    <t>Sesiones psicológicas para familiares (individual)</t>
  </si>
  <si>
    <t>Talleres psicocorporales (grupal)</t>
  </si>
  <si>
    <t>Actividad 1.1 Elaboración del padrón de beneficiarios</t>
  </si>
  <si>
    <t xml:space="preserve"> Padrón de beneficiarios</t>
  </si>
  <si>
    <t>Padrón de beneficiario</t>
  </si>
  <si>
    <t>Actividad 1.2 Cronograma de entrega de apoyos</t>
  </si>
  <si>
    <t xml:space="preserve">Cronogramas de entrega de apoyos </t>
  </si>
  <si>
    <t>Actividad 3.1 Integración de lista de expedientes</t>
  </si>
  <si>
    <t>Expedientes</t>
  </si>
  <si>
    <t>Listas de expedientes integrados</t>
  </si>
  <si>
    <t>Lista de expedientes integrados</t>
  </si>
  <si>
    <t>Nombre y firma del responsable del programa</t>
  </si>
  <si>
    <t>Nombre y firma del enlace de planeación</t>
  </si>
  <si>
    <t xml:space="preserve">                                                                                                      Reporte de avances de metas 2021</t>
  </si>
  <si>
    <t>Programas/Protección a la niñez y la adolescencia/Prevención, Atención, Supervivencia y Desarrollo</t>
  </si>
  <si>
    <t>Reporte de avances de metas</t>
  </si>
  <si>
    <t>Descripción de metas</t>
  </si>
  <si>
    <t>Metas</t>
  </si>
  <si>
    <t>Padrón de beneficiarios
Lista de expedientes
Lista de asistencia</t>
  </si>
  <si>
    <t>Población beneficiada con apoyos</t>
  </si>
  <si>
    <t>Población  beneficiada con raciones alimenticias</t>
  </si>
  <si>
    <t>Personas cautivas</t>
  </si>
  <si>
    <t>C2:Servicios otorgados a Niñas, niños, adolescentes y sus familias para contribuir a la restitución de sus derechos</t>
  </si>
  <si>
    <t>Niñas, niños, adolescentes y sus familias que recibieron servicios</t>
  </si>
  <si>
    <t>Padrón de beneficiarios
Reporte
Lista de asistencia</t>
  </si>
  <si>
    <t>Población beneficiada con servicios</t>
  </si>
  <si>
    <t>Niñas, niños, adolescentes y sus familias con acompañamientos</t>
  </si>
  <si>
    <t>Personas beneficiadas con seguimiento (MIR)</t>
  </si>
  <si>
    <t xml:space="preserve"> </t>
  </si>
  <si>
    <t>Personas con intervenciones psicológicas</t>
  </si>
  <si>
    <t>Actividad realizadas por Psicologos del equipo multidisciplinario de la DAPNA</t>
  </si>
  <si>
    <t>C4:Planes de restitución de derechos, medidas de protección, proyectos en comunidad y reintegraciones implementados  a niñas, niños y adolescentes para contribuir a garantizar sus derechos</t>
  </si>
  <si>
    <t>Planes de restitución de derechos, medidas de protección, proyectos en comunidad y reintegraciones implementados  a niñas, niños y adolescentes para contribuir a garantizar sus derechos</t>
  </si>
  <si>
    <t>Planes y proyectos</t>
  </si>
  <si>
    <t>Planes de restitución de derechos,  proyectos en comunidad implementados
Lista de asistencia</t>
  </si>
  <si>
    <t>Planes de restitución de derechos,  proyectos en comunidad implementados</t>
  </si>
  <si>
    <t xml:space="preserve">Despensas emergentes </t>
  </si>
  <si>
    <t>Se entregaron 31  despensas a madres de NNA y 24 despensas aSras del Grupo de Lomas del Paraíso,</t>
  </si>
  <si>
    <t xml:space="preserve"> Becas escolares</t>
  </si>
  <si>
    <t>Raciones alimenticias 
(apoyos varios)</t>
  </si>
  <si>
    <t>Se 8 pelotas a la población, 656 refrigerios para NNA</t>
  </si>
  <si>
    <t xml:space="preserve"> Servicios otorgados a Niñas, niños, adolescentes y sus familias</t>
  </si>
  <si>
    <t>Seguimientos y/o talleres y pláticas de prevención</t>
  </si>
  <si>
    <t>Canalizaciones y derivaciones</t>
  </si>
  <si>
    <t>Acciones realizadas por el Psicologxs de la DAPNA</t>
  </si>
  <si>
    <t>Actividades deportivas, recreativas y culturales</t>
  </si>
  <si>
    <t>Actividades deportivas y por el Dia de la Familia</t>
  </si>
  <si>
    <t>Abordajes de NNA y sus familias en plazas y en lugares abiertos</t>
  </si>
  <si>
    <t>Reporte ciudadano</t>
  </si>
  <si>
    <t>Seguimiento de proceso de restitución de derechos</t>
  </si>
  <si>
    <t>Intervenciones psicológicas</t>
  </si>
  <si>
    <t>Actividad 1.2 Elaboración de cronograma de entrega de apoyos</t>
  </si>
  <si>
    <t>Cronograma de entrega de apoyos</t>
  </si>
  <si>
    <t>no aplica</t>
  </si>
  <si>
    <t>Actividad 2.1 Desarrollo de planes de contenidos y actividades</t>
  </si>
  <si>
    <t xml:space="preserve">Plan de contenidos y actividades </t>
  </si>
  <si>
    <t>Plan de contenidos y actividades 
Lista de asistencia</t>
  </si>
  <si>
    <t>Actividad 2.2 Elaboración del padrón de beneficiarios</t>
  </si>
  <si>
    <t xml:space="preserve">Lista de expedientes </t>
  </si>
  <si>
    <t>Lista de Expedientes
Lista de asistencia</t>
  </si>
  <si>
    <t>Actividad 4.1 Diseño e implementación de planes de trabajo</t>
  </si>
  <si>
    <t>Plan de trabajo</t>
  </si>
  <si>
    <t>Plan de trabajo
Lista de asistencia</t>
  </si>
  <si>
    <t>Se entregan los avances trimestrales</t>
  </si>
  <si>
    <t>Actividad 4.2 Elaboración de informes de seguimiento</t>
  </si>
  <si>
    <t>Informe</t>
  </si>
  <si>
    <t>Informe de seguimientos
Lista de asistencia</t>
  </si>
  <si>
    <t>Informe de seguimientos</t>
  </si>
  <si>
    <t>Mtra. Oliva de los Ángeles Ornelas Torres</t>
  </si>
  <si>
    <t>Lic. Dulzura Domínguez Ocaña</t>
  </si>
  <si>
    <t xml:space="preserve">                                                                                     Reporte de avances de metas 2021</t>
  </si>
  <si>
    <t>Programas/Delegación Institucional de la PPNNA/Unidades de Atención a la Violencia Familiares</t>
  </si>
  <si>
    <t>ACUMULADO GLOBAL</t>
  </si>
  <si>
    <t>Población de beneficiada con acompañamientos</t>
  </si>
  <si>
    <t>Estrategias de maltrato y violencia a personas adultas mayores</t>
  </si>
  <si>
    <t>Padrón de beneficiarios
Hojas de seguimientos</t>
  </si>
  <si>
    <t>Intervenciones de trabajo social</t>
  </si>
  <si>
    <t xml:space="preserve"> Intervenciones jurídicas y legales </t>
  </si>
  <si>
    <t>Gestiones de orientaciones y mediación familiar</t>
  </si>
  <si>
    <t xml:space="preserve"> Pláticas de prevención</t>
  </si>
  <si>
    <t xml:space="preserve"> Canalizaciones y derivaciones</t>
  </si>
  <si>
    <t xml:space="preserve"> Acompamientos a personas en procesos jurídicos</t>
  </si>
  <si>
    <t>Estrategia de maltrato y violencia en personas adultas mayores</t>
  </si>
  <si>
    <t>Actividad 3.1 Elaboración de registro de asistencias</t>
  </si>
  <si>
    <t>Registro de asistencias</t>
  </si>
  <si>
    <t>Actividad 3.2 Informes de casos cerrados</t>
  </si>
  <si>
    <t>Informes de casos cerrados</t>
  </si>
  <si>
    <t xml:space="preserve">                                                    Reporte de avances de metas 2021</t>
  </si>
  <si>
    <t>Programas/Área de Atención Humanitaria/Casa Hogar Villas Miravalle</t>
  </si>
  <si>
    <t>Este mes Ingresaron 1 niña 1 niño del Municipio de Gudalajara. Egresos 3 niñas y 1 niño y una adulta con discapcidad intelectual.</t>
  </si>
  <si>
    <t xml:space="preserve"> Niñas, niños, adolescentes y sus familias con acompañamientos</t>
  </si>
  <si>
    <t>Población beneficia con acompañamientos</t>
  </si>
  <si>
    <t>Sesiones educativas capacitación, deportivas y culturales</t>
  </si>
  <si>
    <t xml:space="preserve">computación, danza folklorica, gimnasia y sesiones educativas (INEA, regularización, apoyo a tareas y clases de secundaria)
Clases deportivas en las que participan todas las niñas y niños en futbol, basquetbol, actividades fisicas y recreativas. Clases de costura y manualidades de lunes a jueves, Asistencia de catorce niñas pequeñas al "Campeonato Panamericano de Gimnasia Guadalajara 2021" por incentivo y motivación a seguir practicando la gimnasia ritmica; continuan en Deporte Adaptado del CODE Jalisco a ocho niñas niños y adolescentes en las disciplinas de natación, tenis de mesa y atletismo. Se  continua por la Jefatura de Psicologia intervención en salud organizacional a Educadores proporcionando estrategias de prevención y afrontamiento al estres en ellos. Continua el Taller Filosofia para Niños, </t>
  </si>
  <si>
    <t>Talleres educativos</t>
  </si>
  <si>
    <t xml:space="preserve">Taller de Prevención Abuso Sexual con niñas villa 1B los temas fueron identificación elementos y sensaciones corporales, concepto de autocuidado y bienestar (3). Taller de "Buscando al capitan del barco" se trabajo el liderazgo (2 sesiones); Taller Campamento se realiza simulación de cmpamento con el tema Autocuidado abarcando diferentes temas  </t>
  </si>
  <si>
    <t xml:space="preserve"> Acompañamientos realizados  a Niñas, niños, adolescentes y sus familias</t>
  </si>
  <si>
    <t>Intervenciones psicológicas:</t>
  </si>
  <si>
    <t>Plan</t>
  </si>
  <si>
    <t>Planes de contenidos y actividades elaborados</t>
  </si>
  <si>
    <t>Expediente</t>
  </si>
  <si>
    <t xml:space="preserve">                                                                                                               Reporte de avances de metas 2021</t>
  </si>
  <si>
    <t>Programas/Delegación Institucional de la PPNNA/Servicios jurídicos asistenciales</t>
  </si>
  <si>
    <t xml:space="preserve"> Niñas, niños, adolescentes y sus familias que recibieron servicios</t>
  </si>
  <si>
    <t xml:space="preserve">Fichas de registro y/o bitácoras de registro
</t>
  </si>
  <si>
    <t>Personas beneficiadas</t>
  </si>
  <si>
    <t>Servicios otorgados a Niñas, niños, adolescentes y sus familias</t>
  </si>
  <si>
    <t xml:space="preserve">Servicios </t>
  </si>
  <si>
    <t xml:space="preserve">Fichas de registro y/o bitácoras de registro
</t>
  </si>
  <si>
    <t>Asesorías jurídicas</t>
  </si>
  <si>
    <t>Bitácoras de expedientes</t>
  </si>
  <si>
    <t>Gestiones jurídicas</t>
  </si>
  <si>
    <t>Bitácora de registro</t>
  </si>
  <si>
    <t>Testimoniales</t>
  </si>
  <si>
    <t>Fichas de registro y/o folio</t>
  </si>
  <si>
    <t>Registros extemporáneos</t>
  </si>
  <si>
    <t xml:space="preserve"> Testamentos</t>
  </si>
  <si>
    <t>Bitácoras de registro</t>
  </si>
  <si>
    <t>Asesoría en elaboración de testamento</t>
  </si>
  <si>
    <t>asesoría en elaboración de testamento</t>
  </si>
  <si>
    <t>Ficha de registro</t>
  </si>
  <si>
    <t xml:space="preserve">Trámites del registro públicos de la propiedad </t>
  </si>
  <si>
    <t xml:space="preserve"> Plan</t>
  </si>
  <si>
    <t>Lic. Mariana Lopez Camarena</t>
  </si>
  <si>
    <t xml:space="preserve">Lic. Atalya Lizette Hernández Jiménez </t>
  </si>
  <si>
    <t xml:space="preserve">                                                                                                         Reporte de avances de metas 2021</t>
  </si>
  <si>
    <t>.</t>
  </si>
  <si>
    <t>Formato de avances de metas</t>
  </si>
  <si>
    <t>Población beneficiada en la casa con apoyos alimenticios</t>
  </si>
  <si>
    <t>TOTAL: 10 *FORMULAS NO SUMAN*</t>
  </si>
  <si>
    <t>Población beneficiada con acompañamientos</t>
  </si>
  <si>
    <t>Raciones alimenticias</t>
  </si>
  <si>
    <t>TOTAL: 2,666 *FORMULAS NO SUMAN*</t>
  </si>
  <si>
    <t xml:space="preserve">Intervenciones de trabajo social </t>
  </si>
  <si>
    <t>TOTAL: 695 *FORMULAS NO SUMAN*</t>
  </si>
  <si>
    <t xml:space="preserve"> Intervenciones psicológicas</t>
  </si>
  <si>
    <t>TOTAL: 495 *FORMULAS NO SUMAN*</t>
  </si>
  <si>
    <t>Intervenciones de enfermería e intervenciones de las educadoras</t>
  </si>
  <si>
    <t>TOTAL: 1,246 *FORMULAS NO SUMAN*</t>
  </si>
  <si>
    <t xml:space="preserve"> Listado de expedientes integrados</t>
  </si>
  <si>
    <t xml:space="preserve">                                                              Reporte de avances de metas 2021</t>
  </si>
  <si>
    <t>Programas/Delegación Institucional de la PPNNA/Custodia, Tutela, Adopciones</t>
  </si>
  <si>
    <t xml:space="preserve"> Población beneficiada con apoyos</t>
  </si>
  <si>
    <t xml:space="preserve"> Población beneficiada con apoyos (feminicidios)</t>
  </si>
  <si>
    <t xml:space="preserve"> Planes de restitución de derechos, medidas de protección, proyectos en comunidad y reintegraciones implementados</t>
  </si>
  <si>
    <t>Padrón de beneficiarios
Planes de restitución
Medidas de protección</t>
  </si>
  <si>
    <t>Total de pupilos reintegrados</t>
  </si>
  <si>
    <t>Medidas de protección especial</t>
  </si>
  <si>
    <t>Medidas de urgentes</t>
  </si>
  <si>
    <t>Componente 1 Apoyo directos entregados a Niñas, niños, adolescentes y sus familias para contribuir a la restitución de sus derechos</t>
  </si>
  <si>
    <t xml:space="preserve"> Apoyos otorgados  a las Niñas, niños, adolescentes y sus familias </t>
  </si>
  <si>
    <t>Ropa</t>
  </si>
  <si>
    <t>Calzado</t>
  </si>
  <si>
    <t xml:space="preserve"> Leche y despensas</t>
  </si>
  <si>
    <t xml:space="preserve">Medicamentos </t>
  </si>
  <si>
    <t>Apoyos varios (feminicidios)</t>
  </si>
  <si>
    <t>Componente 3 Acompañamientos a Niñas, niños, adolescentes y sus familias para contribuir a la restitución de sus derechos</t>
  </si>
  <si>
    <t>Asesoría en consejo de Familia</t>
  </si>
  <si>
    <t>Entrevista e investigaciones</t>
  </si>
  <si>
    <t xml:space="preserve">Estudios sociofamilares </t>
  </si>
  <si>
    <t xml:space="preserve">Valoraciones e informes de psicología </t>
  </si>
  <si>
    <t xml:space="preserve">Visitas domiciliarias </t>
  </si>
  <si>
    <t>Promociones (fiscalía)</t>
  </si>
  <si>
    <t xml:space="preserve"> Registros extemporáneos</t>
  </si>
  <si>
    <t>Gestiones realizadas en fiscalía ( juzgados y registro civil</t>
  </si>
  <si>
    <t>Cronograma de entrega</t>
  </si>
  <si>
    <t xml:space="preserve">Plan </t>
  </si>
  <si>
    <t>Planes de contenidos</t>
  </si>
  <si>
    <t>Plan de contenido</t>
  </si>
  <si>
    <t>Actividad 3.1  Integración de listas de expedientes</t>
  </si>
  <si>
    <t xml:space="preserve">Planes de trabajo diseñados </t>
  </si>
  <si>
    <t>Informes de seguimientos</t>
  </si>
  <si>
    <t>8 pelotas , nuevos ingresos</t>
  </si>
  <si>
    <t>1625 NNA en seguimiento</t>
  </si>
  <si>
    <t>Población cautiva en donde los PICs reportan sus acciones de manera semanal en los seguimientos respectivos con los NNA y sus familias,promotores</t>
  </si>
  <si>
    <t>Seguimientos NNA presentados por los Promotor Infantiles Comunitarios de los 660 becados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</si>
</sst>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0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0"/>
      <color theme="1"/>
      <name val="Calibri"/>
      <family val="2"/>
      <scheme val="minor"/>
    </font>
    <font>
      <b/>
      <sz val="58"/>
      <name val="Arial"/>
      <family val="2"/>
    </font>
    <font>
      <sz val="40"/>
      <name val="Arial"/>
      <family val="2"/>
    </font>
    <font>
      <b/>
      <sz val="36"/>
      <color theme="1"/>
      <name val="Calibri"/>
      <family val="2"/>
    </font>
    <font>
      <sz val="10"/>
      <color theme="1"/>
      <name val="Calibri"/>
      <family val="2"/>
      <scheme val="minor"/>
    </font>
    <font>
      <b/>
      <sz val="48"/>
      <name val="Arial"/>
      <family val="2"/>
    </font>
    <font>
      <b/>
      <sz val="29"/>
      <name val="Arial"/>
      <family val="2"/>
    </font>
    <font>
      <b/>
      <sz val="3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58"/>
      <name val="Arial"/>
      <family val="2"/>
    </font>
    <font>
      <b/>
      <sz val="36"/>
      <color theme="1"/>
      <name val="Arial"/>
      <family val="2"/>
    </font>
    <font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sz val="90"/>
      <color rgb="FFFF0000"/>
      <name val="Calibri"/>
      <family val="2"/>
    </font>
    <font>
      <b/>
      <sz val="72"/>
      <color theme="1"/>
      <name val="Calibri"/>
      <family val="2"/>
      <scheme val="minor"/>
    </font>
    <font>
      <b/>
      <sz val="60"/>
      <color theme="1"/>
      <name val="Calibri"/>
      <family val="2"/>
    </font>
    <font>
      <b/>
      <sz val="55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Arial"/>
      <family val="2"/>
    </font>
    <font>
      <b/>
      <sz val="45"/>
      <color theme="1"/>
      <name val="Calibri"/>
      <family val="2"/>
    </font>
    <font>
      <b/>
      <sz val="48"/>
      <color theme="1"/>
      <name val="Calibri"/>
      <family val="2"/>
    </font>
    <font>
      <sz val="60"/>
      <color theme="1"/>
      <name val="Arial"/>
      <family val="2"/>
    </font>
    <font>
      <sz val="45"/>
      <name val="Arial"/>
      <family val="2"/>
    </font>
    <font>
      <sz val="11"/>
      <name val="Arial"/>
      <family val="2"/>
    </font>
    <font>
      <b/>
      <sz val="30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5"/>
      <color rgb="FF000000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28"/>
      <color theme="1"/>
      <name val="Calibri"/>
      <family val="2"/>
    </font>
    <font>
      <sz val="18"/>
      <name val="Arial"/>
      <family val="2"/>
    </font>
    <font>
      <b/>
      <sz val="18"/>
      <name val="Arial"/>
      <family val="2"/>
    </font>
    <font>
      <b/>
      <sz val="36"/>
      <color theme="1"/>
      <name val="Calibri"/>
      <family val="2"/>
      <scheme val="minor"/>
    </font>
    <font>
      <b/>
      <sz val="55"/>
      <name val="Arial"/>
      <family val="2"/>
    </font>
    <font>
      <b/>
      <sz val="36"/>
      <name val="Arial"/>
      <family val="2"/>
    </font>
    <font>
      <b/>
      <sz val="48"/>
      <name val="Calibri"/>
      <family val="2"/>
      <scheme val="minor"/>
    </font>
    <font>
      <sz val="55"/>
      <name val="Arial"/>
      <family val="2"/>
    </font>
    <font>
      <b/>
      <sz val="10"/>
      <name val="Calibri"/>
      <family val="2"/>
      <scheme val="minor"/>
    </font>
    <font>
      <b/>
      <sz val="55"/>
      <color theme="1"/>
      <name val="Calibri"/>
      <family val="2"/>
    </font>
    <font>
      <b/>
      <sz val="72"/>
      <color theme="1"/>
      <name val="Calibri"/>
      <family val="2"/>
    </font>
    <font>
      <sz val="72"/>
      <name val="Arial"/>
      <family val="2"/>
    </font>
    <font>
      <sz val="72"/>
      <color theme="1"/>
      <name val="Arial"/>
      <family val="2"/>
    </font>
    <font>
      <b/>
      <sz val="40"/>
      <color rgb="FF000000"/>
      <name val="Calibri"/>
      <family val="2"/>
    </font>
    <font>
      <b/>
      <sz val="40"/>
      <color theme="1"/>
      <name val="Calibri"/>
      <family val="2"/>
    </font>
    <font>
      <sz val="45"/>
      <color theme="1"/>
      <name val="Calibri"/>
      <family val="2"/>
    </font>
    <font>
      <sz val="45"/>
      <color rgb="FF000000"/>
      <name val="Calibri"/>
      <family val="2"/>
    </font>
    <font>
      <b/>
      <sz val="48"/>
      <color rgb="FF000000"/>
      <name val="Calibri"/>
      <family val="2"/>
    </font>
    <font>
      <sz val="48"/>
      <name val="Arial"/>
      <family val="2"/>
    </font>
    <font>
      <sz val="48"/>
      <color theme="1"/>
      <name val="Calibri"/>
      <family val="2"/>
    </font>
    <font>
      <sz val="10"/>
      <color theme="1"/>
      <name val="Calibri"/>
      <family val="2"/>
    </font>
    <font>
      <b/>
      <sz val="36"/>
      <color indexed="81"/>
      <name val="Tahoma"/>
      <family val="2"/>
    </font>
    <font>
      <sz val="36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0"/>
      <color theme="1"/>
      <name val="Calibri"/>
      <family val="2"/>
    </font>
    <font>
      <b/>
      <sz val="58"/>
      <color theme="1"/>
      <name val="Arial"/>
      <family val="2"/>
    </font>
    <font>
      <sz val="40"/>
      <color theme="1"/>
      <name val="Arial"/>
      <family val="2"/>
    </font>
    <font>
      <sz val="11"/>
      <color theme="1"/>
      <name val="Calibri"/>
      <family val="2"/>
    </font>
    <font>
      <b/>
      <sz val="48"/>
      <color theme="1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58"/>
      <color theme="1"/>
      <name val="Arial"/>
      <family val="2"/>
    </font>
    <font>
      <sz val="36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48"/>
      <color theme="1"/>
      <name val="Arial"/>
      <family val="2"/>
    </font>
    <font>
      <b/>
      <sz val="60"/>
      <name val="Arial"/>
      <family val="2"/>
    </font>
    <font>
      <sz val="65"/>
      <name val="Arial"/>
      <family val="2"/>
    </font>
    <font>
      <b/>
      <sz val="50"/>
      <color rgb="FF000000"/>
      <name val="Calibri"/>
      <family val="2"/>
    </font>
    <font>
      <sz val="50"/>
      <name val="Arial"/>
      <family val="2"/>
    </font>
    <font>
      <b/>
      <sz val="50"/>
      <color theme="1"/>
      <name val="Calibri"/>
      <family val="2"/>
    </font>
    <font>
      <sz val="60"/>
      <color theme="1"/>
      <name val="Calibri"/>
      <family val="2"/>
      <scheme val="minor"/>
    </font>
    <font>
      <sz val="36"/>
      <color theme="1"/>
      <name val="Calibri"/>
      <family val="2"/>
    </font>
    <font>
      <b/>
      <sz val="65"/>
      <name val="Arial"/>
      <family val="2"/>
    </font>
    <font>
      <sz val="72"/>
      <color theme="1"/>
      <name val="Calibri"/>
      <family val="2"/>
      <scheme val="minor"/>
    </font>
    <font>
      <b/>
      <sz val="72"/>
      <name val="Arial"/>
      <family val="2"/>
    </font>
    <font>
      <b/>
      <sz val="48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11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36"/>
      <name val="Calibri"/>
      <family val="2"/>
      <scheme val="minor"/>
    </font>
    <font>
      <sz val="28"/>
      <color theme="1"/>
      <name val="Calibri"/>
      <family val="2"/>
      <scheme val="minor"/>
    </font>
    <font>
      <sz val="50"/>
      <color theme="1"/>
      <name val="Arial"/>
      <family val="2"/>
    </font>
    <font>
      <b/>
      <sz val="36"/>
      <color rgb="FF000000"/>
      <name val="Calibri"/>
      <family val="2"/>
    </font>
    <font>
      <b/>
      <sz val="17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FD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rgb="FF318591"/>
        <bgColor theme="8"/>
      </patternFill>
    </fill>
    <fill>
      <patternFill patternType="solid">
        <fgColor rgb="FF318591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CEEE0"/>
        <bgColor rgb="FFFCEEE0"/>
      </patternFill>
    </fill>
    <fill>
      <patternFill patternType="solid">
        <fgColor theme="6" tint="0.59999389629810485"/>
        <bgColor rgb="FFFDE9D9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46">
    <xf numFmtId="0" fontId="0" fillId="0" borderId="0"/>
    <xf numFmtId="0" fontId="25" fillId="0" borderId="0"/>
    <xf numFmtId="0" fontId="27" fillId="0" borderId="0"/>
    <xf numFmtId="9" fontId="26" fillId="0" borderId="0" applyFont="0" applyFill="0" applyBorder="0" applyAlignment="0" applyProtection="0">
      <alignment vertical="center"/>
    </xf>
    <xf numFmtId="0" fontId="24" fillId="0" borderId="0"/>
    <xf numFmtId="0" fontId="28" fillId="0" borderId="0"/>
    <xf numFmtId="0" fontId="24" fillId="0" borderId="0"/>
    <xf numFmtId="0" fontId="29" fillId="0" borderId="0"/>
    <xf numFmtId="0" fontId="23" fillId="0" borderId="0"/>
    <xf numFmtId="0" fontId="23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5">
    <xf numFmtId="0" fontId="0" fillId="0" borderId="0" xfId="0"/>
    <xf numFmtId="0" fontId="1" fillId="0" borderId="0" xfId="131"/>
    <xf numFmtId="0" fontId="33" fillId="0" borderId="0" xfId="5" applyFont="1" applyFill="1" applyBorder="1" applyAlignment="1">
      <alignment horizontal="left" vertical="center" wrapText="1"/>
    </xf>
    <xf numFmtId="0" fontId="35" fillId="0" borderId="0" xfId="131" applyFont="1" applyAlignment="1" applyProtection="1">
      <alignment wrapText="1"/>
      <protection locked="0"/>
    </xf>
    <xf numFmtId="0" fontId="1" fillId="0" borderId="0" xfId="131" applyProtection="1">
      <protection locked="0"/>
    </xf>
    <xf numFmtId="0" fontId="37" fillId="0" borderId="0" xfId="5" applyFont="1" applyFill="1" applyBorder="1" applyAlignment="1">
      <alignment horizontal="left" vertical="center"/>
    </xf>
    <xf numFmtId="0" fontId="35" fillId="0" borderId="0" xfId="131" applyFont="1" applyProtection="1">
      <protection locked="0"/>
    </xf>
    <xf numFmtId="0" fontId="38" fillId="0" borderId="0" xfId="7" applyFont="1" applyBorder="1" applyAlignment="1">
      <alignment horizontal="center" vertical="center" wrapText="1"/>
    </xf>
    <xf numFmtId="0" fontId="39" fillId="0" borderId="0" xfId="131" applyFont="1" applyBorder="1" applyAlignment="1" applyProtection="1">
      <alignment horizontal="center" vertical="center" wrapText="1"/>
      <protection locked="0"/>
    </xf>
    <xf numFmtId="0" fontId="40" fillId="0" borderId="0" xfId="131" applyFont="1" applyFill="1" applyBorder="1" applyAlignment="1" applyProtection="1">
      <alignment vertical="center" wrapText="1"/>
      <protection locked="0"/>
    </xf>
    <xf numFmtId="0" fontId="41" fillId="0" borderId="0" xfId="131" applyFont="1" applyFill="1" applyBorder="1" applyAlignment="1" applyProtection="1">
      <alignment horizontal="left" vertical="center" wrapText="1"/>
      <protection locked="0"/>
    </xf>
    <xf numFmtId="0" fontId="43" fillId="0" borderId="0" xfId="7" applyFont="1" applyBorder="1" applyAlignment="1">
      <alignment horizontal="center" vertical="center"/>
    </xf>
    <xf numFmtId="0" fontId="35" fillId="0" borderId="0" xfId="131" applyFont="1" applyBorder="1" applyAlignment="1" applyProtection="1">
      <alignment wrapText="1"/>
      <protection locked="0"/>
    </xf>
    <xf numFmtId="0" fontId="41" fillId="0" borderId="0" xfId="131" applyFont="1" applyFill="1" applyBorder="1" applyAlignment="1" applyProtection="1">
      <alignment vertical="center" wrapText="1"/>
      <protection locked="0"/>
    </xf>
    <xf numFmtId="0" fontId="45" fillId="2" borderId="12" xfId="131" applyFont="1" applyFill="1" applyBorder="1" applyAlignment="1" applyProtection="1">
      <alignment horizontal="center" vertical="center"/>
      <protection locked="0"/>
    </xf>
    <xf numFmtId="0" fontId="33" fillId="0" borderId="0" xfId="5" applyFont="1" applyFill="1" applyBorder="1" applyAlignment="1">
      <alignment vertical="center" wrapText="1"/>
    </xf>
    <xf numFmtId="0" fontId="45" fillId="6" borderId="12" xfId="131" applyFont="1" applyFill="1" applyBorder="1" applyAlignment="1" applyProtection="1">
      <alignment horizontal="center" vertical="center"/>
      <protection locked="0"/>
    </xf>
    <xf numFmtId="0" fontId="57" fillId="10" borderId="7" xfId="131" applyFont="1" applyFill="1" applyBorder="1" applyAlignment="1" applyProtection="1">
      <alignment horizontal="center" vertical="center" wrapText="1"/>
      <protection locked="0"/>
    </xf>
    <xf numFmtId="3" fontId="59" fillId="13" borderId="6" xfId="131" applyNumberFormat="1" applyFont="1" applyFill="1" applyBorder="1" applyAlignment="1">
      <alignment horizontal="center" vertical="center" wrapText="1"/>
    </xf>
    <xf numFmtId="0" fontId="61" fillId="14" borderId="7" xfId="131" applyFont="1" applyFill="1" applyBorder="1" applyAlignment="1" applyProtection="1">
      <alignment horizontal="center" vertical="center" wrapText="1"/>
      <protection locked="0"/>
    </xf>
    <xf numFmtId="0" fontId="53" fillId="15" borderId="20" xfId="55" applyFont="1" applyFill="1" applyBorder="1" applyAlignment="1">
      <alignment horizontal="center" vertical="center" wrapText="1"/>
    </xf>
    <xf numFmtId="0" fontId="62" fillId="16" borderId="30" xfId="55" applyFont="1" applyFill="1" applyBorder="1" applyAlignment="1">
      <alignment horizontal="center" vertical="center" wrapText="1"/>
    </xf>
    <xf numFmtId="0" fontId="45" fillId="0" borderId="0" xfId="131" applyFont="1"/>
    <xf numFmtId="3" fontId="59" fillId="17" borderId="1" xfId="131" applyNumberFormat="1" applyFont="1" applyFill="1" applyBorder="1" applyAlignment="1">
      <alignment horizontal="center" vertical="center" wrapText="1"/>
    </xf>
    <xf numFmtId="0" fontId="53" fillId="16" borderId="1" xfId="55" applyFont="1" applyFill="1" applyBorder="1" applyAlignment="1">
      <alignment horizontal="center" vertical="center" wrapText="1"/>
    </xf>
    <xf numFmtId="0" fontId="53" fillId="15" borderId="1" xfId="55" applyFont="1" applyFill="1" applyBorder="1" applyAlignment="1">
      <alignment horizontal="center" vertical="center" wrapText="1"/>
    </xf>
    <xf numFmtId="0" fontId="62" fillId="16" borderId="31" xfId="55" applyFont="1" applyFill="1" applyBorder="1" applyAlignment="1">
      <alignment horizontal="center" vertical="center" wrapText="1"/>
    </xf>
    <xf numFmtId="3" fontId="59" fillId="13" borderId="1" xfId="131" applyNumberFormat="1" applyFont="1" applyFill="1" applyBorder="1" applyAlignment="1">
      <alignment horizontal="center" vertical="center" wrapText="1"/>
    </xf>
    <xf numFmtId="0" fontId="61" fillId="14" borderId="1" xfId="131" applyFont="1" applyFill="1" applyBorder="1" applyAlignment="1" applyProtection="1">
      <alignment horizontal="center" vertical="center" wrapText="1"/>
      <protection locked="0"/>
    </xf>
    <xf numFmtId="0" fontId="60" fillId="4" borderId="1" xfId="131" applyFont="1" applyFill="1" applyBorder="1" applyAlignment="1" applyProtection="1">
      <alignment horizontal="center" vertical="center" wrapText="1"/>
      <protection locked="0"/>
    </xf>
    <xf numFmtId="0" fontId="34" fillId="16" borderId="31" xfId="55" applyFont="1" applyFill="1" applyBorder="1" applyAlignment="1">
      <alignment horizontal="center" vertical="center" wrapText="1"/>
    </xf>
    <xf numFmtId="0" fontId="60" fillId="14" borderId="1" xfId="131" applyFont="1" applyFill="1" applyBorder="1" applyAlignment="1" applyProtection="1">
      <alignment vertical="center" wrapText="1"/>
      <protection locked="0"/>
    </xf>
    <xf numFmtId="3" fontId="59" fillId="17" borderId="26" xfId="131" applyNumberFormat="1" applyFont="1" applyFill="1" applyBorder="1" applyAlignment="1">
      <alignment horizontal="center" vertical="center" wrapText="1"/>
    </xf>
    <xf numFmtId="0" fontId="53" fillId="16" borderId="24" xfId="55" applyFont="1" applyFill="1" applyBorder="1" applyAlignment="1">
      <alignment horizontal="center" vertical="center" wrapText="1"/>
    </xf>
    <xf numFmtId="0" fontId="53" fillId="15" borderId="27" xfId="55" applyFont="1" applyFill="1" applyBorder="1" applyAlignment="1">
      <alignment horizontal="center" vertical="center" wrapText="1"/>
    </xf>
    <xf numFmtId="0" fontId="34" fillId="16" borderId="30" xfId="55" applyFont="1" applyFill="1" applyBorder="1" applyAlignment="1">
      <alignment horizontal="center" vertical="center" wrapText="1"/>
    </xf>
    <xf numFmtId="3" fontId="59" fillId="13" borderId="32" xfId="131" applyNumberFormat="1" applyFont="1" applyFill="1" applyBorder="1" applyAlignment="1">
      <alignment horizontal="center" vertical="center" wrapText="1"/>
    </xf>
    <xf numFmtId="0" fontId="53" fillId="16" borderId="21" xfId="55" applyFont="1" applyFill="1" applyBorder="1" applyAlignment="1">
      <alignment horizontal="center" vertical="center" wrapText="1"/>
    </xf>
    <xf numFmtId="0" fontId="60" fillId="14" borderId="33" xfId="131" applyFont="1" applyFill="1" applyBorder="1" applyAlignment="1" applyProtection="1">
      <alignment horizontal="center" vertical="center" wrapText="1"/>
      <protection locked="0"/>
    </xf>
    <xf numFmtId="0" fontId="53" fillId="15" borderId="31" xfId="55" applyFont="1" applyFill="1" applyBorder="1" applyAlignment="1">
      <alignment horizontal="center" vertical="center" wrapText="1"/>
    </xf>
    <xf numFmtId="3" fontId="59" fillId="17" borderId="36" xfId="131" applyNumberFormat="1" applyFont="1" applyFill="1" applyBorder="1" applyAlignment="1">
      <alignment horizontal="center" vertical="center" wrapText="1"/>
    </xf>
    <xf numFmtId="0" fontId="64" fillId="0" borderId="0" xfId="132" applyFont="1" applyBorder="1" applyAlignment="1">
      <alignment horizontal="center"/>
    </xf>
    <xf numFmtId="0" fontId="35" fillId="0" borderId="0" xfId="131" applyFont="1" applyBorder="1" applyProtection="1">
      <protection locked="0"/>
    </xf>
    <xf numFmtId="3" fontId="35" fillId="0" borderId="0" xfId="131" applyNumberFormat="1" applyFont="1" applyBorder="1" applyProtection="1">
      <protection locked="0"/>
    </xf>
    <xf numFmtId="0" fontId="45" fillId="0" borderId="0" xfId="131" applyFont="1" applyAlignment="1" applyProtection="1">
      <alignment wrapText="1"/>
      <protection locked="0"/>
    </xf>
    <xf numFmtId="0" fontId="45" fillId="0" borderId="0" xfId="131" applyFont="1" applyProtection="1">
      <protection locked="0"/>
    </xf>
    <xf numFmtId="0" fontId="65" fillId="0" borderId="7" xfId="131" applyFont="1" applyFill="1" applyBorder="1" applyAlignment="1" applyProtection="1">
      <alignment horizontal="center" vertical="center" wrapText="1"/>
      <protection locked="0"/>
    </xf>
    <xf numFmtId="0" fontId="65" fillId="18" borderId="7" xfId="131" applyFont="1" applyFill="1" applyBorder="1" applyAlignment="1" applyProtection="1">
      <alignment horizontal="center" vertical="center" wrapText="1"/>
      <protection locked="0"/>
    </xf>
    <xf numFmtId="0" fontId="1" fillId="0" borderId="0" xfId="133"/>
    <xf numFmtId="0" fontId="35" fillId="0" borderId="0" xfId="133" applyFont="1" applyProtection="1">
      <protection locked="0"/>
    </xf>
    <xf numFmtId="0" fontId="35" fillId="0" borderId="0" xfId="133" applyFont="1" applyAlignment="1" applyProtection="1">
      <alignment wrapText="1"/>
      <protection locked="0"/>
    </xf>
    <xf numFmtId="0" fontId="1" fillId="0" borderId="0" xfId="133" applyProtection="1">
      <protection locked="0"/>
    </xf>
    <xf numFmtId="0" fontId="65" fillId="2" borderId="12" xfId="134" applyFont="1" applyFill="1" applyBorder="1" applyAlignment="1" applyProtection="1">
      <alignment horizontal="center" vertical="center"/>
      <protection locked="0"/>
    </xf>
    <xf numFmtId="0" fontId="39" fillId="0" borderId="0" xfId="133" applyFont="1" applyAlignment="1" applyProtection="1">
      <alignment horizontal="center" vertical="center"/>
      <protection locked="0"/>
    </xf>
    <xf numFmtId="0" fontId="39" fillId="0" borderId="0" xfId="133" applyFont="1" applyBorder="1" applyAlignment="1" applyProtection="1">
      <alignment horizontal="center" vertical="center" wrapText="1"/>
      <protection locked="0"/>
    </xf>
    <xf numFmtId="0" fontId="40" fillId="0" borderId="0" xfId="133" applyFont="1" applyFill="1" applyBorder="1" applyAlignment="1" applyProtection="1">
      <alignment vertical="center" wrapText="1"/>
      <protection locked="0"/>
    </xf>
    <xf numFmtId="0" fontId="41" fillId="0" borderId="0" xfId="133" applyFont="1" applyFill="1" applyBorder="1" applyAlignment="1" applyProtection="1">
      <alignment horizontal="left" vertical="center" wrapText="1"/>
      <protection locked="0"/>
    </xf>
    <xf numFmtId="0" fontId="65" fillId="6" borderId="12" xfId="134" applyFont="1" applyFill="1" applyBorder="1" applyAlignment="1" applyProtection="1">
      <alignment horizontal="center" vertical="center"/>
      <protection locked="0"/>
    </xf>
    <xf numFmtId="0" fontId="70" fillId="0" borderId="0" xfId="133" applyFont="1" applyFill="1" applyBorder="1" applyAlignment="1" applyProtection="1">
      <alignment horizontal="center" vertical="center" wrapText="1"/>
      <protection locked="0"/>
    </xf>
    <xf numFmtId="0" fontId="35" fillId="0" borderId="0" xfId="133" applyFont="1" applyBorder="1" applyAlignment="1" applyProtection="1">
      <alignment wrapText="1"/>
      <protection locked="0"/>
    </xf>
    <xf numFmtId="0" fontId="41" fillId="0" borderId="0" xfId="133" applyFont="1" applyFill="1" applyBorder="1" applyAlignment="1" applyProtection="1">
      <alignment vertical="center" wrapText="1"/>
      <protection locked="0"/>
    </xf>
    <xf numFmtId="0" fontId="65" fillId="4" borderId="12" xfId="134" applyFont="1" applyFill="1" applyBorder="1" applyAlignment="1" applyProtection="1">
      <alignment horizontal="center" vertical="center"/>
      <protection locked="0"/>
    </xf>
    <xf numFmtId="0" fontId="65" fillId="5" borderId="12" xfId="134" applyFont="1" applyFill="1" applyBorder="1" applyAlignment="1" applyProtection="1">
      <alignment horizontal="center" vertical="center"/>
      <protection locked="0"/>
    </xf>
    <xf numFmtId="0" fontId="38" fillId="19" borderId="21" xfId="19" applyFont="1" applyFill="1" applyBorder="1" applyAlignment="1">
      <alignment horizontal="center" vertical="center" wrapText="1"/>
    </xf>
    <xf numFmtId="3" fontId="53" fillId="20" borderId="1" xfId="19" applyNumberFormat="1" applyFont="1" applyFill="1" applyBorder="1" applyAlignment="1">
      <alignment horizontal="center" vertical="center" wrapText="1"/>
    </xf>
    <xf numFmtId="0" fontId="76" fillId="16" borderId="1" xfId="19" applyFont="1" applyFill="1" applyBorder="1" applyAlignment="1">
      <alignment horizontal="center" vertical="center" wrapText="1"/>
    </xf>
    <xf numFmtId="0" fontId="53" fillId="12" borderId="1" xfId="19" applyFont="1" applyFill="1" applyBorder="1" applyAlignment="1">
      <alignment horizontal="center" vertical="center" wrapText="1"/>
    </xf>
    <xf numFmtId="0" fontId="53" fillId="16" borderId="1" xfId="19" applyFont="1" applyFill="1" applyBorder="1" applyAlignment="1">
      <alignment horizontal="center" vertical="center" wrapText="1"/>
    </xf>
    <xf numFmtId="3" fontId="53" fillId="21" borderId="1" xfId="19" applyNumberFormat="1" applyFont="1" applyFill="1" applyBorder="1" applyAlignment="1">
      <alignment horizontal="center" vertical="center" wrapText="1"/>
    </xf>
    <xf numFmtId="0" fontId="77" fillId="16" borderId="1" xfId="19" applyFont="1" applyFill="1" applyBorder="1" applyAlignment="1">
      <alignment horizontal="center" vertical="center" wrapText="1"/>
    </xf>
    <xf numFmtId="0" fontId="34" fillId="16" borderId="1" xfId="19" applyFont="1" applyFill="1" applyBorder="1" applyAlignment="1">
      <alignment horizontal="left" vertical="center" wrapText="1"/>
    </xf>
    <xf numFmtId="0" fontId="81" fillId="16" borderId="1" xfId="19" applyFont="1" applyFill="1" applyBorder="1" applyAlignment="1">
      <alignment horizontal="center" vertical="center" wrapText="1"/>
    </xf>
    <xf numFmtId="0" fontId="61" fillId="0" borderId="0" xfId="133" applyFont="1" applyAlignment="1" applyProtection="1">
      <alignment wrapText="1"/>
      <protection locked="0"/>
    </xf>
    <xf numFmtId="0" fontId="61" fillId="0" borderId="0" xfId="133" applyFont="1" applyProtection="1">
      <protection locked="0"/>
    </xf>
    <xf numFmtId="0" fontId="61" fillId="0" borderId="0" xfId="133" applyFont="1"/>
    <xf numFmtId="0" fontId="53" fillId="0" borderId="0" xfId="19" applyFont="1" applyFill="1" applyBorder="1" applyAlignment="1">
      <alignment horizontal="center" vertical="center" wrapText="1"/>
    </xf>
    <xf numFmtId="3" fontId="82" fillId="0" borderId="0" xfId="19" applyNumberFormat="1" applyFont="1" applyFill="1" applyBorder="1" applyAlignment="1">
      <alignment horizontal="left" vertical="center" wrapText="1"/>
    </xf>
    <xf numFmtId="0" fontId="29" fillId="0" borderId="0" xfId="7" applyFont="1" applyAlignment="1"/>
    <xf numFmtId="0" fontId="89" fillId="0" borderId="0" xfId="7" applyFont="1" applyAlignment="1">
      <alignment horizontal="left" vertical="center" wrapText="1"/>
    </xf>
    <xf numFmtId="0" fontId="82" fillId="0" borderId="0" xfId="7" applyFont="1"/>
    <xf numFmtId="0" fontId="82" fillId="0" borderId="0" xfId="7" applyFont="1" applyAlignment="1">
      <alignment wrapText="1"/>
    </xf>
    <xf numFmtId="0" fontId="90" fillId="0" borderId="0" xfId="7" applyFont="1"/>
    <xf numFmtId="0" fontId="92" fillId="0" borderId="0" xfId="7" applyFont="1" applyAlignment="1">
      <alignment horizontal="left" vertical="center"/>
    </xf>
    <xf numFmtId="0" fontId="93" fillId="0" borderId="0" xfId="7" applyFont="1" applyAlignment="1">
      <alignment horizontal="center" vertical="center"/>
    </xf>
    <xf numFmtId="0" fontId="93" fillId="0" borderId="0" xfId="7" applyFont="1" applyAlignment="1">
      <alignment horizontal="center" vertical="center" wrapText="1"/>
    </xf>
    <xf numFmtId="0" fontId="94" fillId="0" borderId="0" xfId="7" applyFont="1" applyAlignment="1">
      <alignment vertical="center" wrapText="1"/>
    </xf>
    <xf numFmtId="0" fontId="82" fillId="0" borderId="0" xfId="7" applyFont="1" applyAlignment="1">
      <alignment horizontal="left" vertical="center" wrapText="1"/>
    </xf>
    <xf numFmtId="0" fontId="82" fillId="0" borderId="0" xfId="7" applyFont="1" applyAlignment="1">
      <alignment vertical="center" wrapText="1"/>
    </xf>
    <xf numFmtId="0" fontId="34" fillId="19" borderId="21" xfId="7" applyFont="1" applyFill="1" applyBorder="1" applyAlignment="1">
      <alignment horizontal="center" vertical="center" wrapText="1"/>
    </xf>
    <xf numFmtId="3" fontId="53" fillId="20" borderId="43" xfId="7" applyNumberFormat="1" applyFont="1" applyFill="1" applyBorder="1" applyAlignment="1">
      <alignment horizontal="center" vertical="center" wrapText="1"/>
    </xf>
    <xf numFmtId="0" fontId="53" fillId="16" borderId="21" xfId="7" applyFont="1" applyFill="1" applyBorder="1" applyAlignment="1">
      <alignment horizontal="center" vertical="center" wrapText="1"/>
    </xf>
    <xf numFmtId="0" fontId="53" fillId="16" borderId="21" xfId="2" applyFont="1" applyFill="1" applyBorder="1" applyAlignment="1">
      <alignment horizontal="center" vertical="center" wrapText="1"/>
    </xf>
    <xf numFmtId="0" fontId="53" fillId="16" borderId="30" xfId="7" applyFont="1" applyFill="1" applyBorder="1" applyAlignment="1">
      <alignment horizontal="center" vertical="center" wrapText="1"/>
    </xf>
    <xf numFmtId="0" fontId="53" fillId="15" borderId="30" xfId="7" applyFont="1" applyFill="1" applyBorder="1" applyAlignment="1">
      <alignment horizontal="center" vertical="center" wrapText="1"/>
    </xf>
    <xf numFmtId="0" fontId="81" fillId="0" borderId="0" xfId="7" applyFont="1"/>
    <xf numFmtId="3" fontId="53" fillId="21" borderId="45" xfId="7" applyNumberFormat="1" applyFont="1" applyFill="1" applyBorder="1" applyAlignment="1">
      <alignment horizontal="center" vertical="center" wrapText="1"/>
    </xf>
    <xf numFmtId="0" fontId="53" fillId="16" borderId="20" xfId="7" applyFont="1" applyFill="1" applyBorder="1" applyAlignment="1">
      <alignment horizontal="center" vertical="center" wrapText="1"/>
    </xf>
    <xf numFmtId="3" fontId="53" fillId="20" borderId="46" xfId="7" applyNumberFormat="1" applyFont="1" applyFill="1" applyBorder="1" applyAlignment="1">
      <alignment horizontal="center" vertical="center" wrapText="1"/>
    </xf>
    <xf numFmtId="0" fontId="53" fillId="16" borderId="44" xfId="7" applyFont="1" applyFill="1" applyBorder="1" applyAlignment="1">
      <alignment vertical="center" wrapText="1"/>
    </xf>
    <xf numFmtId="0" fontId="53" fillId="16" borderId="36" xfId="7" applyFont="1" applyFill="1" applyBorder="1" applyAlignment="1">
      <alignment vertical="center" wrapText="1"/>
    </xf>
    <xf numFmtId="0" fontId="53" fillId="16" borderId="31" xfId="7" applyFont="1" applyFill="1" applyBorder="1" applyAlignment="1">
      <alignment vertical="center" wrapText="1"/>
    </xf>
    <xf numFmtId="0" fontId="45" fillId="18" borderId="0" xfId="7" applyFont="1" applyFill="1" applyAlignment="1">
      <alignment horizontal="center" vertical="center"/>
    </xf>
    <xf numFmtId="3" fontId="81" fillId="16" borderId="30" xfId="7" applyNumberFormat="1" applyFont="1" applyFill="1" applyBorder="1" applyAlignment="1">
      <alignment horizontal="left" vertical="center" wrapText="1"/>
    </xf>
    <xf numFmtId="0" fontId="81" fillId="16" borderId="30" xfId="7" applyFont="1" applyFill="1" applyBorder="1" applyAlignment="1">
      <alignment vertical="center" wrapText="1"/>
    </xf>
    <xf numFmtId="0" fontId="53" fillId="16" borderId="30" xfId="2" applyFont="1" applyFill="1" applyBorder="1" applyAlignment="1">
      <alignment horizontal="center" vertical="center" wrapText="1"/>
    </xf>
    <xf numFmtId="3" fontId="53" fillId="20" borderId="45" xfId="7" applyNumberFormat="1" applyFont="1" applyFill="1" applyBorder="1" applyAlignment="1">
      <alignment horizontal="center" vertical="center" wrapText="1"/>
    </xf>
    <xf numFmtId="3" fontId="53" fillId="21" borderId="47" xfId="7" applyNumberFormat="1" applyFont="1" applyFill="1" applyBorder="1" applyAlignment="1">
      <alignment horizontal="center" vertical="center" wrapText="1"/>
    </xf>
    <xf numFmtId="0" fontId="81" fillId="16" borderId="21" xfId="7" applyFont="1" applyFill="1" applyBorder="1" applyAlignment="1">
      <alignment vertical="center" wrapText="1"/>
    </xf>
    <xf numFmtId="0" fontId="53" fillId="15" borderId="21" xfId="7" applyFont="1" applyFill="1" applyBorder="1" applyAlignment="1">
      <alignment horizontal="center" vertical="center" wrapText="1"/>
    </xf>
    <xf numFmtId="3" fontId="81" fillId="16" borderId="21" xfId="7" applyNumberFormat="1" applyFont="1" applyFill="1" applyBorder="1" applyAlignment="1">
      <alignment horizontal="left" vertical="center" wrapText="1"/>
    </xf>
    <xf numFmtId="3" fontId="53" fillId="20" borderId="1" xfId="7" applyNumberFormat="1" applyFont="1" applyFill="1" applyBorder="1" applyAlignment="1">
      <alignment horizontal="center" vertical="center" wrapText="1"/>
    </xf>
    <xf numFmtId="0" fontId="53" fillId="16" borderId="1" xfId="7" applyFont="1" applyFill="1" applyBorder="1" applyAlignment="1">
      <alignment horizontal="center" vertical="center" wrapText="1"/>
    </xf>
    <xf numFmtId="0" fontId="53" fillId="16" borderId="1" xfId="7" applyFont="1" applyFill="1" applyBorder="1" applyAlignment="1">
      <alignment vertical="center" wrapText="1"/>
    </xf>
    <xf numFmtId="0" fontId="53" fillId="16" borderId="1" xfId="2" applyFont="1" applyFill="1" applyBorder="1" applyAlignment="1">
      <alignment horizontal="center" vertical="center" wrapText="1"/>
    </xf>
    <xf numFmtId="0" fontId="53" fillId="15" borderId="1" xfId="7" applyFont="1" applyFill="1" applyBorder="1" applyAlignment="1">
      <alignment horizontal="center" vertical="center" wrapText="1"/>
    </xf>
    <xf numFmtId="3" fontId="81" fillId="16" borderId="1" xfId="7" applyNumberFormat="1" applyFont="1" applyFill="1" applyBorder="1" applyAlignment="1">
      <alignment horizontal="left" vertical="center" wrapText="1"/>
    </xf>
    <xf numFmtId="3" fontId="53" fillId="21" borderId="1" xfId="7" applyNumberFormat="1" applyFont="1" applyFill="1" applyBorder="1" applyAlignment="1">
      <alignment horizontal="center" vertical="center" wrapText="1"/>
    </xf>
    <xf numFmtId="0" fontId="81" fillId="16" borderId="1" xfId="7" applyFont="1" applyFill="1" applyBorder="1" applyAlignment="1">
      <alignment vertical="center" wrapText="1"/>
    </xf>
    <xf numFmtId="0" fontId="81" fillId="16" borderId="1" xfId="7" applyFont="1" applyFill="1" applyBorder="1" applyAlignment="1">
      <alignment horizontal="center" vertical="center" wrapText="1"/>
    </xf>
    <xf numFmtId="3" fontId="81" fillId="16" borderId="1" xfId="7" applyNumberFormat="1" applyFont="1" applyFill="1" applyBorder="1" applyAlignment="1">
      <alignment horizontal="center" vertical="center" wrapText="1"/>
    </xf>
    <xf numFmtId="0" fontId="98" fillId="0" borderId="0" xfId="7" applyFont="1" applyAlignment="1">
      <alignment horizontal="center"/>
    </xf>
    <xf numFmtId="3" fontId="82" fillId="0" borderId="0" xfId="7" applyNumberFormat="1" applyFont="1"/>
    <xf numFmtId="0" fontId="99" fillId="0" borderId="0" xfId="7" applyFont="1" applyAlignment="1"/>
    <xf numFmtId="0" fontId="1" fillId="0" borderId="0" xfId="137"/>
    <xf numFmtId="0" fontId="33" fillId="0" borderId="0" xfId="5" applyFont="1" applyAlignment="1">
      <alignment horizontal="left" vertical="center" wrapText="1"/>
    </xf>
    <xf numFmtId="0" fontId="35" fillId="0" borderId="0" xfId="137" applyFont="1" applyProtection="1">
      <protection locked="0"/>
    </xf>
    <xf numFmtId="0" fontId="35" fillId="0" borderId="0" xfId="137" applyFont="1" applyAlignment="1" applyProtection="1">
      <alignment wrapText="1"/>
      <protection locked="0"/>
    </xf>
    <xf numFmtId="0" fontId="1" fillId="0" borderId="0" xfId="137" applyProtection="1">
      <protection locked="0"/>
    </xf>
    <xf numFmtId="0" fontId="1" fillId="0" borderId="0" xfId="137" applyAlignment="1">
      <alignment horizontal="center"/>
    </xf>
    <xf numFmtId="0" fontId="37" fillId="0" borderId="0" xfId="5" applyFont="1" applyAlignment="1">
      <alignment horizontal="left" vertical="center"/>
    </xf>
    <xf numFmtId="0" fontId="39" fillId="0" borderId="0" xfId="137" applyFont="1" applyAlignment="1" applyProtection="1">
      <alignment horizontal="center" vertical="center"/>
      <protection locked="0"/>
    </xf>
    <xf numFmtId="0" fontId="39" fillId="0" borderId="0" xfId="137" applyFont="1" applyAlignment="1" applyProtection="1">
      <alignment horizontal="center" vertical="center" wrapText="1"/>
      <protection locked="0"/>
    </xf>
    <xf numFmtId="0" fontId="40" fillId="0" borderId="0" xfId="137" applyFont="1" applyAlignment="1" applyProtection="1">
      <alignment vertical="center" wrapText="1"/>
      <protection locked="0"/>
    </xf>
    <xf numFmtId="0" fontId="41" fillId="0" borderId="0" xfId="137" applyFont="1" applyAlignment="1" applyProtection="1">
      <alignment horizontal="left" vertical="center" wrapText="1"/>
      <protection locked="0"/>
    </xf>
    <xf numFmtId="0" fontId="45" fillId="3" borderId="12" xfId="138" applyFont="1" applyFill="1" applyBorder="1" applyAlignment="1" applyProtection="1">
      <alignment horizontal="center" vertical="center"/>
      <protection locked="0"/>
    </xf>
    <xf numFmtId="0" fontId="70" fillId="0" borderId="0" xfId="137" applyFont="1" applyAlignment="1" applyProtection="1">
      <alignment horizontal="center" vertical="center" wrapText="1"/>
      <protection locked="0"/>
    </xf>
    <xf numFmtId="0" fontId="41" fillId="0" borderId="0" xfId="137" applyFont="1" applyAlignment="1" applyProtection="1">
      <alignment vertical="center" wrapText="1"/>
      <protection locked="0"/>
    </xf>
    <xf numFmtId="0" fontId="45" fillId="6" borderId="12" xfId="138" applyFont="1" applyFill="1" applyBorder="1" applyAlignment="1" applyProtection="1">
      <alignment horizontal="center" vertical="center"/>
      <protection locked="0"/>
    </xf>
    <xf numFmtId="3" fontId="53" fillId="20" borderId="37" xfId="19" applyNumberFormat="1" applyFont="1" applyFill="1" applyBorder="1" applyAlignment="1">
      <alignment horizontal="center" vertical="center" wrapText="1"/>
    </xf>
    <xf numFmtId="0" fontId="104" fillId="16" borderId="1" xfId="19" applyFont="1" applyFill="1" applyBorder="1" applyAlignment="1">
      <alignment horizontal="center" vertical="center" wrapText="1"/>
    </xf>
    <xf numFmtId="0" fontId="105" fillId="4" borderId="1" xfId="137" applyFont="1" applyFill="1" applyBorder="1" applyAlignment="1" applyProtection="1">
      <alignment horizontal="center" vertical="center" wrapText="1"/>
      <protection locked="0"/>
    </xf>
    <xf numFmtId="3" fontId="53" fillId="21" borderId="37" xfId="19" applyNumberFormat="1" applyFont="1" applyFill="1" applyBorder="1" applyAlignment="1">
      <alignment horizontal="center" vertical="center" wrapText="1"/>
    </xf>
    <xf numFmtId="3" fontId="53" fillId="16" borderId="30" xfId="7" applyNumberFormat="1" applyFont="1" applyFill="1" applyBorder="1" applyAlignment="1">
      <alignment horizontal="left" vertical="center" wrapText="1"/>
    </xf>
    <xf numFmtId="3" fontId="106" fillId="16" borderId="30" xfId="7" applyNumberFormat="1" applyFont="1" applyFill="1" applyBorder="1" applyAlignment="1">
      <alignment horizontal="center" vertical="center" wrapText="1"/>
    </xf>
    <xf numFmtId="0" fontId="64" fillId="0" borderId="0" xfId="139" applyFont="1" applyAlignment="1">
      <alignment horizontal="center"/>
    </xf>
    <xf numFmtId="3" fontId="35" fillId="0" borderId="0" xfId="137" applyNumberFormat="1" applyFont="1" applyProtection="1">
      <protection locked="0"/>
    </xf>
    <xf numFmtId="0" fontId="58" fillId="0" borderId="0" xfId="137" applyFont="1" applyProtection="1">
      <protection locked="0"/>
    </xf>
    <xf numFmtId="0" fontId="58" fillId="0" borderId="0" xfId="137" applyFont="1"/>
    <xf numFmtId="0" fontId="58" fillId="0" borderId="0" xfId="137" applyFont="1" applyAlignment="1">
      <alignment horizontal="center"/>
    </xf>
    <xf numFmtId="0" fontId="63" fillId="0" borderId="0" xfId="139" applyFont="1" applyAlignment="1">
      <alignment horizontal="center"/>
    </xf>
    <xf numFmtId="0" fontId="63" fillId="0" borderId="0" xfId="5" applyFont="1" applyAlignment="1">
      <alignment horizontal="center" vertical="center"/>
    </xf>
    <xf numFmtId="0" fontId="108" fillId="0" borderId="0" xfId="137" applyFont="1" applyProtection="1">
      <protection locked="0"/>
    </xf>
    <xf numFmtId="0" fontId="1" fillId="0" borderId="0" xfId="140"/>
    <xf numFmtId="0" fontId="35" fillId="0" borderId="0" xfId="140" applyFont="1" applyProtection="1">
      <protection locked="0"/>
    </xf>
    <xf numFmtId="0" fontId="39" fillId="0" borderId="0" xfId="140" applyFont="1" applyAlignment="1" applyProtection="1">
      <alignment horizontal="center" vertical="center"/>
      <protection locked="0"/>
    </xf>
    <xf numFmtId="0" fontId="41" fillId="0" borderId="0" xfId="140" applyFont="1" applyFill="1" applyBorder="1" applyAlignment="1" applyProtection="1">
      <alignment horizontal="left" vertical="center" wrapText="1"/>
      <protection locked="0"/>
    </xf>
    <xf numFmtId="0" fontId="70" fillId="0" borderId="0" xfId="140" applyFont="1" applyFill="1" applyBorder="1" applyAlignment="1" applyProtection="1">
      <alignment horizontal="center" vertical="center" wrapText="1"/>
      <protection locked="0"/>
    </xf>
    <xf numFmtId="0" fontId="41" fillId="0" borderId="0" xfId="140" applyFont="1" applyFill="1" applyBorder="1" applyAlignment="1" applyProtection="1">
      <alignment vertical="center" wrapText="1"/>
      <protection locked="0"/>
    </xf>
    <xf numFmtId="3" fontId="53" fillId="20" borderId="30" xfId="19" applyNumberFormat="1" applyFont="1" applyFill="1" applyBorder="1" applyAlignment="1">
      <alignment horizontal="center" vertical="center" wrapText="1"/>
    </xf>
    <xf numFmtId="0" fontId="53" fillId="16" borderId="21" xfId="19" applyFont="1" applyFill="1" applyBorder="1" applyAlignment="1">
      <alignment horizontal="center" vertical="center" wrapText="1"/>
    </xf>
    <xf numFmtId="0" fontId="53" fillId="12" borderId="21" xfId="19" applyFont="1" applyFill="1" applyBorder="1" applyAlignment="1">
      <alignment horizontal="center" vertical="center" wrapText="1"/>
    </xf>
    <xf numFmtId="0" fontId="53" fillId="16" borderId="30" xfId="19" applyFont="1" applyFill="1" applyBorder="1" applyAlignment="1">
      <alignment horizontal="center" vertical="center" wrapText="1"/>
    </xf>
    <xf numFmtId="3" fontId="53" fillId="21" borderId="30" xfId="19" applyNumberFormat="1" applyFont="1" applyFill="1" applyBorder="1" applyAlignment="1">
      <alignment horizontal="center" vertical="center" wrapText="1"/>
    </xf>
    <xf numFmtId="0" fontId="53" fillId="16" borderId="20" xfId="19" applyFont="1" applyFill="1" applyBorder="1" applyAlignment="1">
      <alignment horizontal="center" vertical="center" wrapText="1"/>
    </xf>
    <xf numFmtId="0" fontId="53" fillId="16" borderId="21" xfId="19" quotePrefix="1" applyFont="1" applyFill="1" applyBorder="1" applyAlignment="1">
      <alignment horizontal="center" vertical="center" wrapText="1"/>
    </xf>
    <xf numFmtId="3" fontId="53" fillId="20" borderId="31" xfId="19" applyNumberFormat="1" applyFont="1" applyFill="1" applyBorder="1" applyAlignment="1">
      <alignment horizontal="center" vertical="center" wrapText="1"/>
    </xf>
    <xf numFmtId="3" fontId="53" fillId="21" borderId="31" xfId="19" applyNumberFormat="1" applyFont="1" applyFill="1" applyBorder="1" applyAlignment="1">
      <alignment horizontal="center" vertical="center" wrapText="1"/>
    </xf>
    <xf numFmtId="0" fontId="62" fillId="16" borderId="30" xfId="19" applyFont="1" applyFill="1" applyBorder="1" applyAlignment="1">
      <alignment horizontal="center" vertical="top" wrapText="1"/>
    </xf>
    <xf numFmtId="0" fontId="53" fillId="16" borderId="54" xfId="19" applyFont="1" applyFill="1" applyBorder="1" applyAlignment="1">
      <alignment horizontal="center" vertical="center" wrapText="1"/>
    </xf>
    <xf numFmtId="0" fontId="53" fillId="16" borderId="51" xfId="19" applyFont="1" applyFill="1" applyBorder="1" applyAlignment="1">
      <alignment horizontal="center" vertical="center" wrapText="1"/>
    </xf>
    <xf numFmtId="0" fontId="53" fillId="12" borderId="54" xfId="19" applyFont="1" applyFill="1" applyBorder="1" applyAlignment="1">
      <alignment horizontal="center" vertical="center" wrapText="1"/>
    </xf>
    <xf numFmtId="0" fontId="53" fillId="16" borderId="31" xfId="19" applyFont="1" applyFill="1" applyBorder="1" applyAlignment="1">
      <alignment horizontal="center" vertical="center" wrapText="1"/>
    </xf>
    <xf numFmtId="0" fontId="1" fillId="0" borderId="0" xfId="143"/>
    <xf numFmtId="0" fontId="35" fillId="0" borderId="0" xfId="143" applyFont="1" applyProtection="1">
      <protection locked="0"/>
    </xf>
    <xf numFmtId="0" fontId="35" fillId="0" borderId="0" xfId="143" applyFont="1" applyAlignment="1" applyProtection="1">
      <alignment wrapText="1"/>
      <protection locked="0"/>
    </xf>
    <xf numFmtId="0" fontId="1" fillId="0" borderId="0" xfId="143" applyProtection="1">
      <protection locked="0"/>
    </xf>
    <xf numFmtId="0" fontId="45" fillId="2" borderId="12" xfId="144" applyFont="1" applyFill="1" applyBorder="1" applyAlignment="1" applyProtection="1">
      <alignment horizontal="center" vertical="center"/>
      <protection locked="0"/>
    </xf>
    <xf numFmtId="0" fontId="39" fillId="0" borderId="0" xfId="143" applyFont="1" applyAlignment="1" applyProtection="1">
      <alignment horizontal="center" vertical="center"/>
      <protection locked="0"/>
    </xf>
    <xf numFmtId="0" fontId="39" fillId="0" borderId="0" xfId="143" applyFont="1" applyAlignment="1" applyProtection="1">
      <alignment horizontal="center" vertical="center" wrapText="1"/>
      <protection locked="0"/>
    </xf>
    <xf numFmtId="0" fontId="40" fillId="0" borderId="0" xfId="143" applyFont="1" applyAlignment="1" applyProtection="1">
      <alignment vertical="center" wrapText="1"/>
      <protection locked="0"/>
    </xf>
    <xf numFmtId="0" fontId="41" fillId="0" borderId="0" xfId="143" applyFont="1" applyAlignment="1" applyProtection="1">
      <alignment horizontal="left" vertical="center" wrapText="1"/>
      <protection locked="0"/>
    </xf>
    <xf numFmtId="0" fontId="45" fillId="6" borderId="12" xfId="144" applyFont="1" applyFill="1" applyBorder="1" applyAlignment="1" applyProtection="1">
      <alignment horizontal="center" vertical="center"/>
      <protection locked="0"/>
    </xf>
    <xf numFmtId="0" fontId="70" fillId="0" borderId="0" xfId="143" applyFont="1" applyAlignment="1" applyProtection="1">
      <alignment horizontal="center" vertical="center" wrapText="1"/>
      <protection locked="0"/>
    </xf>
    <xf numFmtId="0" fontId="41" fillId="0" borderId="0" xfId="143" applyFont="1" applyAlignment="1" applyProtection="1">
      <alignment vertical="center" wrapText="1"/>
      <protection locked="0"/>
    </xf>
    <xf numFmtId="0" fontId="45" fillId="0" borderId="0" xfId="144" applyFont="1" applyAlignment="1" applyProtection="1">
      <alignment horizontal="center" vertical="center"/>
      <protection locked="0"/>
    </xf>
    <xf numFmtId="0" fontId="57" fillId="10" borderId="7" xfId="144" applyFont="1" applyFill="1" applyBorder="1" applyAlignment="1" applyProtection="1">
      <alignment horizontal="center" vertical="center" wrapText="1"/>
      <protection locked="0"/>
    </xf>
    <xf numFmtId="3" fontId="59" fillId="13" borderId="32" xfId="144" applyNumberFormat="1" applyFont="1" applyFill="1" applyBorder="1" applyAlignment="1">
      <alignment horizontal="center" vertical="center" wrapText="1"/>
    </xf>
    <xf numFmtId="0" fontId="58" fillId="14" borderId="1" xfId="144" applyFont="1" applyFill="1" applyBorder="1" applyAlignment="1" applyProtection="1">
      <alignment horizontal="center" vertical="center" wrapText="1"/>
      <protection locked="0"/>
    </xf>
    <xf numFmtId="0" fontId="61" fillId="14" borderId="1" xfId="144" applyFont="1" applyFill="1" applyBorder="1" applyAlignment="1" applyProtection="1">
      <alignment horizontal="center" vertical="center" wrapText="1"/>
      <protection locked="0"/>
    </xf>
    <xf numFmtId="0" fontId="110" fillId="4" borderId="5" xfId="143" applyFont="1" applyFill="1" applyBorder="1" applyAlignment="1" applyProtection="1">
      <alignment horizontal="center" vertical="center" wrapText="1"/>
      <protection locked="0"/>
    </xf>
    <xf numFmtId="3" fontId="59" fillId="17" borderId="36" xfId="144" applyNumberFormat="1" applyFont="1" applyFill="1" applyBorder="1" applyAlignment="1">
      <alignment horizontal="center" vertical="center" wrapText="1"/>
    </xf>
    <xf numFmtId="0" fontId="43" fillId="16" borderId="30" xfId="55" applyFont="1" applyFill="1" applyBorder="1" applyAlignment="1">
      <alignment horizontal="center" vertical="center" wrapText="1"/>
    </xf>
    <xf numFmtId="0" fontId="61" fillId="14" borderId="7" xfId="144" applyFont="1" applyFill="1" applyBorder="1" applyAlignment="1" applyProtection="1">
      <alignment horizontal="center" vertical="center" wrapText="1"/>
      <protection locked="0"/>
    </xf>
    <xf numFmtId="0" fontId="110" fillId="4" borderId="29" xfId="143" applyFont="1" applyFill="1" applyBorder="1" applyAlignment="1" applyProtection="1">
      <alignment horizontal="center" vertical="center" wrapText="1"/>
      <protection locked="0"/>
    </xf>
    <xf numFmtId="0" fontId="34" fillId="16" borderId="21" xfId="55" applyFont="1" applyFill="1" applyBorder="1" applyAlignment="1">
      <alignment horizontal="center" vertical="center" wrapText="1"/>
    </xf>
    <xf numFmtId="0" fontId="53" fillId="16" borderId="18" xfId="55" applyFont="1" applyFill="1" applyBorder="1" applyAlignment="1">
      <alignment horizontal="center" vertical="center" wrapText="1"/>
    </xf>
    <xf numFmtId="0" fontId="110" fillId="4" borderId="1" xfId="143" applyFont="1" applyFill="1" applyBorder="1" applyAlignment="1" applyProtection="1">
      <alignment horizontal="center" vertical="center" wrapText="1"/>
      <protection locked="0"/>
    </xf>
    <xf numFmtId="0" fontId="62" fillId="16" borderId="1" xfId="55" applyFont="1" applyFill="1" applyBorder="1" applyAlignment="1">
      <alignment horizontal="center" vertical="center" wrapText="1"/>
    </xf>
    <xf numFmtId="0" fontId="64" fillId="0" borderId="0" xfId="145" applyFont="1" applyAlignment="1">
      <alignment horizontal="center"/>
    </xf>
    <xf numFmtId="3" fontId="35" fillId="0" borderId="0" xfId="143" applyNumberFormat="1" applyFont="1" applyProtection="1">
      <protection locked="0"/>
    </xf>
    <xf numFmtId="0" fontId="58" fillId="18" borderId="1" xfId="143" applyFont="1" applyFill="1" applyBorder="1" applyAlignment="1" applyProtection="1">
      <alignment horizontal="center" vertical="center" wrapText="1"/>
      <protection locked="0"/>
    </xf>
    <xf numFmtId="0" fontId="1" fillId="0" borderId="0" xfId="143" applyFont="1" applyAlignment="1">
      <alignment horizontal="center"/>
    </xf>
    <xf numFmtId="0" fontId="63" fillId="0" borderId="0" xfId="145" applyFont="1" applyAlignment="1">
      <alignment horizontal="center"/>
    </xf>
    <xf numFmtId="0" fontId="82" fillId="0" borderId="0" xfId="19" applyFont="1"/>
    <xf numFmtId="0" fontId="82" fillId="0" borderId="0" xfId="19" applyFont="1" applyAlignment="1">
      <alignment wrapText="1"/>
    </xf>
    <xf numFmtId="0" fontId="90" fillId="0" borderId="0" xfId="19" applyFont="1"/>
    <xf numFmtId="0" fontId="29" fillId="0" borderId="0" xfId="19" applyFont="1" applyAlignment="1"/>
    <xf numFmtId="0" fontId="89" fillId="0" borderId="0" xfId="19" applyFont="1" applyAlignment="1">
      <alignment horizontal="left" vertical="center" wrapText="1"/>
    </xf>
    <xf numFmtId="0" fontId="29" fillId="0" borderId="0" xfId="19" applyFont="1"/>
    <xf numFmtId="0" fontId="92" fillId="0" borderId="0" xfId="19" applyFont="1" applyAlignment="1">
      <alignment horizontal="left" vertical="center"/>
    </xf>
    <xf numFmtId="0" fontId="116" fillId="2" borderId="12" xfId="141" applyFont="1" applyFill="1" applyBorder="1" applyAlignment="1" applyProtection="1">
      <alignment horizontal="center" vertical="center"/>
      <protection locked="0"/>
    </xf>
    <xf numFmtId="0" fontId="93" fillId="0" borderId="0" xfId="19" applyFont="1" applyAlignment="1">
      <alignment horizontal="center" vertical="center"/>
    </xf>
    <xf numFmtId="0" fontId="93" fillId="0" borderId="0" xfId="19" applyFont="1" applyAlignment="1">
      <alignment horizontal="center" vertical="center" wrapText="1"/>
    </xf>
    <xf numFmtId="0" fontId="94" fillId="0" borderId="0" xfId="19" applyFont="1" applyAlignment="1">
      <alignment vertical="center" wrapText="1"/>
    </xf>
    <xf numFmtId="0" fontId="82" fillId="0" borderId="0" xfId="19" applyFont="1" applyAlignment="1">
      <alignment horizontal="left" vertical="center" wrapText="1"/>
    </xf>
    <xf numFmtId="0" fontId="116" fillId="6" borderId="12" xfId="141" applyFont="1" applyFill="1" applyBorder="1" applyAlignment="1" applyProtection="1">
      <alignment horizontal="center" vertical="center"/>
      <protection locked="0"/>
    </xf>
    <xf numFmtId="0" fontId="82" fillId="0" borderId="0" xfId="19" applyFont="1" applyAlignment="1">
      <alignment vertical="center" wrapText="1"/>
    </xf>
    <xf numFmtId="0" fontId="38" fillId="19" borderId="30" xfId="19" applyFont="1" applyFill="1" applyBorder="1" applyAlignment="1">
      <alignment horizontal="center" vertical="center" wrapText="1"/>
    </xf>
    <xf numFmtId="0" fontId="76" fillId="16" borderId="21" xfId="19" applyFont="1" applyFill="1" applyBorder="1" applyAlignment="1">
      <alignment horizontal="center" vertical="center" wrapText="1"/>
    </xf>
    <xf numFmtId="0" fontId="34" fillId="16" borderId="21" xfId="19" applyFont="1" applyFill="1" applyBorder="1" applyAlignment="1">
      <alignment horizontal="center" vertical="center" wrapText="1"/>
    </xf>
    <xf numFmtId="0" fontId="76" fillId="16" borderId="20" xfId="19" applyFont="1" applyFill="1" applyBorder="1" applyAlignment="1">
      <alignment horizontal="center" vertical="center" wrapText="1"/>
    </xf>
    <xf numFmtId="0" fontId="118" fillId="16" borderId="21" xfId="19" applyFont="1" applyFill="1" applyBorder="1" applyAlignment="1">
      <alignment horizontal="center" vertical="center" wrapText="1"/>
    </xf>
    <xf numFmtId="0" fontId="34" fillId="16" borderId="30" xfId="19" applyFont="1" applyFill="1" applyBorder="1" applyAlignment="1">
      <alignment horizontal="center" vertical="center" wrapText="1"/>
    </xf>
    <xf numFmtId="0" fontId="75" fillId="16" borderId="1" xfId="19" applyFont="1" applyFill="1" applyBorder="1" applyAlignment="1">
      <alignment horizontal="center" vertical="center" wrapText="1"/>
    </xf>
    <xf numFmtId="0" fontId="75" fillId="16" borderId="1" xfId="19" applyFont="1" applyFill="1" applyBorder="1" applyAlignment="1">
      <alignment horizontal="left" vertical="center" wrapText="1"/>
    </xf>
    <xf numFmtId="0" fontId="75" fillId="16" borderId="1" xfId="19" applyFont="1" applyFill="1" applyBorder="1" applyAlignment="1">
      <alignment vertical="center" wrapText="1"/>
    </xf>
    <xf numFmtId="0" fontId="33" fillId="0" borderId="1" xfId="19" applyFont="1" applyBorder="1" applyAlignment="1"/>
    <xf numFmtId="0" fontId="75" fillId="16" borderId="5" xfId="19" applyFont="1" applyFill="1" applyBorder="1" applyAlignment="1">
      <alignment horizontal="center" vertical="center" wrapText="1"/>
    </xf>
    <xf numFmtId="0" fontId="79" fillId="16" borderId="1" xfId="19" applyFont="1" applyFill="1" applyBorder="1" applyAlignment="1">
      <alignment horizontal="center" vertical="center" wrapText="1"/>
    </xf>
    <xf numFmtId="0" fontId="75" fillId="16" borderId="25" xfId="19" applyFont="1" applyFill="1" applyBorder="1" applyAlignment="1">
      <alignment vertical="center" wrapText="1"/>
    </xf>
    <xf numFmtId="0" fontId="33" fillId="0" borderId="26" xfId="19" applyFont="1" applyBorder="1" applyAlignment="1"/>
    <xf numFmtId="0" fontId="33" fillId="0" borderId="27" xfId="19" applyFont="1" applyBorder="1" applyAlignment="1"/>
    <xf numFmtId="0" fontId="75" fillId="16" borderId="37" xfId="19" applyFont="1" applyFill="1" applyBorder="1" applyAlignment="1">
      <alignment vertical="center" wrapText="1"/>
    </xf>
    <xf numFmtId="0" fontId="33" fillId="0" borderId="36" xfId="19" applyFont="1" applyBorder="1" applyAlignment="1"/>
    <xf numFmtId="0" fontId="33" fillId="0" borderId="31" xfId="19" applyFont="1" applyBorder="1" applyAlignment="1"/>
    <xf numFmtId="0" fontId="34" fillId="16" borderId="18" xfId="19" applyFont="1" applyFill="1" applyBorder="1" applyAlignment="1">
      <alignment horizontal="center" vertical="center" wrapText="1"/>
    </xf>
    <xf numFmtId="0" fontId="34" fillId="16" borderId="1" xfId="19" applyFont="1" applyFill="1" applyBorder="1" applyAlignment="1">
      <alignment horizontal="center" vertical="center" wrapText="1"/>
    </xf>
    <xf numFmtId="0" fontId="34" fillId="16" borderId="20" xfId="19" applyFont="1" applyFill="1" applyBorder="1" applyAlignment="1">
      <alignment horizontal="center" vertical="center" wrapText="1"/>
    </xf>
    <xf numFmtId="0" fontId="118" fillId="16" borderId="1" xfId="2" applyFont="1" applyFill="1" applyBorder="1" applyAlignment="1">
      <alignment horizontal="center" vertical="center" wrapText="1"/>
    </xf>
    <xf numFmtId="0" fontId="34" fillId="16" borderId="19" xfId="19" applyFont="1" applyFill="1" applyBorder="1" applyAlignment="1">
      <alignment horizontal="center" vertical="center" wrapText="1"/>
    </xf>
    <xf numFmtId="0" fontId="34" fillId="16" borderId="37" xfId="19" applyFont="1" applyFill="1" applyBorder="1" applyAlignment="1">
      <alignment horizontal="center" vertical="center" wrapText="1"/>
    </xf>
    <xf numFmtId="0" fontId="34" fillId="16" borderId="36" xfId="19" applyFont="1" applyFill="1" applyBorder="1" applyAlignment="1">
      <alignment horizontal="center" vertical="center" wrapText="1"/>
    </xf>
    <xf numFmtId="0" fontId="34" fillId="16" borderId="31" xfId="19" applyFont="1" applyFill="1" applyBorder="1" applyAlignment="1">
      <alignment horizontal="center" vertical="center" wrapText="1"/>
    </xf>
    <xf numFmtId="0" fontId="34" fillId="16" borderId="1" xfId="19" applyFont="1" applyFill="1" applyBorder="1" applyAlignment="1">
      <alignment vertical="center" wrapText="1"/>
    </xf>
    <xf numFmtId="3" fontId="82" fillId="16" borderId="1" xfId="19" applyNumberFormat="1" applyFont="1" applyFill="1" applyBorder="1" applyAlignment="1">
      <alignment horizontal="left" vertical="center" wrapText="1"/>
    </xf>
    <xf numFmtId="0" fontId="98" fillId="0" borderId="0" xfId="19" applyFont="1" applyAlignment="1">
      <alignment horizontal="center"/>
    </xf>
    <xf numFmtId="3" fontId="82" fillId="0" borderId="0" xfId="19" applyNumberFormat="1" applyFont="1"/>
    <xf numFmtId="0" fontId="29" fillId="0" borderId="0" xfId="19" applyFont="1" applyBorder="1" applyAlignment="1"/>
    <xf numFmtId="0" fontId="119" fillId="0" borderId="0" xfId="19" applyFont="1" applyFill="1" applyBorder="1" applyAlignment="1">
      <alignment horizontal="center" vertical="center" wrapText="1"/>
    </xf>
    <xf numFmtId="0" fontId="99" fillId="0" borderId="0" xfId="19" applyFont="1" applyBorder="1"/>
    <xf numFmtId="0" fontId="97" fillId="0" borderId="0" xfId="19" applyFont="1" applyAlignment="1">
      <alignment horizontal="center"/>
    </xf>
    <xf numFmtId="0" fontId="97" fillId="0" borderId="0" xfId="19" applyFont="1" applyAlignment="1">
      <alignment horizontal="center" vertical="center"/>
    </xf>
    <xf numFmtId="0" fontId="79" fillId="16" borderId="37" xfId="19" applyFont="1" applyFill="1" applyBorder="1" applyAlignment="1">
      <alignment vertical="center" wrapText="1"/>
    </xf>
    <xf numFmtId="0" fontId="80" fillId="0" borderId="36" xfId="19" applyFont="1" applyBorder="1" applyAlignment="1"/>
    <xf numFmtId="0" fontId="80" fillId="0" borderId="31" xfId="19" applyFont="1" applyBorder="1" applyAlignment="1"/>
    <xf numFmtId="0" fontId="77" fillId="24" borderId="1" xfId="19" applyFont="1" applyFill="1" applyBorder="1" applyAlignment="1">
      <alignment horizontal="center" vertical="center" wrapText="1"/>
    </xf>
    <xf numFmtId="0" fontId="53" fillId="24" borderId="1" xfId="19" applyFont="1" applyFill="1" applyBorder="1" applyAlignment="1">
      <alignment horizontal="center" vertical="center" wrapText="1"/>
    </xf>
    <xf numFmtId="0" fontId="76" fillId="24" borderId="1" xfId="19" applyFont="1" applyFill="1" applyBorder="1" applyAlignment="1">
      <alignment horizontal="center" vertical="center" wrapText="1"/>
    </xf>
    <xf numFmtId="0" fontId="78" fillId="24" borderId="1" xfId="19" applyFont="1" applyFill="1" applyBorder="1" applyAlignment="1">
      <alignment vertical="center" wrapText="1"/>
    </xf>
    <xf numFmtId="0" fontId="55" fillId="25" borderId="1" xfId="19" applyFont="1" applyFill="1" applyBorder="1" applyAlignment="1"/>
    <xf numFmtId="0" fontId="34" fillId="16" borderId="1" xfId="19" applyFont="1" applyFill="1" applyBorder="1" applyAlignment="1">
      <alignment horizontal="left" vertical="top" wrapText="1"/>
    </xf>
    <xf numFmtId="0" fontId="31" fillId="7" borderId="0" xfId="131" applyFont="1" applyFill="1" applyAlignment="1" applyProtection="1">
      <alignment horizontal="left"/>
      <protection locked="0"/>
    </xf>
    <xf numFmtId="0" fontId="32" fillId="0" borderId="17" xfId="5" applyFont="1" applyFill="1" applyBorder="1" applyAlignment="1">
      <alignment horizontal="left" vertical="center" wrapText="1"/>
    </xf>
    <xf numFmtId="0" fontId="34" fillId="0" borderId="0" xfId="7" applyFont="1" applyFill="1" applyBorder="1" applyAlignment="1">
      <alignment horizontal="center" vertical="center" wrapText="1"/>
    </xf>
    <xf numFmtId="0" fontId="36" fillId="0" borderId="3" xfId="5" applyFont="1" applyFill="1" applyBorder="1" applyAlignment="1">
      <alignment horizontal="left" vertical="center"/>
    </xf>
    <xf numFmtId="0" fontId="42" fillId="0" borderId="17" xfId="5" applyFont="1" applyFill="1" applyBorder="1" applyAlignment="1">
      <alignment horizontal="left" vertical="center" wrapText="1"/>
    </xf>
    <xf numFmtId="0" fontId="32" fillId="0" borderId="3" xfId="5" applyFont="1" applyFill="1" applyBorder="1" applyAlignment="1">
      <alignment horizontal="left" vertical="center"/>
    </xf>
    <xf numFmtId="0" fontId="44" fillId="0" borderId="12" xfId="5" applyFont="1" applyFill="1" applyBorder="1" applyAlignment="1">
      <alignment horizontal="center" vertical="center" wrapText="1"/>
    </xf>
    <xf numFmtId="0" fontId="46" fillId="0" borderId="0" xfId="131" applyFont="1" applyAlignment="1" applyProtection="1">
      <alignment horizontal="center" vertical="center"/>
      <protection locked="0"/>
    </xf>
    <xf numFmtId="0" fontId="46" fillId="0" borderId="17" xfId="131" applyFont="1" applyBorder="1" applyAlignment="1" applyProtection="1">
      <alignment horizontal="center" vertical="center"/>
      <protection locked="0"/>
    </xf>
    <xf numFmtId="0" fontId="47" fillId="8" borderId="0" xfId="131" applyFont="1" applyFill="1" applyAlignment="1" applyProtection="1">
      <alignment horizontal="center" vertical="center" wrapText="1"/>
      <protection locked="0"/>
    </xf>
    <xf numFmtId="0" fontId="47" fillId="8" borderId="17" xfId="131" applyFont="1" applyFill="1" applyBorder="1" applyAlignment="1" applyProtection="1">
      <alignment horizontal="center" vertical="center" wrapText="1"/>
      <protection locked="0"/>
    </xf>
    <xf numFmtId="0" fontId="48" fillId="9" borderId="1" xfId="55" applyFont="1" applyFill="1" applyBorder="1" applyAlignment="1">
      <alignment horizontal="center" vertical="center" wrapText="1"/>
    </xf>
    <xf numFmtId="0" fontId="51" fillId="10" borderId="1" xfId="55" applyFont="1" applyFill="1" applyBorder="1"/>
    <xf numFmtId="0" fontId="49" fillId="10" borderId="1" xfId="131" applyFont="1" applyFill="1" applyBorder="1" applyAlignment="1" applyProtection="1">
      <alignment horizontal="center" vertical="center" wrapText="1"/>
    </xf>
    <xf numFmtId="0" fontId="49" fillId="10" borderId="7" xfId="131" applyFont="1" applyFill="1" applyBorder="1" applyAlignment="1" applyProtection="1">
      <alignment horizontal="center" vertical="center" wrapText="1"/>
    </xf>
    <xf numFmtId="0" fontId="49" fillId="10" borderId="1" xfId="131" applyFont="1" applyFill="1" applyBorder="1" applyAlignment="1" applyProtection="1">
      <alignment horizontal="center" vertical="center" wrapText="1"/>
      <protection locked="0"/>
    </xf>
    <xf numFmtId="0" fontId="49" fillId="10" borderId="7" xfId="131" applyFont="1" applyFill="1" applyBorder="1" applyAlignment="1" applyProtection="1">
      <alignment horizontal="center" vertical="center" wrapText="1"/>
      <protection locked="0"/>
    </xf>
    <xf numFmtId="0" fontId="49" fillId="10" borderId="1" xfId="131" applyFont="1" applyFill="1" applyBorder="1" applyAlignment="1" applyProtection="1">
      <alignment horizontal="center" vertical="center"/>
      <protection locked="0"/>
    </xf>
    <xf numFmtId="0" fontId="50" fillId="10" borderId="7" xfId="131" applyFont="1" applyFill="1" applyBorder="1" applyAlignment="1" applyProtection="1">
      <alignment horizontal="center" vertical="center" wrapText="1"/>
      <protection locked="0"/>
    </xf>
    <xf numFmtId="0" fontId="50" fillId="10" borderId="14" xfId="131" applyFont="1" applyFill="1" applyBorder="1" applyAlignment="1" applyProtection="1">
      <alignment horizontal="center" vertical="center" wrapText="1"/>
      <protection locked="0"/>
    </xf>
    <xf numFmtId="0" fontId="50" fillId="10" borderId="9" xfId="131" applyFont="1" applyFill="1" applyBorder="1" applyAlignment="1" applyProtection="1">
      <alignment horizontal="center" vertical="center" wrapText="1"/>
      <protection locked="0"/>
    </xf>
    <xf numFmtId="0" fontId="53" fillId="11" borderId="20" xfId="55" applyFont="1" applyFill="1" applyBorder="1" applyAlignment="1">
      <alignment horizontal="center" vertical="center" wrapText="1"/>
    </xf>
    <xf numFmtId="0" fontId="56" fillId="0" borderId="27" xfId="55" applyFont="1" applyBorder="1"/>
    <xf numFmtId="0" fontId="58" fillId="0" borderId="12" xfId="131" applyFont="1" applyFill="1" applyBorder="1" applyAlignment="1" applyProtection="1">
      <alignment horizontal="center" vertical="center" wrapText="1"/>
    </xf>
    <xf numFmtId="0" fontId="58" fillId="0" borderId="10" xfId="131" applyFont="1" applyFill="1" applyBorder="1" applyAlignment="1" applyProtection="1">
      <alignment horizontal="center" vertical="center" wrapText="1"/>
    </xf>
    <xf numFmtId="0" fontId="58" fillId="0" borderId="11" xfId="131" applyFont="1" applyFill="1" applyBorder="1" applyAlignment="1" applyProtection="1">
      <alignment horizontal="center" vertical="center" wrapText="1"/>
    </xf>
    <xf numFmtId="0" fontId="58" fillId="2" borderId="12" xfId="131" applyFont="1" applyFill="1" applyBorder="1" applyAlignment="1" applyProtection="1">
      <alignment horizontal="center" vertical="center" wrapText="1"/>
    </xf>
    <xf numFmtId="0" fontId="58" fillId="0" borderId="16" xfId="131" applyFont="1" applyFill="1" applyBorder="1" applyAlignment="1" applyProtection="1">
      <alignment horizontal="center" vertical="center" wrapText="1"/>
    </xf>
    <xf numFmtId="0" fontId="48" fillId="11" borderId="18" xfId="55" applyFont="1" applyFill="1" applyBorder="1" applyAlignment="1">
      <alignment horizontal="center" vertical="center" wrapText="1"/>
    </xf>
    <xf numFmtId="0" fontId="51" fillId="0" borderId="19" xfId="55" applyFont="1" applyBorder="1"/>
    <xf numFmtId="0" fontId="51" fillId="0" borderId="20" xfId="55" applyFont="1" applyBorder="1"/>
    <xf numFmtId="0" fontId="51" fillId="0" borderId="22" xfId="55" applyFont="1" applyBorder="1"/>
    <xf numFmtId="0" fontId="54" fillId="0" borderId="0" xfId="55" applyFont="1" applyAlignment="1"/>
    <xf numFmtId="0" fontId="51" fillId="0" borderId="23" xfId="55" applyFont="1" applyBorder="1"/>
    <xf numFmtId="0" fontId="51" fillId="0" borderId="25" xfId="55" applyFont="1" applyBorder="1"/>
    <xf numFmtId="0" fontId="51" fillId="0" borderId="26" xfId="55" applyFont="1" applyBorder="1"/>
    <xf numFmtId="0" fontId="51" fillId="0" borderId="27" xfId="55" applyFont="1" applyBorder="1"/>
    <xf numFmtId="0" fontId="60" fillId="14" borderId="8" xfId="131" applyFont="1" applyFill="1" applyBorder="1" applyAlignment="1" applyProtection="1">
      <alignment horizontal="center" vertical="center" wrapText="1"/>
      <protection locked="0"/>
    </xf>
    <xf numFmtId="0" fontId="60" fillId="14" borderId="3" xfId="131" applyFont="1" applyFill="1" applyBorder="1" applyAlignment="1" applyProtection="1">
      <alignment horizontal="center" vertical="center" wrapText="1"/>
      <protection locked="0"/>
    </xf>
    <xf numFmtId="0" fontId="60" fillId="14" borderId="29" xfId="131" applyFont="1" applyFill="1" applyBorder="1" applyAlignment="1" applyProtection="1">
      <alignment horizontal="center" vertical="center" wrapText="1"/>
      <protection locked="0"/>
    </xf>
    <xf numFmtId="0" fontId="52" fillId="12" borderId="21" xfId="55" applyFont="1" applyFill="1" applyBorder="1" applyAlignment="1">
      <alignment horizontal="center" vertical="center" wrapText="1"/>
    </xf>
    <xf numFmtId="0" fontId="55" fillId="0" borderId="24" xfId="55" applyFont="1" applyBorder="1"/>
    <xf numFmtId="0" fontId="55" fillId="0" borderId="28" xfId="55" applyFont="1" applyBorder="1"/>
    <xf numFmtId="0" fontId="53" fillId="11" borderId="21" xfId="55" applyFont="1" applyFill="1" applyBorder="1" applyAlignment="1">
      <alignment horizontal="center" vertical="center" wrapText="1"/>
    </xf>
    <xf numFmtId="0" fontId="56" fillId="0" borderId="24" xfId="55" applyFont="1" applyBorder="1"/>
    <xf numFmtId="0" fontId="56" fillId="0" borderId="28" xfId="55" applyFont="1" applyBorder="1"/>
    <xf numFmtId="0" fontId="58" fillId="6" borderId="12" xfId="131" applyFont="1" applyFill="1" applyBorder="1" applyAlignment="1" applyProtection="1">
      <alignment horizontal="center" vertical="top" wrapText="1"/>
    </xf>
    <xf numFmtId="0" fontId="60" fillId="14" borderId="1" xfId="131" applyFont="1" applyFill="1" applyBorder="1" applyAlignment="1" applyProtection="1">
      <alignment horizontal="center" vertical="center" wrapText="1"/>
      <protection locked="0"/>
    </xf>
    <xf numFmtId="3" fontId="58" fillId="0" borderId="16" xfId="131" applyNumberFormat="1" applyFont="1" applyFill="1" applyBorder="1" applyAlignment="1" applyProtection="1">
      <alignment horizontal="center" vertical="center" wrapText="1"/>
    </xf>
    <xf numFmtId="0" fontId="58" fillId="6" borderId="12" xfId="131" applyFont="1" applyFill="1" applyBorder="1" applyAlignment="1" applyProtection="1">
      <alignment horizontal="center" vertical="center" wrapText="1"/>
    </xf>
    <xf numFmtId="0" fontId="60" fillId="14" borderId="33" xfId="131" applyFont="1" applyFill="1" applyBorder="1" applyAlignment="1" applyProtection="1">
      <alignment horizontal="center" vertical="center" wrapText="1"/>
      <protection locked="0"/>
    </xf>
    <xf numFmtId="0" fontId="60" fillId="14" borderId="34" xfId="131" applyFont="1" applyFill="1" applyBorder="1" applyAlignment="1" applyProtection="1">
      <alignment horizontal="center" vertical="center" wrapText="1"/>
      <protection locked="0"/>
    </xf>
    <xf numFmtId="0" fontId="60" fillId="14" borderId="35" xfId="131" applyFont="1" applyFill="1" applyBorder="1" applyAlignment="1" applyProtection="1">
      <alignment horizontal="center" vertical="center" wrapText="1"/>
      <protection locked="0"/>
    </xf>
    <xf numFmtId="3" fontId="58" fillId="0" borderId="12" xfId="131" applyNumberFormat="1" applyFont="1" applyFill="1" applyBorder="1" applyAlignment="1" applyProtection="1">
      <alignment horizontal="center" vertical="center" wrapText="1"/>
    </xf>
    <xf numFmtId="0" fontId="63" fillId="0" borderId="0" xfId="132" applyFont="1" applyBorder="1" applyAlignment="1">
      <alignment horizontal="center" vertical="center" wrapText="1"/>
    </xf>
    <xf numFmtId="0" fontId="64" fillId="0" borderId="0" xfId="132" applyFont="1" applyBorder="1" applyAlignment="1">
      <alignment horizontal="center"/>
    </xf>
    <xf numFmtId="0" fontId="36" fillId="0" borderId="3" xfId="132" applyFont="1" applyBorder="1" applyAlignment="1">
      <alignment horizontal="center" vertical="center" wrapText="1"/>
    </xf>
    <xf numFmtId="0" fontId="36" fillId="0" borderId="3" xfId="132" applyFont="1" applyBorder="1" applyAlignment="1">
      <alignment horizontal="center" vertical="center"/>
    </xf>
    <xf numFmtId="0" fontId="47" fillId="7" borderId="0" xfId="140" applyFont="1" applyFill="1" applyAlignment="1" applyProtection="1">
      <alignment horizontal="left"/>
      <protection locked="0"/>
    </xf>
    <xf numFmtId="0" fontId="68" fillId="0" borderId="41" xfId="5" applyFont="1" applyFill="1" applyBorder="1" applyAlignment="1">
      <alignment horizontal="center" vertical="center" wrapText="1"/>
    </xf>
    <xf numFmtId="0" fontId="68" fillId="0" borderId="42" xfId="5" applyFont="1" applyFill="1" applyBorder="1" applyAlignment="1">
      <alignment horizontal="center" vertical="center" wrapText="1"/>
    </xf>
    <xf numFmtId="0" fontId="65" fillId="3" borderId="10" xfId="141" applyFont="1" applyFill="1" applyBorder="1" applyAlignment="1" applyProtection="1">
      <alignment horizontal="center" vertical="center"/>
      <protection locked="0"/>
    </xf>
    <xf numFmtId="0" fontId="65" fillId="3" borderId="11" xfId="141" applyFont="1" applyFill="1" applyBorder="1" applyAlignment="1" applyProtection="1">
      <alignment horizontal="center" vertical="center"/>
      <protection locked="0"/>
    </xf>
    <xf numFmtId="0" fontId="47" fillId="7" borderId="0" xfId="140" applyFont="1" applyFill="1" applyAlignment="1" applyProtection="1">
      <alignment horizontal="center" vertical="center" wrapText="1"/>
      <protection locked="0"/>
    </xf>
    <xf numFmtId="0" fontId="47" fillId="7" borderId="26" xfId="140" applyFont="1" applyFill="1" applyBorder="1" applyAlignment="1" applyProtection="1">
      <alignment horizontal="center" vertical="center" wrapText="1"/>
      <protection locked="0"/>
    </xf>
    <xf numFmtId="0" fontId="71" fillId="9" borderId="21" xfId="19" applyFont="1" applyFill="1" applyBorder="1" applyAlignment="1">
      <alignment horizontal="center" vertical="center" wrapText="1"/>
    </xf>
    <xf numFmtId="0" fontId="56" fillId="10" borderId="24" xfId="19" applyFont="1" applyFill="1" applyBorder="1"/>
    <xf numFmtId="0" fontId="71" fillId="9" borderId="18" xfId="19" applyFont="1" applyFill="1" applyBorder="1" applyAlignment="1">
      <alignment horizontal="center" vertical="center" wrapText="1"/>
    </xf>
    <xf numFmtId="0" fontId="71" fillId="9" borderId="20" xfId="19" applyFont="1" applyFill="1" applyBorder="1" applyAlignment="1">
      <alignment horizontal="center" vertical="center" wrapText="1"/>
    </xf>
    <xf numFmtId="0" fontId="71" fillId="9" borderId="22" xfId="19" applyFont="1" applyFill="1" applyBorder="1" applyAlignment="1">
      <alignment horizontal="center" vertical="center" wrapText="1"/>
    </xf>
    <xf numFmtId="0" fontId="71" fillId="9" borderId="23" xfId="19" applyFont="1" applyFill="1" applyBorder="1" applyAlignment="1">
      <alignment horizontal="center" vertical="center" wrapText="1"/>
    </xf>
    <xf numFmtId="0" fontId="71" fillId="9" borderId="38" xfId="19" applyFont="1" applyFill="1" applyBorder="1" applyAlignment="1">
      <alignment horizontal="center" vertical="center" wrapText="1"/>
    </xf>
    <xf numFmtId="0" fontId="71" fillId="9" borderId="39" xfId="19" applyFont="1" applyFill="1" applyBorder="1" applyAlignment="1">
      <alignment horizontal="center" vertical="center" wrapText="1"/>
    </xf>
    <xf numFmtId="0" fontId="71" fillId="9" borderId="37" xfId="19" applyFont="1" applyFill="1" applyBorder="1" applyAlignment="1">
      <alignment horizontal="center" vertical="center"/>
    </xf>
    <xf numFmtId="0" fontId="56" fillId="10" borderId="31" xfId="19" applyFont="1" applyFill="1" applyBorder="1"/>
    <xf numFmtId="0" fontId="56" fillId="10" borderId="28" xfId="19" applyFont="1" applyFill="1" applyBorder="1"/>
    <xf numFmtId="0" fontId="53" fillId="11" borderId="18" xfId="19" applyFont="1" applyFill="1" applyBorder="1" applyAlignment="1">
      <alignment horizontal="center" vertical="center" wrapText="1"/>
    </xf>
    <xf numFmtId="0" fontId="56" fillId="0" borderId="19" xfId="19" applyFont="1" applyBorder="1"/>
    <xf numFmtId="0" fontId="56" fillId="0" borderId="20" xfId="19" applyFont="1" applyBorder="1"/>
    <xf numFmtId="0" fontId="56" fillId="0" borderId="22" xfId="19" applyFont="1" applyBorder="1"/>
    <xf numFmtId="0" fontId="29" fillId="0" borderId="0" xfId="19" applyFont="1" applyAlignment="1"/>
    <xf numFmtId="0" fontId="56" fillId="0" borderId="23" xfId="19" applyFont="1" applyBorder="1"/>
    <xf numFmtId="0" fontId="56" fillId="0" borderId="25" xfId="19" applyFont="1" applyBorder="1"/>
    <xf numFmtId="0" fontId="56" fillId="0" borderId="26" xfId="19" applyFont="1" applyBorder="1"/>
    <xf numFmtId="0" fontId="56" fillId="0" borderId="27" xfId="19" applyFont="1" applyBorder="1"/>
    <xf numFmtId="0" fontId="58" fillId="0" borderId="1" xfId="140" applyFont="1" applyFill="1" applyBorder="1" applyAlignment="1" applyProtection="1">
      <alignment horizontal="center" vertical="center" wrapText="1"/>
    </xf>
    <xf numFmtId="3" fontId="58" fillId="0" borderId="1" xfId="140" applyNumberFormat="1" applyFont="1" applyFill="1" applyBorder="1" applyAlignment="1" applyProtection="1">
      <alignment horizontal="center" vertical="center" wrapText="1"/>
    </xf>
    <xf numFmtId="0" fontId="48" fillId="11" borderId="18" xfId="19" applyFont="1" applyFill="1" applyBorder="1" applyAlignment="1">
      <alignment horizontal="center" vertical="center" wrapText="1"/>
    </xf>
    <xf numFmtId="0" fontId="51" fillId="0" borderId="19" xfId="19" applyFont="1" applyBorder="1"/>
    <xf numFmtId="0" fontId="51" fillId="0" borderId="20" xfId="19" applyFont="1" applyBorder="1"/>
    <xf numFmtId="0" fontId="51" fillId="0" borderId="22" xfId="19" applyFont="1" applyBorder="1"/>
    <xf numFmtId="0" fontId="54" fillId="0" borderId="0" xfId="19" applyFont="1" applyAlignment="1"/>
    <xf numFmtId="0" fontId="51" fillId="0" borderId="23" xfId="19" applyFont="1" applyBorder="1"/>
    <xf numFmtId="0" fontId="51" fillId="0" borderId="25" xfId="19" applyFont="1" applyBorder="1"/>
    <xf numFmtId="0" fontId="51" fillId="0" borderId="26" xfId="19" applyFont="1" applyBorder="1"/>
    <xf numFmtId="0" fontId="51" fillId="0" borderId="27" xfId="19" applyFont="1" applyBorder="1"/>
    <xf numFmtId="0" fontId="79" fillId="16" borderId="37" xfId="19" applyFont="1" applyFill="1" applyBorder="1" applyAlignment="1">
      <alignment horizontal="center" vertical="center" wrapText="1"/>
    </xf>
    <xf numFmtId="0" fontId="80" fillId="0" borderId="36" xfId="19" applyFont="1" applyBorder="1"/>
    <xf numFmtId="0" fontId="80" fillId="0" borderId="31" xfId="19" applyFont="1" applyBorder="1"/>
    <xf numFmtId="0" fontId="58" fillId="3" borderId="1" xfId="140" applyFont="1" applyFill="1" applyBorder="1" applyAlignment="1" applyProtection="1">
      <alignment horizontal="center" vertical="center" wrapText="1"/>
    </xf>
    <xf numFmtId="3" fontId="58" fillId="0" borderId="48" xfId="140" applyNumberFormat="1" applyFont="1" applyFill="1" applyBorder="1" applyAlignment="1" applyProtection="1">
      <alignment horizontal="center" vertical="center" wrapText="1"/>
    </xf>
    <xf numFmtId="0" fontId="58" fillId="0" borderId="48" xfId="140" applyFont="1" applyFill="1" applyBorder="1" applyAlignment="1" applyProtection="1">
      <alignment horizontal="center" vertical="center" wrapText="1"/>
    </xf>
    <xf numFmtId="0" fontId="34" fillId="12" borderId="21" xfId="19" applyFont="1" applyFill="1" applyBorder="1" applyAlignment="1">
      <alignment horizontal="center" vertical="center" wrapText="1"/>
    </xf>
    <xf numFmtId="0" fontId="96" fillId="0" borderId="24" xfId="19" applyFont="1" applyBorder="1"/>
    <xf numFmtId="0" fontId="96" fillId="0" borderId="28" xfId="19" applyFont="1" applyBorder="1"/>
    <xf numFmtId="0" fontId="53" fillId="11" borderId="21" xfId="19" applyFont="1" applyFill="1" applyBorder="1" applyAlignment="1">
      <alignment horizontal="center" vertical="center" wrapText="1"/>
    </xf>
    <xf numFmtId="0" fontId="56" fillId="0" borderId="24" xfId="19" applyFont="1" applyBorder="1"/>
    <xf numFmtId="0" fontId="56" fillId="0" borderId="28" xfId="19" applyFont="1" applyBorder="1"/>
    <xf numFmtId="0" fontId="58" fillId="0" borderId="7" xfId="140" applyFont="1" applyFill="1" applyBorder="1" applyAlignment="1" applyProtection="1">
      <alignment horizontal="center" vertical="center" wrapText="1"/>
    </xf>
    <xf numFmtId="0" fontId="58" fillId="0" borderId="9" xfId="140" applyFont="1" applyFill="1" applyBorder="1" applyAlignment="1" applyProtection="1">
      <alignment horizontal="center" vertical="center" wrapText="1"/>
    </xf>
    <xf numFmtId="0" fontId="58" fillId="0" borderId="8" xfId="140" applyFont="1" applyFill="1" applyBorder="1" applyAlignment="1" applyProtection="1">
      <alignment horizontal="center" vertical="center" wrapText="1"/>
    </xf>
    <xf numFmtId="0" fontId="58" fillId="0" borderId="29" xfId="140" applyFont="1" applyFill="1" applyBorder="1" applyAlignment="1" applyProtection="1">
      <alignment horizontal="center" vertical="center" wrapText="1"/>
    </xf>
    <xf numFmtId="0" fontId="58" fillId="0" borderId="15" xfId="140" applyFont="1" applyFill="1" applyBorder="1" applyAlignment="1" applyProtection="1">
      <alignment horizontal="center" vertical="center" wrapText="1"/>
    </xf>
    <xf numFmtId="0" fontId="58" fillId="0" borderId="40" xfId="140" applyFont="1" applyFill="1" applyBorder="1" applyAlignment="1" applyProtection="1">
      <alignment horizontal="center" vertical="center" wrapText="1"/>
    </xf>
    <xf numFmtId="0" fontId="58" fillId="0" borderId="7" xfId="140" applyFont="1" applyFill="1" applyBorder="1" applyAlignment="1" applyProtection="1">
      <alignment horizontal="center" vertical="top" wrapText="1"/>
    </xf>
    <xf numFmtId="0" fontId="58" fillId="0" borderId="9" xfId="140" applyFont="1" applyFill="1" applyBorder="1" applyAlignment="1" applyProtection="1">
      <alignment horizontal="center" vertical="top" wrapText="1"/>
    </xf>
    <xf numFmtId="0" fontId="58" fillId="3" borderId="9" xfId="140" applyFont="1" applyFill="1" applyBorder="1" applyAlignment="1" applyProtection="1">
      <alignment horizontal="center" vertical="center" wrapText="1"/>
    </xf>
    <xf numFmtId="0" fontId="58" fillId="0" borderId="50" xfId="140" applyFont="1" applyFill="1" applyBorder="1" applyAlignment="1" applyProtection="1">
      <alignment horizontal="center" vertical="center" wrapText="1"/>
    </xf>
    <xf numFmtId="3" fontId="58" fillId="0" borderId="50" xfId="140" applyNumberFormat="1" applyFont="1" applyFill="1" applyBorder="1" applyAlignment="1" applyProtection="1">
      <alignment horizontal="center" vertical="center" wrapText="1"/>
    </xf>
    <xf numFmtId="0" fontId="58" fillId="3" borderId="7" xfId="140" applyFont="1" applyFill="1" applyBorder="1" applyAlignment="1" applyProtection="1">
      <alignment horizontal="center" vertical="center" wrapText="1"/>
    </xf>
    <xf numFmtId="3" fontId="58" fillId="0" borderId="49" xfId="140" applyNumberFormat="1" applyFont="1" applyFill="1" applyBorder="1" applyAlignment="1" applyProtection="1">
      <alignment horizontal="center" vertical="center" wrapText="1"/>
    </xf>
    <xf numFmtId="0" fontId="36" fillId="0" borderId="3" xfId="142" applyFont="1" applyBorder="1" applyAlignment="1">
      <alignment horizontal="center" vertical="top" wrapText="1"/>
    </xf>
    <xf numFmtId="0" fontId="79" fillId="16" borderId="36" xfId="19" applyFont="1" applyFill="1" applyBorder="1" applyAlignment="1">
      <alignment horizontal="center" vertical="center" wrapText="1"/>
    </xf>
    <xf numFmtId="0" fontId="79" fillId="16" borderId="51" xfId="19" applyFont="1" applyFill="1" applyBorder="1" applyAlignment="1">
      <alignment horizontal="center" vertical="center" wrapText="1"/>
    </xf>
    <xf numFmtId="0" fontId="80" fillId="0" borderId="52" xfId="19" applyFont="1" applyBorder="1"/>
    <xf numFmtId="0" fontId="80" fillId="0" borderId="53" xfId="19" applyFont="1" applyBorder="1"/>
    <xf numFmtId="0" fontId="36" fillId="0" borderId="3" xfId="142" applyFont="1" applyBorder="1" applyAlignment="1">
      <alignment horizontal="center" wrapText="1"/>
    </xf>
    <xf numFmtId="0" fontId="91" fillId="0" borderId="17" xfId="140" applyFont="1" applyBorder="1" applyAlignment="1" applyProtection="1">
      <alignment horizontal="center"/>
      <protection locked="0"/>
    </xf>
    <xf numFmtId="0" fontId="47" fillId="7" borderId="0" xfId="143" applyFont="1" applyFill="1" applyAlignment="1" applyProtection="1">
      <alignment horizontal="left"/>
      <protection locked="0"/>
    </xf>
    <xf numFmtId="0" fontId="32" fillId="0" borderId="17" xfId="5" applyFont="1" applyBorder="1" applyAlignment="1">
      <alignment horizontal="left" vertical="center" wrapText="1"/>
    </xf>
    <xf numFmtId="0" fontId="36" fillId="0" borderId="3" xfId="5" applyFont="1" applyBorder="1" applyAlignment="1">
      <alignment horizontal="left" vertical="center"/>
    </xf>
    <xf numFmtId="0" fontId="44" fillId="0" borderId="12" xfId="5" applyFont="1" applyBorder="1" applyAlignment="1">
      <alignment horizontal="center" vertical="center" wrapText="1"/>
    </xf>
    <xf numFmtId="0" fontId="80" fillId="0" borderId="17" xfId="5" applyFont="1" applyBorder="1" applyAlignment="1">
      <alignment horizontal="left" vertical="center" wrapText="1"/>
    </xf>
    <xf numFmtId="0" fontId="47" fillId="8" borderId="0" xfId="143" applyFont="1" applyFill="1" applyAlignment="1" applyProtection="1">
      <alignment horizontal="center" vertical="center" wrapText="1"/>
      <protection locked="0"/>
    </xf>
    <xf numFmtId="0" fontId="47" fillId="8" borderId="17" xfId="143" applyFont="1" applyFill="1" applyBorder="1" applyAlignment="1" applyProtection="1">
      <alignment horizontal="center" vertical="center" wrapText="1"/>
      <protection locked="0"/>
    </xf>
    <xf numFmtId="0" fontId="48" fillId="9" borderId="8" xfId="55" applyFont="1" applyFill="1" applyBorder="1" applyAlignment="1">
      <alignment horizontal="center" vertical="center" wrapText="1"/>
    </xf>
    <xf numFmtId="0" fontId="48" fillId="9" borderId="29" xfId="55" applyFont="1" applyFill="1" applyBorder="1" applyAlignment="1">
      <alignment horizontal="center" vertical="center" wrapText="1"/>
    </xf>
    <xf numFmtId="0" fontId="48" fillId="9" borderId="55" xfId="55" applyFont="1" applyFill="1" applyBorder="1" applyAlignment="1">
      <alignment horizontal="center" vertical="center" wrapText="1"/>
    </xf>
    <xf numFmtId="0" fontId="48" fillId="9" borderId="56" xfId="55" applyFont="1" applyFill="1" applyBorder="1" applyAlignment="1">
      <alignment horizontal="center" vertical="center" wrapText="1"/>
    </xf>
    <xf numFmtId="0" fontId="48" fillId="9" borderId="15" xfId="55" applyFont="1" applyFill="1" applyBorder="1" applyAlignment="1">
      <alignment horizontal="center" vertical="center" wrapText="1"/>
    </xf>
    <xf numFmtId="0" fontId="48" fillId="9" borderId="40" xfId="55" applyFont="1" applyFill="1" applyBorder="1" applyAlignment="1">
      <alignment horizontal="center" vertical="center" wrapText="1"/>
    </xf>
    <xf numFmtId="0" fontId="49" fillId="10" borderId="1" xfId="144" applyFont="1" applyFill="1" applyBorder="1" applyAlignment="1" applyProtection="1">
      <alignment horizontal="center" vertical="center"/>
      <protection locked="0"/>
    </xf>
    <xf numFmtId="0" fontId="50" fillId="10" borderId="7" xfId="144" applyFont="1" applyFill="1" applyBorder="1" applyAlignment="1" applyProtection="1">
      <alignment horizontal="center" vertical="center" wrapText="1"/>
      <protection locked="0"/>
    </xf>
    <xf numFmtId="0" fontId="50" fillId="10" borderId="14" xfId="144" applyFont="1" applyFill="1" applyBorder="1" applyAlignment="1" applyProtection="1">
      <alignment horizontal="center" vertical="center" wrapText="1"/>
      <protection locked="0"/>
    </xf>
    <xf numFmtId="0" fontId="50" fillId="10" borderId="9" xfId="144" applyFont="1" applyFill="1" applyBorder="1" applyAlignment="1" applyProtection="1">
      <alignment horizontal="center" vertical="center" wrapText="1"/>
      <protection locked="0"/>
    </xf>
    <xf numFmtId="0" fontId="65" fillId="4" borderId="7" xfId="143" applyFont="1" applyFill="1" applyBorder="1" applyAlignment="1" applyProtection="1">
      <alignment horizontal="center" vertical="center" wrapText="1"/>
      <protection locked="0"/>
    </xf>
    <xf numFmtId="0" fontId="65" fillId="4" borderId="14" xfId="143" applyFont="1" applyFill="1" applyBorder="1" applyAlignment="1" applyProtection="1">
      <alignment horizontal="center" vertical="center" wrapText="1"/>
      <protection locked="0"/>
    </xf>
    <xf numFmtId="0" fontId="65" fillId="4" borderId="9" xfId="143" applyFont="1" applyFill="1" applyBorder="1" applyAlignment="1" applyProtection="1">
      <alignment horizontal="center" vertical="center" wrapText="1"/>
      <protection locked="0"/>
    </xf>
    <xf numFmtId="0" fontId="58" fillId="0" borderId="1" xfId="143" applyFont="1" applyBorder="1" applyAlignment="1">
      <alignment horizontal="center" vertical="center" wrapText="1"/>
    </xf>
    <xf numFmtId="3" fontId="58" fillId="0" borderId="1" xfId="143" applyNumberFormat="1" applyFont="1" applyBorder="1" applyAlignment="1">
      <alignment horizontal="center" vertical="center" wrapText="1"/>
    </xf>
    <xf numFmtId="0" fontId="49" fillId="10" borderId="1" xfId="144" applyFont="1" applyFill="1" applyBorder="1" applyAlignment="1" applyProtection="1">
      <alignment horizontal="center" vertical="center" wrapText="1"/>
      <protection locked="0"/>
    </xf>
    <xf numFmtId="0" fontId="49" fillId="10" borderId="7" xfId="144" applyFont="1" applyFill="1" applyBorder="1" applyAlignment="1" applyProtection="1">
      <alignment horizontal="center" vertical="center" wrapText="1"/>
      <protection locked="0"/>
    </xf>
    <xf numFmtId="0" fontId="60" fillId="14" borderId="33" xfId="144" applyFont="1" applyFill="1" applyBorder="1" applyAlignment="1" applyProtection="1">
      <alignment horizontal="center" vertical="center" wrapText="1"/>
      <protection locked="0"/>
    </xf>
    <xf numFmtId="0" fontId="60" fillId="14" borderId="34" xfId="144" applyFont="1" applyFill="1" applyBorder="1" applyAlignment="1" applyProtection="1">
      <alignment horizontal="center" vertical="center" wrapText="1"/>
      <protection locked="0"/>
    </xf>
    <xf numFmtId="0" fontId="60" fillId="14" borderId="35" xfId="144" applyFont="1" applyFill="1" applyBorder="1" applyAlignment="1" applyProtection="1">
      <alignment horizontal="center" vertical="center" wrapText="1"/>
      <protection locked="0"/>
    </xf>
    <xf numFmtId="0" fontId="58" fillId="0" borderId="7" xfId="143" applyFont="1" applyBorder="1" applyAlignment="1">
      <alignment horizontal="center" vertical="center" wrapText="1"/>
    </xf>
    <xf numFmtId="0" fontId="58" fillId="0" borderId="9" xfId="143" applyFont="1" applyBorder="1" applyAlignment="1">
      <alignment horizontal="center" vertical="center" wrapText="1"/>
    </xf>
    <xf numFmtId="0" fontId="58" fillId="0" borderId="8" xfId="143" applyFont="1" applyBorder="1" applyAlignment="1">
      <alignment horizontal="center" vertical="center" wrapText="1"/>
    </xf>
    <xf numFmtId="0" fontId="58" fillId="0" borderId="29" xfId="143" applyFont="1" applyBorder="1" applyAlignment="1">
      <alignment horizontal="center" vertical="center" wrapText="1"/>
    </xf>
    <xf numFmtId="0" fontId="58" fillId="0" borderId="15" xfId="143" applyFont="1" applyBorder="1" applyAlignment="1">
      <alignment horizontal="center" vertical="center" wrapText="1"/>
    </xf>
    <xf numFmtId="0" fontId="58" fillId="0" borderId="40" xfId="143" applyFont="1" applyBorder="1" applyAlignment="1">
      <alignment horizontal="center" vertical="center" wrapText="1"/>
    </xf>
    <xf numFmtId="0" fontId="58" fillId="6" borderId="1" xfId="143" applyFont="1" applyFill="1" applyBorder="1" applyAlignment="1">
      <alignment horizontal="center" vertical="center" wrapText="1"/>
    </xf>
    <xf numFmtId="3" fontId="58" fillId="0" borderId="48" xfId="143" applyNumberFormat="1" applyFont="1" applyBorder="1" applyAlignment="1">
      <alignment horizontal="center" vertical="center" wrapText="1"/>
    </xf>
    <xf numFmtId="0" fontId="58" fillId="0" borderId="48" xfId="143" applyFont="1" applyBorder="1" applyAlignment="1">
      <alignment horizontal="center" vertical="center" wrapText="1"/>
    </xf>
    <xf numFmtId="0" fontId="58" fillId="2" borderId="1" xfId="143" applyFont="1" applyFill="1" applyBorder="1" applyAlignment="1">
      <alignment horizontal="center" vertical="center" wrapText="1"/>
    </xf>
    <xf numFmtId="0" fontId="58" fillId="2" borderId="9" xfId="143" applyFont="1" applyFill="1" applyBorder="1" applyAlignment="1">
      <alignment horizontal="center" vertical="center" wrapText="1"/>
    </xf>
    <xf numFmtId="3" fontId="58" fillId="0" borderId="50" xfId="143" applyNumberFormat="1" applyFont="1" applyBorder="1" applyAlignment="1">
      <alignment horizontal="center" vertical="center" wrapText="1"/>
    </xf>
    <xf numFmtId="0" fontId="60" fillId="14" borderId="8" xfId="144" applyFont="1" applyFill="1" applyBorder="1" applyAlignment="1" applyProtection="1">
      <alignment horizontal="center" vertical="center" wrapText="1"/>
      <protection locked="0"/>
    </xf>
    <xf numFmtId="0" fontId="60" fillId="14" borderId="3" xfId="144" applyFont="1" applyFill="1" applyBorder="1" applyAlignment="1" applyProtection="1">
      <alignment horizontal="center" vertical="center" wrapText="1"/>
      <protection locked="0"/>
    </xf>
    <xf numFmtId="0" fontId="60" fillId="14" borderId="29" xfId="144" applyFont="1" applyFill="1" applyBorder="1" applyAlignment="1" applyProtection="1">
      <alignment horizontal="center" vertical="center" wrapText="1"/>
      <protection locked="0"/>
    </xf>
    <xf numFmtId="0" fontId="58" fillId="6" borderId="7" xfId="143" applyFont="1" applyFill="1" applyBorder="1" applyAlignment="1">
      <alignment horizontal="center" vertical="center" wrapText="1"/>
    </xf>
    <xf numFmtId="0" fontId="58" fillId="6" borderId="9" xfId="143" applyFont="1" applyFill="1" applyBorder="1" applyAlignment="1">
      <alignment horizontal="center" vertical="center" wrapText="1"/>
    </xf>
    <xf numFmtId="3" fontId="58" fillId="0" borderId="49" xfId="143" applyNumberFormat="1" applyFont="1" applyBorder="1" applyAlignment="1">
      <alignment horizontal="center" vertical="center" wrapText="1"/>
    </xf>
    <xf numFmtId="0" fontId="60" fillId="14" borderId="1" xfId="144" applyFont="1" applyFill="1" applyBorder="1" applyAlignment="1" applyProtection="1">
      <alignment horizontal="center" vertical="center" wrapText="1"/>
      <protection locked="0"/>
    </xf>
    <xf numFmtId="0" fontId="36" fillId="0" borderId="3" xfId="145" applyFont="1" applyBorder="1" applyAlignment="1">
      <alignment horizontal="center" vertical="center" wrapText="1"/>
    </xf>
    <xf numFmtId="0" fontId="36" fillId="0" borderId="3" xfId="145" applyFont="1" applyBorder="1" applyAlignment="1">
      <alignment horizontal="center" vertical="center"/>
    </xf>
    <xf numFmtId="0" fontId="63" fillId="0" borderId="0" xfId="145" applyFont="1" applyAlignment="1">
      <alignment horizontal="center" vertical="center" wrapText="1"/>
    </xf>
    <xf numFmtId="0" fontId="64" fillId="0" borderId="0" xfId="145" applyFont="1" applyAlignment="1">
      <alignment horizontal="center"/>
    </xf>
    <xf numFmtId="0" fontId="47" fillId="7" borderId="0" xfId="137" applyFont="1" applyFill="1" applyAlignment="1" applyProtection="1">
      <alignment horizontal="left"/>
      <protection locked="0"/>
    </xf>
    <xf numFmtId="0" fontId="100" fillId="0" borderId="17" xfId="5" applyFont="1" applyBorder="1" applyAlignment="1">
      <alignment horizontal="left" vertical="center" wrapText="1"/>
    </xf>
    <xf numFmtId="0" fontId="101" fillId="0" borderId="17" xfId="5" applyFont="1" applyBorder="1" applyAlignment="1">
      <alignment horizontal="left" vertical="center" wrapText="1"/>
    </xf>
    <xf numFmtId="0" fontId="47" fillId="8" borderId="0" xfId="137" applyFont="1" applyFill="1" applyAlignment="1" applyProtection="1">
      <alignment horizontal="center" vertical="center" wrapText="1"/>
      <protection locked="0"/>
    </xf>
    <xf numFmtId="0" fontId="47" fillId="8" borderId="17" xfId="137" applyFont="1" applyFill="1" applyBorder="1" applyAlignment="1" applyProtection="1">
      <alignment horizontal="center" vertical="center" wrapText="1"/>
      <protection locked="0"/>
    </xf>
    <xf numFmtId="0" fontId="53" fillId="12" borderId="21" xfId="19" applyFont="1" applyFill="1" applyBorder="1" applyAlignment="1">
      <alignment horizontal="center" vertical="center" wrapText="1"/>
    </xf>
    <xf numFmtId="0" fontId="53" fillId="11" borderId="21" xfId="7" applyFont="1" applyFill="1" applyBorder="1" applyAlignment="1">
      <alignment horizontal="center" vertical="center" wrapText="1"/>
    </xf>
    <xf numFmtId="0" fontId="56" fillId="0" borderId="24" xfId="7" applyFont="1" applyBorder="1"/>
    <xf numFmtId="0" fontId="56" fillId="0" borderId="28" xfId="7" applyFont="1" applyBorder="1"/>
    <xf numFmtId="0" fontId="58" fillId="0" borderId="1" xfId="137" applyFont="1" applyBorder="1" applyAlignment="1">
      <alignment horizontal="center" vertical="center" wrapText="1"/>
    </xf>
    <xf numFmtId="3" fontId="58" fillId="0" borderId="1" xfId="137" applyNumberFormat="1" applyFont="1" applyBorder="1" applyAlignment="1">
      <alignment horizontal="center" vertical="center" wrapText="1"/>
    </xf>
    <xf numFmtId="0" fontId="75" fillId="16" borderId="1" xfId="19" applyFont="1" applyFill="1" applyBorder="1" applyAlignment="1">
      <alignment horizontal="center" vertical="center" wrapText="1"/>
    </xf>
    <xf numFmtId="0" fontId="33" fillId="0" borderId="1" xfId="19" applyFont="1" applyBorder="1"/>
    <xf numFmtId="0" fontId="58" fillId="0" borderId="7" xfId="137" applyFont="1" applyBorder="1" applyAlignment="1">
      <alignment horizontal="center" vertical="center" wrapText="1"/>
    </xf>
    <xf numFmtId="0" fontId="58" fillId="0" borderId="9" xfId="137" applyFont="1" applyBorder="1" applyAlignment="1">
      <alignment horizontal="center" vertical="center" wrapText="1"/>
    </xf>
    <xf numFmtId="0" fontId="58" fillId="0" borderId="8" xfId="137" applyFont="1" applyBorder="1" applyAlignment="1">
      <alignment horizontal="center" vertical="center" wrapText="1"/>
    </xf>
    <xf numFmtId="0" fontId="58" fillId="0" borderId="29" xfId="137" applyFont="1" applyBorder="1" applyAlignment="1">
      <alignment horizontal="center" vertical="center" wrapText="1"/>
    </xf>
    <xf numFmtId="0" fontId="58" fillId="0" borderId="15" xfId="137" applyFont="1" applyBorder="1" applyAlignment="1">
      <alignment horizontal="center" vertical="center" wrapText="1"/>
    </xf>
    <xf numFmtId="0" fontId="58" fillId="0" borderId="40" xfId="137" applyFont="1" applyBorder="1" applyAlignment="1">
      <alignment horizontal="center" vertical="center" wrapText="1"/>
    </xf>
    <xf numFmtId="0" fontId="58" fillId="6" borderId="1" xfId="137" applyFont="1" applyFill="1" applyBorder="1" applyAlignment="1">
      <alignment horizontal="center" vertical="center" wrapText="1"/>
    </xf>
    <xf numFmtId="3" fontId="58" fillId="0" borderId="48" xfId="137" applyNumberFormat="1" applyFont="1" applyBorder="1" applyAlignment="1">
      <alignment horizontal="center" vertical="center" wrapText="1"/>
    </xf>
    <xf numFmtId="0" fontId="58" fillId="0" borderId="48" xfId="137" applyFont="1" applyBorder="1" applyAlignment="1">
      <alignment horizontal="center" vertical="center" wrapText="1"/>
    </xf>
    <xf numFmtId="0" fontId="58" fillId="3" borderId="1" xfId="137" applyFont="1" applyFill="1" applyBorder="1" applyAlignment="1">
      <alignment horizontal="center" vertical="center" wrapText="1"/>
    </xf>
    <xf numFmtId="0" fontId="102" fillId="16" borderId="1" xfId="19" applyFont="1" applyFill="1" applyBorder="1" applyAlignment="1">
      <alignment horizontal="center" vertical="center" wrapText="1"/>
    </xf>
    <xf numFmtId="0" fontId="103" fillId="0" borderId="1" xfId="19" applyFont="1" applyBorder="1"/>
    <xf numFmtId="0" fontId="104" fillId="16" borderId="4" xfId="19" applyFont="1" applyFill="1" applyBorder="1" applyAlignment="1">
      <alignment horizontal="center" vertical="center" wrapText="1"/>
    </xf>
    <xf numFmtId="0" fontId="104" fillId="16" borderId="2" xfId="19" applyFont="1" applyFill="1" applyBorder="1" applyAlignment="1">
      <alignment horizontal="center" vertical="center" wrapText="1"/>
    </xf>
    <xf numFmtId="0" fontId="104" fillId="16" borderId="5" xfId="19" applyFont="1" applyFill="1" applyBorder="1" applyAlignment="1">
      <alignment horizontal="center" vertical="center" wrapText="1"/>
    </xf>
    <xf numFmtId="0" fontId="76" fillId="16" borderId="4" xfId="19" applyFont="1" applyFill="1" applyBorder="1" applyAlignment="1">
      <alignment horizontal="center" vertical="center" wrapText="1"/>
    </xf>
    <xf numFmtId="0" fontId="76" fillId="16" borderId="2" xfId="19" applyFont="1" applyFill="1" applyBorder="1" applyAlignment="1">
      <alignment horizontal="center" vertical="center" wrapText="1"/>
    </xf>
    <xf numFmtId="0" fontId="76" fillId="16" borderId="5" xfId="19" applyFont="1" applyFill="1" applyBorder="1" applyAlignment="1">
      <alignment horizontal="center" vertical="center" wrapText="1"/>
    </xf>
    <xf numFmtId="0" fontId="58" fillId="0" borderId="49" xfId="137" applyFont="1" applyBorder="1" applyAlignment="1">
      <alignment horizontal="center" vertical="center" wrapText="1"/>
    </xf>
    <xf numFmtId="0" fontId="58" fillId="0" borderId="50" xfId="137" applyFont="1" applyBorder="1" applyAlignment="1">
      <alignment horizontal="center" vertical="center" wrapText="1"/>
    </xf>
    <xf numFmtId="0" fontId="58" fillId="3" borderId="7" xfId="137" applyFont="1" applyFill="1" applyBorder="1" applyAlignment="1">
      <alignment horizontal="center" vertical="center" wrapText="1"/>
    </xf>
    <xf numFmtId="0" fontId="58" fillId="3" borderId="9" xfId="137" applyFont="1" applyFill="1" applyBorder="1" applyAlignment="1">
      <alignment horizontal="center" vertical="center" wrapText="1"/>
    </xf>
    <xf numFmtId="3" fontId="58" fillId="0" borderId="49" xfId="137" applyNumberFormat="1" applyFont="1" applyBorder="1" applyAlignment="1">
      <alignment horizontal="center" vertical="center" wrapText="1"/>
    </xf>
    <xf numFmtId="3" fontId="58" fillId="0" borderId="50" xfId="137" applyNumberFormat="1" applyFont="1" applyBorder="1" applyAlignment="1">
      <alignment horizontal="center" vertical="center" wrapText="1"/>
    </xf>
    <xf numFmtId="0" fontId="63" fillId="0" borderId="0" xfId="139" applyFont="1" applyAlignment="1">
      <alignment horizontal="center" vertical="center" wrapText="1"/>
    </xf>
    <xf numFmtId="0" fontId="64" fillId="0" borderId="0" xfId="139" applyFont="1" applyAlignment="1">
      <alignment horizontal="center"/>
    </xf>
    <xf numFmtId="0" fontId="107" fillId="0" borderId="3" xfId="139" applyFont="1" applyBorder="1" applyAlignment="1">
      <alignment horizontal="center" vertical="center" wrapText="1"/>
    </xf>
    <xf numFmtId="0" fontId="107" fillId="0" borderId="3" xfId="139" applyFont="1" applyBorder="1" applyAlignment="1">
      <alignment horizontal="center" vertical="center"/>
    </xf>
    <xf numFmtId="0" fontId="109" fillId="0" borderId="3" xfId="139" applyFont="1" applyBorder="1" applyAlignment="1">
      <alignment horizontal="center" vertical="center" wrapText="1"/>
    </xf>
    <xf numFmtId="0" fontId="109" fillId="0" borderId="3" xfId="139" applyFont="1" applyBorder="1" applyAlignment="1">
      <alignment horizontal="center" vertical="center"/>
    </xf>
    <xf numFmtId="0" fontId="47" fillId="7" borderId="0" xfId="133" applyFont="1" applyFill="1" applyAlignment="1" applyProtection="1">
      <alignment horizontal="left"/>
      <protection locked="0"/>
    </xf>
    <xf numFmtId="0" fontId="66" fillId="0" borderId="17" xfId="5" applyFont="1" applyFill="1" applyBorder="1" applyAlignment="1">
      <alignment horizontal="left" vertical="center" wrapText="1"/>
    </xf>
    <xf numFmtId="0" fontId="67" fillId="0" borderId="3" xfId="5" applyFont="1" applyFill="1" applyBorder="1" applyAlignment="1">
      <alignment horizontal="left" vertical="center"/>
    </xf>
    <xf numFmtId="0" fontId="68" fillId="0" borderId="10" xfId="5" applyFont="1" applyFill="1" applyBorder="1" applyAlignment="1">
      <alignment horizontal="center" vertical="center" wrapText="1"/>
    </xf>
    <xf numFmtId="0" fontId="68" fillId="0" borderId="13" xfId="5" applyFont="1" applyFill="1" applyBorder="1" applyAlignment="1">
      <alignment horizontal="center" vertical="center" wrapText="1"/>
    </xf>
    <xf numFmtId="0" fontId="68" fillId="0" borderId="11" xfId="5" applyFont="1" applyFill="1" applyBorder="1" applyAlignment="1">
      <alignment horizontal="center" vertical="center" wrapText="1"/>
    </xf>
    <xf numFmtId="0" fontId="69" fillId="0" borderId="17" xfId="5" applyFont="1" applyFill="1" applyBorder="1" applyAlignment="1">
      <alignment horizontal="left" vertical="center" wrapText="1"/>
    </xf>
    <xf numFmtId="0" fontId="47" fillId="8" borderId="0" xfId="133" applyFont="1" applyFill="1" applyAlignment="1" applyProtection="1">
      <alignment horizontal="center" vertical="center" wrapText="1"/>
      <protection locked="0"/>
    </xf>
    <xf numFmtId="0" fontId="47" fillId="8" borderId="17" xfId="133" applyFont="1" applyFill="1" applyBorder="1" applyAlignment="1" applyProtection="1">
      <alignment horizontal="center" vertical="center" wrapText="1"/>
      <protection locked="0"/>
    </xf>
    <xf numFmtId="0" fontId="58" fillId="0" borderId="1" xfId="133" applyFont="1" applyFill="1" applyBorder="1" applyAlignment="1" applyProtection="1">
      <alignment horizontal="center" vertical="center" wrapText="1"/>
    </xf>
    <xf numFmtId="3" fontId="58" fillId="0" borderId="1" xfId="133" applyNumberFormat="1" applyFont="1" applyFill="1" applyBorder="1" applyAlignment="1" applyProtection="1">
      <alignment horizontal="center" vertical="center" wrapText="1"/>
    </xf>
    <xf numFmtId="0" fontId="58" fillId="2" borderId="1" xfId="133" applyFont="1" applyFill="1" applyBorder="1" applyAlignment="1" applyProtection="1">
      <alignment horizontal="center" vertical="center" wrapText="1"/>
    </xf>
    <xf numFmtId="0" fontId="72" fillId="11" borderId="18" xfId="19" applyFont="1" applyFill="1" applyBorder="1" applyAlignment="1">
      <alignment horizontal="center" vertical="center" wrapText="1"/>
    </xf>
    <xf numFmtId="0" fontId="73" fillId="0" borderId="19" xfId="19" applyFont="1" applyBorder="1"/>
    <xf numFmtId="0" fontId="73" fillId="0" borderId="20" xfId="19" applyFont="1" applyBorder="1"/>
    <xf numFmtId="0" fontId="73" fillId="0" borderId="22" xfId="19" applyFont="1" applyBorder="1"/>
    <xf numFmtId="0" fontId="74" fillId="0" borderId="0" xfId="19" applyFont="1" applyAlignment="1"/>
    <xf numFmtId="0" fontId="73" fillId="0" borderId="23" xfId="19" applyFont="1" applyBorder="1"/>
    <xf numFmtId="0" fontId="73" fillId="0" borderId="25" xfId="19" applyFont="1" applyBorder="1"/>
    <xf numFmtId="0" fontId="73" fillId="0" borderId="26" xfId="19" applyFont="1" applyBorder="1"/>
    <xf numFmtId="0" fontId="73" fillId="0" borderId="27" xfId="19" applyFont="1" applyBorder="1"/>
    <xf numFmtId="0" fontId="78" fillId="16" borderId="1" xfId="19" applyFont="1" applyFill="1" applyBorder="1" applyAlignment="1">
      <alignment horizontal="center" vertical="center" wrapText="1"/>
    </xf>
    <xf numFmtId="0" fontId="55" fillId="0" borderId="1" xfId="19" applyFont="1" applyBorder="1"/>
    <xf numFmtId="0" fontId="79" fillId="16" borderId="1" xfId="19" applyFont="1" applyFill="1" applyBorder="1" applyAlignment="1">
      <alignment horizontal="center" vertical="center" wrapText="1"/>
    </xf>
    <xf numFmtId="0" fontId="80" fillId="0" borderId="1" xfId="19" applyFont="1" applyBorder="1"/>
    <xf numFmtId="0" fontId="58" fillId="0" borderId="7" xfId="133" applyFont="1" applyFill="1" applyBorder="1" applyAlignment="1" applyProtection="1">
      <alignment horizontal="center" vertical="center" wrapText="1"/>
    </xf>
    <xf numFmtId="0" fontId="58" fillId="0" borderId="9" xfId="133" applyFont="1" applyFill="1" applyBorder="1" applyAlignment="1" applyProtection="1">
      <alignment horizontal="center" vertical="center" wrapText="1"/>
    </xf>
    <xf numFmtId="0" fontId="58" fillId="0" borderId="8" xfId="133" applyFont="1" applyFill="1" applyBorder="1" applyAlignment="1" applyProtection="1">
      <alignment horizontal="center" vertical="center" wrapText="1"/>
    </xf>
    <xf numFmtId="0" fontId="58" fillId="0" borderId="29" xfId="133" applyFont="1" applyFill="1" applyBorder="1" applyAlignment="1" applyProtection="1">
      <alignment horizontal="center" vertical="center" wrapText="1"/>
    </xf>
    <xf numFmtId="0" fontId="58" fillId="0" borderId="15" xfId="133" applyFont="1" applyFill="1" applyBorder="1" applyAlignment="1" applyProtection="1">
      <alignment horizontal="center" vertical="center" wrapText="1"/>
    </xf>
    <xf numFmtId="0" fontId="58" fillId="0" borderId="40" xfId="133" applyFont="1" applyFill="1" applyBorder="1" applyAlignment="1" applyProtection="1">
      <alignment horizontal="center" vertical="center" wrapText="1"/>
    </xf>
    <xf numFmtId="0" fontId="58" fillId="4" borderId="1" xfId="133" applyFont="1" applyFill="1" applyBorder="1" applyAlignment="1" applyProtection="1">
      <alignment horizontal="center" vertical="center" wrapText="1"/>
    </xf>
    <xf numFmtId="0" fontId="58" fillId="6" borderId="1" xfId="133" applyFont="1" applyFill="1" applyBorder="1" applyAlignment="1" applyProtection="1">
      <alignment horizontal="center" vertical="center" wrapText="1"/>
    </xf>
    <xf numFmtId="0" fontId="58" fillId="5" borderId="1" xfId="133" applyFont="1" applyFill="1" applyBorder="1" applyAlignment="1" applyProtection="1">
      <alignment horizontal="center" vertical="center" wrapText="1"/>
    </xf>
    <xf numFmtId="0" fontId="53" fillId="16" borderId="4" xfId="19" applyFont="1" applyFill="1" applyBorder="1" applyAlignment="1">
      <alignment horizontal="center" vertical="center" wrapText="1"/>
    </xf>
    <xf numFmtId="0" fontId="53" fillId="16" borderId="2" xfId="19" applyFont="1" applyFill="1" applyBorder="1" applyAlignment="1">
      <alignment horizontal="center" vertical="center" wrapText="1"/>
    </xf>
    <xf numFmtId="0" fontId="53" fillId="16" borderId="5" xfId="19" applyFont="1" applyFill="1" applyBorder="1" applyAlignment="1">
      <alignment horizontal="center" vertical="center" wrapText="1"/>
    </xf>
    <xf numFmtId="0" fontId="76" fillId="16" borderId="1" xfId="19" applyFont="1" applyFill="1" applyBorder="1" applyAlignment="1">
      <alignment horizontal="center" vertical="center" wrapText="1"/>
    </xf>
    <xf numFmtId="0" fontId="79" fillId="24" borderId="1" xfId="19" applyFont="1" applyFill="1" applyBorder="1" applyAlignment="1">
      <alignment horizontal="center" vertical="center" wrapText="1"/>
    </xf>
    <xf numFmtId="0" fontId="80" fillId="25" borderId="1" xfId="19" applyFont="1" applyFill="1" applyBorder="1"/>
    <xf numFmtId="0" fontId="75" fillId="24" borderId="1" xfId="19" applyFont="1" applyFill="1" applyBorder="1" applyAlignment="1">
      <alignment horizontal="center" vertical="center" wrapText="1"/>
    </xf>
    <xf numFmtId="0" fontId="33" fillId="25" borderId="1" xfId="19" applyFont="1" applyFill="1" applyBorder="1"/>
    <xf numFmtId="0" fontId="58" fillId="0" borderId="0" xfId="133" applyFont="1" applyAlignment="1" applyProtection="1">
      <alignment horizontal="center"/>
      <protection locked="0"/>
    </xf>
    <xf numFmtId="0" fontId="58" fillId="0" borderId="17" xfId="133" applyFont="1" applyBorder="1" applyAlignment="1" applyProtection="1">
      <alignment horizontal="center"/>
      <protection locked="0"/>
    </xf>
    <xf numFmtId="0" fontId="36" fillId="0" borderId="3" xfId="135" applyFont="1" applyBorder="1" applyAlignment="1">
      <alignment horizontal="center" vertical="center" wrapText="1"/>
    </xf>
    <xf numFmtId="0" fontId="36" fillId="0" borderId="3" xfId="135" applyFont="1" applyBorder="1" applyAlignment="1">
      <alignment horizontal="center" vertical="center"/>
    </xf>
    <xf numFmtId="0" fontId="72" fillId="22" borderId="0" xfId="19" applyFont="1" applyFill="1" applyBorder="1" applyAlignment="1">
      <alignment horizontal="left"/>
    </xf>
    <xf numFmtId="0" fontId="73" fillId="0" borderId="0" xfId="19" applyFont="1" applyBorder="1" applyAlignment="1">
      <alignment horizontal="left"/>
    </xf>
    <xf numFmtId="0" fontId="111" fillId="0" borderId="26" xfId="19" applyFont="1" applyBorder="1" applyAlignment="1">
      <alignment horizontal="left" vertical="center" wrapText="1"/>
    </xf>
    <xf numFmtId="0" fontId="112" fillId="0" borderId="26" xfId="19" applyFont="1" applyBorder="1"/>
    <xf numFmtId="0" fontId="113" fillId="0" borderId="19" xfId="19" applyFont="1" applyBorder="1" applyAlignment="1">
      <alignment horizontal="left" vertical="center"/>
    </xf>
    <xf numFmtId="0" fontId="114" fillId="0" borderId="19" xfId="19" applyFont="1" applyBorder="1"/>
    <xf numFmtId="0" fontId="115" fillId="0" borderId="10" xfId="5" applyFont="1" applyFill="1" applyBorder="1" applyAlignment="1">
      <alignment horizontal="center" vertical="center" wrapText="1"/>
    </xf>
    <xf numFmtId="0" fontId="115" fillId="0" borderId="13" xfId="5" applyFont="1" applyFill="1" applyBorder="1" applyAlignment="1">
      <alignment horizontal="center" vertical="center" wrapText="1"/>
    </xf>
    <xf numFmtId="0" fontId="115" fillId="0" borderId="11" xfId="5" applyFont="1" applyFill="1" applyBorder="1" applyAlignment="1">
      <alignment horizontal="center" vertical="center" wrapText="1"/>
    </xf>
    <xf numFmtId="0" fontId="117" fillId="0" borderId="26" xfId="19" applyFont="1" applyBorder="1" applyAlignment="1">
      <alignment horizontal="left" vertical="center" wrapText="1"/>
    </xf>
    <xf numFmtId="0" fontId="43" fillId="0" borderId="19" xfId="19" applyFont="1" applyBorder="1" applyAlignment="1">
      <alignment horizontal="left" vertical="center"/>
    </xf>
    <xf numFmtId="0" fontId="116" fillId="5" borderId="10" xfId="141" applyFont="1" applyFill="1" applyBorder="1" applyAlignment="1" applyProtection="1">
      <alignment horizontal="center" vertical="center"/>
      <protection locked="0"/>
    </xf>
    <xf numFmtId="0" fontId="116" fillId="5" borderId="11" xfId="141" applyFont="1" applyFill="1" applyBorder="1" applyAlignment="1" applyProtection="1">
      <alignment horizontal="center" vertical="center"/>
      <protection locked="0"/>
    </xf>
    <xf numFmtId="0" fontId="72" fillId="23" borderId="0" xfId="19" applyFont="1" applyFill="1" applyBorder="1" applyAlignment="1">
      <alignment horizontal="center" vertical="center" wrapText="1"/>
    </xf>
    <xf numFmtId="0" fontId="56" fillId="0" borderId="0" xfId="19" applyFont="1" applyBorder="1"/>
    <xf numFmtId="0" fontId="56" fillId="10" borderId="20" xfId="19" applyFont="1" applyFill="1" applyBorder="1"/>
    <xf numFmtId="0" fontId="56" fillId="10" borderId="22" xfId="19" applyFont="1" applyFill="1" applyBorder="1"/>
    <xf numFmtId="0" fontId="56" fillId="10" borderId="23" xfId="19" applyFont="1" applyFill="1" applyBorder="1"/>
    <xf numFmtId="0" fontId="81" fillId="0" borderId="21" xfId="19" applyFont="1" applyBorder="1" applyAlignment="1">
      <alignment horizontal="center" vertical="center" wrapText="1"/>
    </xf>
    <xf numFmtId="0" fontId="80" fillId="0" borderId="28" xfId="19" applyFont="1" applyBorder="1"/>
    <xf numFmtId="0" fontId="81" fillId="0" borderId="18" xfId="19" applyFont="1" applyBorder="1" applyAlignment="1">
      <alignment horizontal="center" vertical="center" wrapText="1"/>
    </xf>
    <xf numFmtId="0" fontId="80" fillId="0" borderId="20" xfId="19" applyFont="1" applyBorder="1"/>
    <xf numFmtId="0" fontId="80" fillId="0" borderId="25" xfId="19" applyFont="1" applyBorder="1"/>
    <xf numFmtId="0" fontId="80" fillId="0" borderId="27" xfId="19" applyFont="1" applyBorder="1"/>
    <xf numFmtId="0" fontId="81" fillId="2" borderId="21" xfId="19" applyFont="1" applyFill="1" applyBorder="1" applyAlignment="1">
      <alignment horizontal="center" vertical="center" wrapText="1"/>
    </xf>
    <xf numFmtId="0" fontId="80" fillId="2" borderId="28" xfId="19" applyFont="1" applyFill="1" applyBorder="1"/>
    <xf numFmtId="0" fontId="75" fillId="16" borderId="37" xfId="19" applyFont="1" applyFill="1" applyBorder="1" applyAlignment="1">
      <alignment horizontal="center" vertical="center" wrapText="1"/>
    </xf>
    <xf numFmtId="0" fontId="33" fillId="0" borderId="36" xfId="19" applyFont="1" applyBorder="1"/>
    <xf numFmtId="0" fontId="33" fillId="0" borderId="31" xfId="19" applyFont="1" applyBorder="1"/>
    <xf numFmtId="0" fontId="118" fillId="16" borderId="37" xfId="19" applyFont="1" applyFill="1" applyBorder="1" applyAlignment="1">
      <alignment horizontal="center" vertical="center" wrapText="1"/>
    </xf>
    <xf numFmtId="0" fontId="56" fillId="0" borderId="36" xfId="19" applyFont="1" applyBorder="1"/>
    <xf numFmtId="0" fontId="56" fillId="0" borderId="31" xfId="19" applyFont="1" applyBorder="1"/>
    <xf numFmtId="0" fontId="34" fillId="16" borderId="37" xfId="19" applyFont="1" applyFill="1" applyBorder="1" applyAlignment="1">
      <alignment horizontal="center" vertical="center" wrapText="1"/>
    </xf>
    <xf numFmtId="0" fontId="81" fillId="6" borderId="21" xfId="19" applyFont="1" applyFill="1" applyBorder="1" applyAlignment="1">
      <alignment horizontal="center" vertical="center" wrapText="1"/>
    </xf>
    <xf numFmtId="0" fontId="80" fillId="6" borderId="28" xfId="19" applyFont="1" applyFill="1" applyBorder="1"/>
    <xf numFmtId="0" fontId="80" fillId="0" borderId="28" xfId="19" applyFont="1" applyBorder="1" applyAlignment="1">
      <alignment vertical="center"/>
    </xf>
    <xf numFmtId="0" fontId="81" fillId="0" borderId="21" xfId="19" applyFont="1" applyBorder="1" applyAlignment="1">
      <alignment horizontal="center" vertical="top" wrapText="1"/>
    </xf>
    <xf numFmtId="0" fontId="80" fillId="0" borderId="28" xfId="19" applyFont="1" applyBorder="1" applyAlignment="1">
      <alignment vertical="top"/>
    </xf>
    <xf numFmtId="0" fontId="81" fillId="5" borderId="21" xfId="19" applyFont="1" applyFill="1" applyBorder="1" applyAlignment="1">
      <alignment horizontal="center" vertical="center" wrapText="1"/>
    </xf>
    <xf numFmtId="0" fontId="80" fillId="5" borderId="28" xfId="19" applyFont="1" applyFill="1" applyBorder="1"/>
    <xf numFmtId="0" fontId="75" fillId="16" borderId="18" xfId="19" applyFont="1" applyFill="1" applyBorder="1" applyAlignment="1">
      <alignment horizontal="center" vertical="center" wrapText="1"/>
    </xf>
    <xf numFmtId="0" fontId="33" fillId="0" borderId="19" xfId="19" applyFont="1" applyBorder="1"/>
    <xf numFmtId="0" fontId="33" fillId="0" borderId="20" xfId="19" applyFont="1" applyBorder="1"/>
    <xf numFmtId="0" fontId="34" fillId="16" borderId="18" xfId="19" applyFont="1" applyFill="1" applyBorder="1" applyAlignment="1">
      <alignment horizontal="center" vertical="center" wrapText="1"/>
    </xf>
    <xf numFmtId="0" fontId="34" fillId="16" borderId="1" xfId="19" applyFont="1" applyFill="1" applyBorder="1" applyAlignment="1">
      <alignment horizontal="center" vertical="center" wrapText="1"/>
    </xf>
    <xf numFmtId="0" fontId="56" fillId="0" borderId="1" xfId="19" applyFont="1" applyBorder="1"/>
    <xf numFmtId="0" fontId="34" fillId="16" borderId="36" xfId="19" applyFont="1" applyFill="1" applyBorder="1" applyAlignment="1">
      <alignment horizontal="center" vertical="center" wrapText="1"/>
    </xf>
    <xf numFmtId="0" fontId="34" fillId="16" borderId="25" xfId="19" applyFont="1" applyFill="1" applyBorder="1" applyAlignment="1">
      <alignment horizontal="center" vertical="center" wrapText="1"/>
    </xf>
    <xf numFmtId="0" fontId="76" fillId="16" borderId="37" xfId="19" applyFont="1" applyFill="1" applyBorder="1" applyAlignment="1">
      <alignment horizontal="center" vertical="center" wrapText="1"/>
    </xf>
    <xf numFmtId="0" fontId="53" fillId="16" borderId="37" xfId="19" applyFont="1" applyFill="1" applyBorder="1" applyAlignment="1">
      <alignment horizontal="center" vertical="center" wrapText="1"/>
    </xf>
    <xf numFmtId="0" fontId="34" fillId="16" borderId="22" xfId="19" applyFont="1" applyFill="1" applyBorder="1" applyAlignment="1">
      <alignment horizontal="center" vertical="center" wrapText="1"/>
    </xf>
    <xf numFmtId="3" fontId="81" fillId="0" borderId="21" xfId="19" applyNumberFormat="1" applyFont="1" applyBorder="1" applyAlignment="1">
      <alignment horizontal="center" vertical="center" wrapText="1"/>
    </xf>
    <xf numFmtId="0" fontId="91" fillId="0" borderId="19" xfId="19" applyFont="1" applyBorder="1" applyAlignment="1">
      <alignment horizontal="center" vertical="center" wrapText="1"/>
    </xf>
    <xf numFmtId="0" fontId="53" fillId="16" borderId="36" xfId="19" applyFont="1" applyFill="1" applyBorder="1" applyAlignment="1">
      <alignment horizontal="center" vertical="center" wrapText="1"/>
    </xf>
    <xf numFmtId="0" fontId="97" fillId="0" borderId="0" xfId="19" applyFont="1" applyAlignment="1">
      <alignment horizontal="center" vertical="center" wrapText="1"/>
    </xf>
    <xf numFmtId="0" fontId="98" fillId="0" borderId="0" xfId="19" applyFont="1" applyAlignment="1">
      <alignment horizontal="center"/>
    </xf>
    <xf numFmtId="0" fontId="53" fillId="11" borderId="18" xfId="7" applyFont="1" applyFill="1" applyBorder="1" applyAlignment="1">
      <alignment horizontal="center" vertical="center" wrapText="1"/>
    </xf>
    <xf numFmtId="0" fontId="56" fillId="0" borderId="19" xfId="7" applyFont="1" applyBorder="1"/>
    <xf numFmtId="0" fontId="56" fillId="0" borderId="20" xfId="7" applyFont="1" applyBorder="1"/>
    <xf numFmtId="0" fontId="56" fillId="0" borderId="22" xfId="7" applyFont="1" applyBorder="1"/>
    <xf numFmtId="0" fontId="29" fillId="0" borderId="0" xfId="7" applyFont="1" applyAlignment="1"/>
    <xf numFmtId="0" fontId="56" fillId="0" borderId="23" xfId="7" applyFont="1" applyBorder="1"/>
    <xf numFmtId="0" fontId="56" fillId="0" borderId="25" xfId="7" applyFont="1" applyBorder="1"/>
    <xf numFmtId="0" fontId="56" fillId="0" borderId="26" xfId="7" applyFont="1" applyBorder="1"/>
    <xf numFmtId="0" fontId="56" fillId="0" borderId="27" xfId="7" applyFont="1" applyBorder="1"/>
    <xf numFmtId="0" fontId="53" fillId="16" borderId="37" xfId="7" applyFont="1" applyFill="1" applyBorder="1" applyAlignment="1">
      <alignment horizontal="center" vertical="center" wrapText="1"/>
    </xf>
    <xf numFmtId="0" fontId="53" fillId="16" borderId="36" xfId="7" applyFont="1" applyFill="1" applyBorder="1" applyAlignment="1">
      <alignment horizontal="center" vertical="center" wrapText="1"/>
    </xf>
    <xf numFmtId="0" fontId="53" fillId="16" borderId="31" xfId="7" applyFont="1" applyFill="1" applyBorder="1" applyAlignment="1">
      <alignment horizontal="center" vertical="center" wrapText="1"/>
    </xf>
    <xf numFmtId="0" fontId="87" fillId="22" borderId="0" xfId="7" applyFont="1" applyFill="1" applyBorder="1" applyAlignment="1">
      <alignment horizontal="left"/>
    </xf>
    <xf numFmtId="0" fontId="56" fillId="0" borderId="0" xfId="7" applyFont="1" applyBorder="1" applyAlignment="1">
      <alignment horizontal="left"/>
    </xf>
    <xf numFmtId="0" fontId="88" fillId="0" borderId="26" xfId="7" applyFont="1" applyBorder="1" applyAlignment="1">
      <alignment horizontal="left" vertical="center" wrapText="1"/>
    </xf>
    <xf numFmtId="0" fontId="32" fillId="0" borderId="26" xfId="7" applyFont="1" applyBorder="1"/>
    <xf numFmtId="0" fontId="91" fillId="0" borderId="19" xfId="7" applyFont="1" applyBorder="1" applyAlignment="1">
      <alignment horizontal="left" vertical="center"/>
    </xf>
    <xf numFmtId="0" fontId="80" fillId="0" borderId="19" xfId="7" applyFont="1" applyBorder="1"/>
    <xf numFmtId="0" fontId="44" fillId="0" borderId="41" xfId="5" applyFont="1" applyFill="1" applyBorder="1" applyAlignment="1">
      <alignment horizontal="center" vertical="center" wrapText="1"/>
    </xf>
    <xf numFmtId="0" fontId="44" fillId="0" borderId="42" xfId="5" applyFont="1" applyFill="1" applyBorder="1" applyAlignment="1">
      <alignment horizontal="center" vertical="center" wrapText="1"/>
    </xf>
    <xf numFmtId="0" fontId="45" fillId="6" borderId="10" xfId="136" applyFont="1" applyFill="1" applyBorder="1" applyAlignment="1" applyProtection="1">
      <alignment horizontal="center" vertical="center"/>
      <protection locked="0"/>
    </xf>
    <xf numFmtId="0" fontId="45" fillId="6" borderId="11" xfId="136" applyFont="1" applyFill="1" applyBorder="1" applyAlignment="1" applyProtection="1">
      <alignment horizontal="center" vertical="center"/>
      <protection locked="0"/>
    </xf>
    <xf numFmtId="0" fontId="95" fillId="0" borderId="26" xfId="7" applyFont="1" applyBorder="1" applyAlignment="1">
      <alignment horizontal="left" vertical="center" wrapText="1"/>
    </xf>
    <xf numFmtId="0" fontId="42" fillId="0" borderId="26" xfId="7" applyFont="1" applyBorder="1"/>
    <xf numFmtId="0" fontId="72" fillId="23" borderId="0" xfId="7" applyFont="1" applyFill="1" applyBorder="1" applyAlignment="1">
      <alignment horizontal="center" vertical="center" wrapText="1"/>
    </xf>
    <xf numFmtId="0" fontId="56" fillId="0" borderId="0" xfId="7" applyFont="1" applyBorder="1"/>
    <xf numFmtId="0" fontId="34" fillId="12" borderId="21" xfId="7" applyFont="1" applyFill="1" applyBorder="1" applyAlignment="1">
      <alignment horizontal="center" vertical="center" wrapText="1"/>
    </xf>
    <xf numFmtId="0" fontId="96" fillId="0" borderId="24" xfId="7" applyFont="1" applyBorder="1"/>
    <xf numFmtId="0" fontId="81" fillId="0" borderId="1" xfId="7" applyFont="1" applyBorder="1" applyAlignment="1">
      <alignment horizontal="center" vertical="center" wrapText="1"/>
    </xf>
    <xf numFmtId="0" fontId="56" fillId="0" borderId="1" xfId="7" applyFont="1" applyBorder="1"/>
    <xf numFmtId="0" fontId="53" fillId="16" borderId="44" xfId="7" applyFont="1" applyFill="1" applyBorder="1" applyAlignment="1">
      <alignment horizontal="center" vertical="center" wrapText="1"/>
    </xf>
    <xf numFmtId="0" fontId="34" fillId="16" borderId="37" xfId="7" applyFont="1" applyFill="1" applyBorder="1" applyAlignment="1">
      <alignment horizontal="center" vertical="center" wrapText="1"/>
    </xf>
    <xf numFmtId="0" fontId="34" fillId="16" borderId="36" xfId="7" applyFont="1" applyFill="1" applyBorder="1" applyAlignment="1">
      <alignment horizontal="center" vertical="center" wrapText="1"/>
    </xf>
    <xf numFmtId="0" fontId="34" fillId="16" borderId="31" xfId="7" applyFont="1" applyFill="1" applyBorder="1" applyAlignment="1">
      <alignment horizontal="center" vertical="center" wrapText="1"/>
    </xf>
    <xf numFmtId="0" fontId="53" fillId="16" borderId="37" xfId="2" applyFont="1" applyFill="1" applyBorder="1" applyAlignment="1">
      <alignment horizontal="center" vertical="center" wrapText="1"/>
    </xf>
    <xf numFmtId="0" fontId="53" fillId="16" borderId="36" xfId="2" applyFont="1" applyFill="1" applyBorder="1" applyAlignment="1">
      <alignment horizontal="center" vertical="center" wrapText="1"/>
    </xf>
    <xf numFmtId="0" fontId="53" fillId="16" borderId="31" xfId="2" applyFont="1" applyFill="1" applyBorder="1" applyAlignment="1">
      <alignment horizontal="center" vertical="center" wrapText="1"/>
    </xf>
    <xf numFmtId="0" fontId="56" fillId="0" borderId="1" xfId="7" applyFont="1" applyBorder="1" applyAlignment="1">
      <alignment vertical="center"/>
    </xf>
    <xf numFmtId="0" fontId="81" fillId="0" borderId="1" xfId="7" applyFont="1" applyFill="1" applyBorder="1" applyAlignment="1">
      <alignment horizontal="center" vertical="center" wrapText="1"/>
    </xf>
    <xf numFmtId="0" fontId="56" fillId="0" borderId="1" xfId="7" applyFont="1" applyFill="1" applyBorder="1" applyAlignment="1">
      <alignment vertical="center"/>
    </xf>
    <xf numFmtId="0" fontId="81" fillId="6" borderId="1" xfId="7" applyFont="1" applyFill="1" applyBorder="1" applyAlignment="1">
      <alignment horizontal="center" vertical="center" wrapText="1"/>
    </xf>
    <xf numFmtId="0" fontId="56" fillId="6" borderId="1" xfId="7" applyFont="1" applyFill="1" applyBorder="1" applyAlignment="1">
      <alignment vertical="center"/>
    </xf>
    <xf numFmtId="0" fontId="34" fillId="16" borderId="44" xfId="7" applyFont="1" applyFill="1" applyBorder="1" applyAlignment="1">
      <alignment horizontal="center" vertical="center" wrapText="1"/>
    </xf>
    <xf numFmtId="3" fontId="81" fillId="0" borderId="1" xfId="7" applyNumberFormat="1" applyFont="1" applyBorder="1" applyAlignment="1">
      <alignment horizontal="center" vertical="center" wrapText="1"/>
    </xf>
    <xf numFmtId="0" fontId="53" fillId="16" borderId="1" xfId="7" applyFont="1" applyFill="1" applyBorder="1" applyAlignment="1">
      <alignment horizontal="center" vertical="center" wrapText="1"/>
    </xf>
    <xf numFmtId="0" fontId="34" fillId="16" borderId="1" xfId="7" applyFont="1" applyFill="1" applyBorder="1" applyAlignment="1">
      <alignment horizontal="center" vertical="center" wrapText="1"/>
    </xf>
    <xf numFmtId="0" fontId="56" fillId="0" borderId="1" xfId="7" applyFont="1" applyFill="1" applyBorder="1"/>
    <xf numFmtId="0" fontId="53" fillId="16" borderId="1" xfId="2" applyFont="1" applyFill="1" applyBorder="1" applyAlignment="1">
      <alignment horizontal="center" vertical="center" wrapText="1"/>
    </xf>
    <xf numFmtId="0" fontId="97" fillId="0" borderId="0" xfId="7" applyFont="1" applyAlignment="1">
      <alignment horizontal="center" vertical="center" wrapText="1"/>
    </xf>
    <xf numFmtId="0" fontId="98" fillId="0" borderId="0" xfId="7" applyFont="1" applyAlignment="1">
      <alignment horizontal="center"/>
    </xf>
    <xf numFmtId="0" fontId="91" fillId="0" borderId="19" xfId="7" applyFont="1" applyBorder="1" applyAlignment="1">
      <alignment horizontal="center" vertical="center" wrapText="1"/>
    </xf>
  </cellXfs>
  <cellStyles count="146">
    <cellStyle name="Normal" xfId="0" builtinId="0"/>
    <cellStyle name="Normal 2" xfId="2"/>
    <cellStyle name="Normal 2 2 2" xfId="5"/>
    <cellStyle name="Normal 3" xfId="1"/>
    <cellStyle name="Normal 4" xfId="4"/>
    <cellStyle name="Normal 4 2" xfId="13"/>
    <cellStyle name="Normal 4 3" xfId="15"/>
    <cellStyle name="Normal 4 4" xfId="20"/>
    <cellStyle name="Normal 4 5" xfId="28"/>
    <cellStyle name="Normal 4 6" xfId="31"/>
    <cellStyle name="Normal 4 7" xfId="37"/>
    <cellStyle name="Normal 4 7 2" xfId="44"/>
    <cellStyle name="Normal 4 7 2 2" xfId="52"/>
    <cellStyle name="Normal 4 7 2 2 2" xfId="66"/>
    <cellStyle name="Normal 4 7 2 2 2 2" xfId="79"/>
    <cellStyle name="Normal 4 7 2 2 2 2 2" xfId="95"/>
    <cellStyle name="Normal 4 7 2 2 2 2 2 2" xfId="112"/>
    <cellStyle name="Normal 4 7 2 2 2 2 2 3" xfId="122"/>
    <cellStyle name="Normal 4 7 2 2 2 2 2 3 2" xfId="141"/>
    <cellStyle name="Normal 4 7 2 2 2 2 3" xfId="104"/>
    <cellStyle name="Normal 4 7 2 2 2 2 3 2" xfId="106"/>
    <cellStyle name="Normal 4 7 2 2 2 2 3 2 2" xfId="131"/>
    <cellStyle name="Normal 4 7 2 3" xfId="58"/>
    <cellStyle name="Normal 4 7 2 3 2" xfId="69"/>
    <cellStyle name="Normal 4 7 2 3 2 2" xfId="82"/>
    <cellStyle name="Normal 4 7 2 3 2 2 2" xfId="93"/>
    <cellStyle name="Normal 4 7 2 3 2 2 2 2" xfId="110"/>
    <cellStyle name="Normal 4 7 2 3 2 2 2 3" xfId="119"/>
    <cellStyle name="Normal 4 7 2 3 2 2 2 3 2" xfId="144"/>
    <cellStyle name="Normal 4 7 2 4" xfId="61"/>
    <cellStyle name="Normal 4 7 2 4 2" xfId="72"/>
    <cellStyle name="Normal 4 7 2 4 2 2" xfId="85"/>
    <cellStyle name="Normal 4 7 2 4 2 2 2" xfId="97"/>
    <cellStyle name="Normal 4 7 2 4 2 2 2 2" xfId="116"/>
    <cellStyle name="Normal 4 7 2 4 2 2 2 3" xfId="129"/>
    <cellStyle name="Normal 4 7 2 4 2 2 2 3 2" xfId="138"/>
    <cellStyle name="Normal 4 7 2 4 2 2 3" xfId="125"/>
    <cellStyle name="Normal 4 7 2 4 2 2 4" xfId="134"/>
    <cellStyle name="Normal 4 7 2 5" xfId="65"/>
    <cellStyle name="Normal 4 7 2 5 2" xfId="76"/>
    <cellStyle name="Normal 4 7 2 5 2 2" xfId="89"/>
    <cellStyle name="Normal 4 7 2 5 2 2 2" xfId="101"/>
    <cellStyle name="Normal 4 7 2 5 2 2 2 2" xfId="108"/>
    <cellStyle name="Normal 4 7 2 5 2 2 2 3" xfId="127"/>
    <cellStyle name="Normal 4 7 2 5 2 2 2 3 2" xfId="136"/>
    <cellStyle name="Normal 4 8" xfId="41"/>
    <cellStyle name="Normal 4 8 2" xfId="48"/>
    <cellStyle name="Normal 4 8 2 2" xfId="51"/>
    <cellStyle name="Normal 4 8 2 2 2" xfId="74"/>
    <cellStyle name="Normal 4 8 2 2 2 2" xfId="87"/>
    <cellStyle name="Normal 4 8 2 2 2 2 2" xfId="99"/>
    <cellStyle name="Normal 4 8 2 2 2 2 2 2" xfId="113"/>
    <cellStyle name="Normal 4 8 2 2 2 2 2 3" xfId="121"/>
    <cellStyle name="Normal 4 8 2 2 2 2 2 3 2" xfId="140"/>
    <cellStyle name="Normal 4 9" xfId="55"/>
    <cellStyle name="Normal 5" xfId="7"/>
    <cellStyle name="Normal 6" xfId="8"/>
    <cellStyle name="Normal 6 2" xfId="17"/>
    <cellStyle name="Normal 6 3" xfId="22"/>
    <cellStyle name="Normal 6 4" xfId="29"/>
    <cellStyle name="Normal 6 5" xfId="33"/>
    <cellStyle name="Normal 6 6" xfId="39"/>
    <cellStyle name="Normal 6 6 2" xfId="50"/>
    <cellStyle name="Normal 6 6 2 2" xfId="54"/>
    <cellStyle name="Normal 6 6 2 3" xfId="57"/>
    <cellStyle name="Normal 6 6 2 3 2" xfId="68"/>
    <cellStyle name="Normal 6 6 2 3 2 2" xfId="81"/>
    <cellStyle name="Normal 6 6 2 3 2 2 2" xfId="92"/>
    <cellStyle name="Normal 6 6 2 3 2 2 2 2" xfId="109"/>
    <cellStyle name="Normal 6 6 2 3 2 2 2 3" xfId="118"/>
    <cellStyle name="Normal 6 6 2 3 2 2 2 3 2" xfId="143"/>
    <cellStyle name="Normal 6 6 2 4" xfId="60"/>
    <cellStyle name="Normal 6 6 2 4 2" xfId="71"/>
    <cellStyle name="Normal 6 6 2 4 2 2" xfId="84"/>
    <cellStyle name="Normal 6 6 2 4 2 2 2" xfId="96"/>
    <cellStyle name="Normal 6 6 2 4 2 2 2 2" xfId="115"/>
    <cellStyle name="Normal 6 6 2 4 2 2 3" xfId="124"/>
    <cellStyle name="Normal 6 6 2 4 2 2 4" xfId="133"/>
    <cellStyle name="Normal 7" xfId="10"/>
    <cellStyle name="Normal 7 2" xfId="19"/>
    <cellStyle name="Normal 8" xfId="11"/>
    <cellStyle name="Normal 8 2" xfId="24"/>
    <cellStyle name="Normal 8 3" xfId="26"/>
    <cellStyle name="Normal 8 4" xfId="35"/>
    <cellStyle name="Normal 8 5" xfId="42"/>
    <cellStyle name="Normal 8 5 2" xfId="46"/>
    <cellStyle name="Normal 8 5 2 2" xfId="63"/>
    <cellStyle name="Normal 8 5 2 2 2" xfId="77"/>
    <cellStyle name="Normal 8 5 2 2 2 2" xfId="90"/>
    <cellStyle name="Normal 8 5 2 2 2 2 2" xfId="102"/>
    <cellStyle name="Normal 8 5 2 2 2 2 2 2" xfId="128"/>
    <cellStyle name="Normal 8 5 2 2 2 2 2 2 2" xfId="137"/>
    <cellStyle name="Normal 9 2 3 6 2" xfId="6"/>
    <cellStyle name="Normal 9 2 3 6 2 2" xfId="9"/>
    <cellStyle name="Normal 9 2 3 6 2 2 2" xfId="18"/>
    <cellStyle name="Normal 9 2 3 6 2 2 3" xfId="23"/>
    <cellStyle name="Normal 9 2 3 6 2 2 4" xfId="30"/>
    <cellStyle name="Normal 9 2 3 6 2 2 5" xfId="34"/>
    <cellStyle name="Normal 9 2 3 6 2 2 6" xfId="40"/>
    <cellStyle name="Normal 9 2 3 6 2 2 6 2" xfId="49"/>
    <cellStyle name="Normal 9 2 3 6 2 2 6 2 2" xfId="53"/>
    <cellStyle name="Normal 9 2 3 6 2 2 6 2 2 2" xfId="75"/>
    <cellStyle name="Normal 9 2 3 6 2 2 6 2 2 2 2" xfId="88"/>
    <cellStyle name="Normal 9 2 3 6 2 2 6 2 2 2 2 2" xfId="100"/>
    <cellStyle name="Normal 9 2 3 6 2 2 6 2 2 2 2 2 2" xfId="114"/>
    <cellStyle name="Normal 9 2 3 6 2 2 6 2 2 2 2 2 3" xfId="123"/>
    <cellStyle name="Normal 9 2 3 6 2 2 6 2 2 2 2 2 3 2" xfId="142"/>
    <cellStyle name="Normal 9 2 3 6 2 2 6 2 3" xfId="59"/>
    <cellStyle name="Normal 9 2 3 6 2 2 6 2 3 2" xfId="70"/>
    <cellStyle name="Normal 9 2 3 6 2 2 6 2 3 2 2" xfId="83"/>
    <cellStyle name="Normal 9 2 3 6 2 2 6 2 3 2 2 2" xfId="94"/>
    <cellStyle name="Normal 9 2 3 6 2 2 6 2 3 2 2 2 2" xfId="111"/>
    <cellStyle name="Normal 9 2 3 6 2 2 6 2 3 2 2 2 3" xfId="120"/>
    <cellStyle name="Normal 9 2 3 6 2 2 6 2 3 2 2 2 3 2" xfId="145"/>
    <cellStyle name="Normal 9 2 3 6 2 2 6 2 4" xfId="62"/>
    <cellStyle name="Normal 9 2 3 6 2 2 6 2 4 2" xfId="73"/>
    <cellStyle name="Normal 9 2 3 6 2 2 6 2 4 2 2" xfId="86"/>
    <cellStyle name="Normal 9 2 3 6 2 2 6 2 4 2 2 2" xfId="98"/>
    <cellStyle name="Normal 9 2 3 6 2 2 6 2 4 2 2 2 2" xfId="117"/>
    <cellStyle name="Normal 9 2 3 6 2 2 6 2 4 2 2 3" xfId="126"/>
    <cellStyle name="Normal 9 2 3 6 2 2 6 2 4 2 2 4" xfId="135"/>
    <cellStyle name="Normal 9 2 3 6 2 3" xfId="12"/>
    <cellStyle name="Normal 9 2 3 6 2 3 2" xfId="25"/>
    <cellStyle name="Normal 9 2 3 6 2 3 3" xfId="27"/>
    <cellStyle name="Normal 9 2 3 6 2 3 4" xfId="36"/>
    <cellStyle name="Normal 9 2 3 6 2 3 5" xfId="43"/>
    <cellStyle name="Normal 9 2 3 6 2 3 5 2" xfId="47"/>
    <cellStyle name="Normal 9 2 3 6 2 3 5 2 2" xfId="64"/>
    <cellStyle name="Normal 9 2 3 6 2 3 5 2 2 2" xfId="78"/>
    <cellStyle name="Normal 9 2 3 6 2 3 5 2 2 2 2" xfId="91"/>
    <cellStyle name="Normal 9 2 3 6 2 3 5 2 2 2 2 2" xfId="103"/>
    <cellStyle name="Normal 9 2 3 6 2 3 5 2 2 2 2 2 2" xfId="130"/>
    <cellStyle name="Normal 9 2 3 6 2 3 5 2 2 2 2 2 2 2" xfId="139"/>
    <cellStyle name="Normal 9 2 3 6 2 4" xfId="14"/>
    <cellStyle name="Normal 9 2 3 6 2 5" xfId="16"/>
    <cellStyle name="Normal 9 2 3 6 2 6" xfId="21"/>
    <cellStyle name="Normal 9 2 3 6 2 7" xfId="32"/>
    <cellStyle name="Normal 9 2 3 6 2 8" xfId="38"/>
    <cellStyle name="Normal 9 2 3 6 2 8 2" xfId="45"/>
    <cellStyle name="Normal 9 2 3 6 2 8 2 2" xfId="56"/>
    <cellStyle name="Normal 9 2 3 6 2 8 2 2 2" xfId="67"/>
    <cellStyle name="Normal 9 2 3 6 2 8 2 2 2 2" xfId="80"/>
    <cellStyle name="Normal 9 2 3 6 2 8 2 2 2 2 2" xfId="105"/>
    <cellStyle name="Normal 9 2 3 6 2 8 2 2 2 2 2 2" xfId="107"/>
    <cellStyle name="Normal 9 2 3 6 2 8 2 2 2 2 2 2 2" xfId="132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DD1"/>
      <color rgb="FFFFFF66"/>
      <color rgb="FFFAD4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518400</xdr:colOff>
      <xdr:row>3</xdr:row>
      <xdr:rowOff>114300</xdr:rowOff>
    </xdr:from>
    <xdr:to>
      <xdr:col>119</xdr:col>
      <xdr:colOff>5804382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74500" y="1952625"/>
          <a:ext cx="5285982" cy="3571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100</xdr:col>
      <xdr:colOff>1571625</xdr:colOff>
      <xdr:row>2</xdr:row>
      <xdr:rowOff>952499</xdr:rowOff>
    </xdr:from>
    <xdr:to>
      <xdr:col>119</xdr:col>
      <xdr:colOff>2664913</xdr:colOff>
      <xdr:row>6</xdr:row>
      <xdr:rowOff>349248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3050" y="1323974"/>
          <a:ext cx="6341563" cy="4473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2349500</xdr:colOff>
      <xdr:row>2</xdr:row>
      <xdr:rowOff>174624</xdr:rowOff>
    </xdr:from>
    <xdr:to>
      <xdr:col>119</xdr:col>
      <xdr:colOff>5060417</xdr:colOff>
      <xdr:row>5</xdr:row>
      <xdr:rowOff>1000124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71275" y="555624"/>
          <a:ext cx="6759042" cy="4797425"/>
        </a:xfrm>
        <a:prstGeom prst="rect">
          <a:avLst/>
        </a:prstGeom>
      </xdr:spPr>
    </xdr:pic>
    <xdr:clientData/>
  </xdr:twoCellAnchor>
  <xdr:twoCellAnchor editAs="oneCell">
    <xdr:from>
      <xdr:col>118</xdr:col>
      <xdr:colOff>938388</xdr:colOff>
      <xdr:row>1</xdr:row>
      <xdr:rowOff>174624</xdr:rowOff>
    </xdr:from>
    <xdr:to>
      <xdr:col>119</xdr:col>
      <xdr:colOff>3910361</xdr:colOff>
      <xdr:row>5</xdr:row>
      <xdr:rowOff>823735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083CF3A-E2C8-4417-8347-F82BFE7F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0163" y="365124"/>
          <a:ext cx="7020098" cy="48115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119</xdr:col>
      <xdr:colOff>2159000</xdr:colOff>
      <xdr:row>2</xdr:row>
      <xdr:rowOff>873124</xdr:rowOff>
    </xdr:from>
    <xdr:to>
      <xdr:col>119</xdr:col>
      <xdr:colOff>10723615</xdr:colOff>
      <xdr:row>6</xdr:row>
      <xdr:rowOff>598093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9600" y="1254124"/>
          <a:ext cx="8564615" cy="61162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2066925</xdr:colOff>
      <xdr:row>3</xdr:row>
      <xdr:rowOff>771525</xdr:rowOff>
    </xdr:from>
    <xdr:to>
      <xdr:col>119</xdr:col>
      <xdr:colOff>4855987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74975" y="2619375"/>
          <a:ext cx="6580012" cy="481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609600</xdr:colOff>
      <xdr:row>2</xdr:row>
      <xdr:rowOff>180975</xdr:rowOff>
    </xdr:from>
    <xdr:ext cx="6810375" cy="47815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21400" y="552450"/>
          <a:ext cx="6810375" cy="47815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1079500</xdr:colOff>
      <xdr:row>2</xdr:row>
      <xdr:rowOff>311149</xdr:rowOff>
    </xdr:from>
    <xdr:ext cx="5842000" cy="489585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69050" y="1797049"/>
          <a:ext cx="5842000" cy="4895851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Q41"/>
  <sheetViews>
    <sheetView tabSelected="1" topLeftCell="C1" zoomScale="20" zoomScaleNormal="20" zoomScaleSheetLayoutView="19" zoomScalePageLayoutView="25" workbookViewId="0">
      <selection activeCell="D19" sqref="D19:E20"/>
    </sheetView>
  </sheetViews>
  <sheetFormatPr baseColWidth="10" defaultColWidth="10.7109375" defaultRowHeight="15"/>
  <cols>
    <col min="1" max="1" width="6.42578125" style="1" customWidth="1"/>
    <col min="2" max="2" width="130.42578125" style="6" customWidth="1"/>
    <col min="3" max="3" width="99.28515625" style="6" customWidth="1"/>
    <col min="4" max="4" width="34.7109375" style="6" customWidth="1"/>
    <col min="5" max="5" width="34.42578125" style="6" customWidth="1"/>
    <col min="6" max="6" width="84.42578125" style="6" customWidth="1"/>
    <col min="7" max="7" width="64.7109375" style="6" customWidth="1"/>
    <col min="8" max="8" width="81.7109375" style="6" customWidth="1"/>
    <col min="9" max="9" width="57.42578125" style="6" customWidth="1"/>
    <col min="10" max="10" width="67.28515625" style="6" customWidth="1"/>
    <col min="11" max="12" width="30.7109375" style="3" hidden="1" customWidth="1"/>
    <col min="13" max="19" width="30.7109375" style="4" hidden="1" customWidth="1"/>
    <col min="20" max="53" width="30.7109375" style="1" hidden="1" customWidth="1"/>
    <col min="54" max="54" width="34.140625" style="1" hidden="1" customWidth="1"/>
    <col min="55" max="55" width="30.7109375" style="1" hidden="1" customWidth="1"/>
    <col min="56" max="64" width="30.7109375" style="1" customWidth="1"/>
    <col min="65" max="118" width="30.7109375" style="1" hidden="1" customWidth="1"/>
    <col min="119" max="119" width="80.42578125" style="1" customWidth="1"/>
    <col min="120" max="120" width="118.7109375" style="1" customWidth="1"/>
    <col min="121" max="16384" width="10.7109375" style="1"/>
  </cols>
  <sheetData>
    <row r="2" spans="2:121" ht="14.65" customHeight="1">
      <c r="B2" s="261" t="s">
        <v>28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1"/>
      <c r="CC2" s="261"/>
      <c r="CD2" s="261"/>
      <c r="CE2" s="261"/>
      <c r="CF2" s="261"/>
      <c r="CG2" s="261"/>
      <c r="CH2" s="261"/>
      <c r="CI2" s="261"/>
      <c r="CJ2" s="261"/>
      <c r="CK2" s="261"/>
      <c r="CL2" s="261"/>
      <c r="CM2" s="261"/>
      <c r="CN2" s="261"/>
      <c r="CO2" s="261"/>
      <c r="CP2" s="261"/>
      <c r="CQ2" s="261"/>
      <c r="CR2" s="261"/>
      <c r="CS2" s="261"/>
      <c r="CT2" s="261"/>
      <c r="CU2" s="261"/>
      <c r="CV2" s="261"/>
      <c r="CW2" s="261"/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  <c r="DJ2" s="261"/>
      <c r="DK2" s="261"/>
      <c r="DL2" s="261"/>
      <c r="DM2" s="261"/>
      <c r="DN2" s="261"/>
      <c r="DO2" s="261"/>
      <c r="DP2" s="261"/>
    </row>
    <row r="3" spans="2:121" ht="115.5" customHeight="1"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261"/>
      <c r="CR3" s="261"/>
      <c r="CS3" s="261"/>
      <c r="CT3" s="261"/>
      <c r="CU3" s="261"/>
      <c r="CV3" s="261"/>
      <c r="CW3" s="261"/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  <c r="DJ3" s="261"/>
      <c r="DK3" s="261"/>
      <c r="DL3" s="261"/>
      <c r="DM3" s="261"/>
      <c r="DN3" s="261"/>
      <c r="DO3" s="261"/>
      <c r="DP3" s="261"/>
    </row>
    <row r="4" spans="2:121" ht="127.5" customHeight="1">
      <c r="B4" s="262" t="s">
        <v>29</v>
      </c>
      <c r="C4" s="262"/>
      <c r="D4" s="262"/>
      <c r="E4" s="262"/>
      <c r="F4" s="2"/>
      <c r="G4" s="263"/>
      <c r="H4" s="263"/>
      <c r="I4" s="263"/>
      <c r="J4" s="263"/>
      <c r="K4" s="263"/>
    </row>
    <row r="5" spans="2:121" ht="70.150000000000006" customHeight="1">
      <c r="B5" s="264" t="s">
        <v>30</v>
      </c>
      <c r="C5" s="264"/>
      <c r="D5" s="264"/>
      <c r="E5" s="264"/>
      <c r="F5" s="5"/>
      <c r="I5" s="7"/>
      <c r="J5" s="7"/>
      <c r="K5" s="7"/>
      <c r="L5" s="8"/>
      <c r="P5" s="9"/>
      <c r="Q5" s="9"/>
      <c r="R5" s="9"/>
      <c r="S5" s="9"/>
      <c r="T5" s="10"/>
      <c r="U5" s="10"/>
    </row>
    <row r="6" spans="2:121" ht="87" customHeight="1">
      <c r="B6" s="265" t="s">
        <v>16</v>
      </c>
      <c r="C6" s="265"/>
      <c r="D6" s="265"/>
      <c r="E6" s="265"/>
      <c r="K6" s="11"/>
      <c r="L6" s="12"/>
      <c r="P6" s="9"/>
      <c r="Q6" s="9"/>
      <c r="R6" s="9"/>
      <c r="S6" s="9"/>
      <c r="T6" s="13"/>
      <c r="U6" s="13"/>
    </row>
    <row r="7" spans="2:121" ht="77.25" customHeight="1">
      <c r="B7" s="266" t="s">
        <v>31</v>
      </c>
      <c r="C7" s="266"/>
      <c r="D7" s="266"/>
      <c r="E7" s="266"/>
      <c r="G7" s="267" t="s">
        <v>23</v>
      </c>
      <c r="H7" s="14" t="s">
        <v>24</v>
      </c>
      <c r="I7" s="268"/>
      <c r="K7" s="12"/>
      <c r="P7" s="9"/>
      <c r="Q7" s="9"/>
      <c r="R7" s="9"/>
      <c r="S7" s="9"/>
      <c r="T7" s="10"/>
      <c r="U7" s="10"/>
    </row>
    <row r="8" spans="2:121" ht="77.650000000000006" customHeight="1">
      <c r="B8" s="265" t="s">
        <v>32</v>
      </c>
      <c r="C8" s="265"/>
      <c r="D8" s="265"/>
      <c r="E8" s="265"/>
      <c r="F8" s="15"/>
      <c r="G8" s="267"/>
      <c r="H8" s="16" t="s">
        <v>26</v>
      </c>
      <c r="I8" s="268"/>
      <c r="P8" s="9"/>
      <c r="Q8" s="9"/>
      <c r="R8" s="9"/>
      <c r="S8" s="9"/>
      <c r="T8" s="10"/>
      <c r="U8" s="10"/>
    </row>
    <row r="9" spans="2:121" ht="103.5" customHeight="1">
      <c r="B9" s="266" t="s">
        <v>33</v>
      </c>
      <c r="C9" s="266"/>
      <c r="D9" s="266"/>
      <c r="E9" s="266"/>
      <c r="F9" s="5"/>
      <c r="I9" s="269"/>
      <c r="K9" s="270" t="s">
        <v>34</v>
      </c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</row>
    <row r="10" spans="2:121" ht="90" customHeight="1">
      <c r="B10" s="272" t="s">
        <v>35</v>
      </c>
      <c r="C10" s="272" t="s">
        <v>36</v>
      </c>
      <c r="D10" s="274" t="s">
        <v>37</v>
      </c>
      <c r="E10" s="274"/>
      <c r="F10" s="276" t="s">
        <v>38</v>
      </c>
      <c r="G10" s="276" t="s">
        <v>39</v>
      </c>
      <c r="H10" s="278" t="s">
        <v>40</v>
      </c>
      <c r="I10" s="278"/>
      <c r="J10" s="279" t="s">
        <v>41</v>
      </c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</row>
    <row r="11" spans="2:121" ht="25.15" customHeight="1">
      <c r="B11" s="273"/>
      <c r="C11" s="273"/>
      <c r="D11" s="274"/>
      <c r="E11" s="274"/>
      <c r="F11" s="276"/>
      <c r="G11" s="276"/>
      <c r="H11" s="276" t="s">
        <v>42</v>
      </c>
      <c r="I11" s="276" t="s">
        <v>43</v>
      </c>
      <c r="J11" s="280"/>
      <c r="K11" s="289" t="s">
        <v>44</v>
      </c>
      <c r="L11" s="290"/>
      <c r="M11" s="290"/>
      <c r="N11" s="290"/>
      <c r="O11" s="290"/>
      <c r="P11" s="290"/>
      <c r="Q11" s="290"/>
      <c r="R11" s="290"/>
      <c r="S11" s="291"/>
      <c r="T11" s="289" t="s">
        <v>45</v>
      </c>
      <c r="U11" s="290"/>
      <c r="V11" s="290"/>
      <c r="W11" s="290"/>
      <c r="X11" s="290"/>
      <c r="Y11" s="290"/>
      <c r="Z11" s="290"/>
      <c r="AA11" s="290"/>
      <c r="AB11" s="291"/>
      <c r="AC11" s="289" t="s">
        <v>46</v>
      </c>
      <c r="AD11" s="290"/>
      <c r="AE11" s="290"/>
      <c r="AF11" s="290"/>
      <c r="AG11" s="290"/>
      <c r="AH11" s="290"/>
      <c r="AI11" s="290"/>
      <c r="AJ11" s="290"/>
      <c r="AK11" s="291"/>
      <c r="AL11" s="289" t="s">
        <v>47</v>
      </c>
      <c r="AM11" s="290"/>
      <c r="AN11" s="290"/>
      <c r="AO11" s="290"/>
      <c r="AP11" s="290"/>
      <c r="AQ11" s="290"/>
      <c r="AR11" s="290"/>
      <c r="AS11" s="290"/>
      <c r="AT11" s="291"/>
      <c r="AU11" s="289" t="s">
        <v>48</v>
      </c>
      <c r="AV11" s="290"/>
      <c r="AW11" s="290"/>
      <c r="AX11" s="290"/>
      <c r="AY11" s="290"/>
      <c r="AZ11" s="290"/>
      <c r="BA11" s="290"/>
      <c r="BB11" s="290"/>
      <c r="BC11" s="291"/>
      <c r="BD11" s="289" t="s">
        <v>49</v>
      </c>
      <c r="BE11" s="290"/>
      <c r="BF11" s="290"/>
      <c r="BG11" s="290"/>
      <c r="BH11" s="290"/>
      <c r="BI11" s="290"/>
      <c r="BJ11" s="290"/>
      <c r="BK11" s="290"/>
      <c r="BL11" s="291"/>
      <c r="BM11" s="289" t="s">
        <v>50</v>
      </c>
      <c r="BN11" s="290"/>
      <c r="BO11" s="290"/>
      <c r="BP11" s="290"/>
      <c r="BQ11" s="290"/>
      <c r="BR11" s="290"/>
      <c r="BS11" s="290"/>
      <c r="BT11" s="290"/>
      <c r="BU11" s="291"/>
      <c r="BV11" s="289" t="s">
        <v>51</v>
      </c>
      <c r="BW11" s="290"/>
      <c r="BX11" s="290"/>
      <c r="BY11" s="290"/>
      <c r="BZ11" s="290"/>
      <c r="CA11" s="290"/>
      <c r="CB11" s="290"/>
      <c r="CC11" s="290"/>
      <c r="CD11" s="291"/>
      <c r="CE11" s="289" t="s">
        <v>52</v>
      </c>
      <c r="CF11" s="290"/>
      <c r="CG11" s="290"/>
      <c r="CH11" s="290"/>
      <c r="CI11" s="290"/>
      <c r="CJ11" s="290"/>
      <c r="CK11" s="290"/>
      <c r="CL11" s="290"/>
      <c r="CM11" s="291"/>
      <c r="CN11" s="289" t="s">
        <v>53</v>
      </c>
      <c r="CO11" s="290"/>
      <c r="CP11" s="290"/>
      <c r="CQ11" s="290"/>
      <c r="CR11" s="290"/>
      <c r="CS11" s="290"/>
      <c r="CT11" s="290"/>
      <c r="CU11" s="290"/>
      <c r="CV11" s="291"/>
      <c r="CW11" s="289" t="s">
        <v>54</v>
      </c>
      <c r="CX11" s="290"/>
      <c r="CY11" s="290"/>
      <c r="CZ11" s="290"/>
      <c r="DA11" s="290"/>
      <c r="DB11" s="290"/>
      <c r="DC11" s="290"/>
      <c r="DD11" s="290"/>
      <c r="DE11" s="291"/>
      <c r="DF11" s="289" t="s">
        <v>55</v>
      </c>
      <c r="DG11" s="290"/>
      <c r="DH11" s="290"/>
      <c r="DI11" s="290"/>
      <c r="DJ11" s="290"/>
      <c r="DK11" s="290"/>
      <c r="DL11" s="290"/>
      <c r="DM11" s="290"/>
      <c r="DN11" s="291"/>
      <c r="DO11" s="301" t="s">
        <v>56</v>
      </c>
      <c r="DP11" s="304" t="s">
        <v>57</v>
      </c>
    </row>
    <row r="12" spans="2:121" ht="48" customHeight="1">
      <c r="B12" s="273"/>
      <c r="C12" s="273"/>
      <c r="D12" s="274"/>
      <c r="E12" s="274"/>
      <c r="F12" s="276"/>
      <c r="G12" s="276"/>
      <c r="H12" s="276"/>
      <c r="I12" s="276"/>
      <c r="J12" s="281"/>
      <c r="K12" s="292"/>
      <c r="L12" s="293"/>
      <c r="M12" s="293"/>
      <c r="N12" s="293"/>
      <c r="O12" s="293"/>
      <c r="P12" s="293"/>
      <c r="Q12" s="293"/>
      <c r="R12" s="293"/>
      <c r="S12" s="294"/>
      <c r="T12" s="292"/>
      <c r="U12" s="293"/>
      <c r="V12" s="293"/>
      <c r="W12" s="293"/>
      <c r="X12" s="293"/>
      <c r="Y12" s="293"/>
      <c r="Z12" s="293"/>
      <c r="AA12" s="293"/>
      <c r="AB12" s="294"/>
      <c r="AC12" s="292"/>
      <c r="AD12" s="293"/>
      <c r="AE12" s="293"/>
      <c r="AF12" s="293"/>
      <c r="AG12" s="293"/>
      <c r="AH12" s="293"/>
      <c r="AI12" s="293"/>
      <c r="AJ12" s="293"/>
      <c r="AK12" s="294"/>
      <c r="AL12" s="292"/>
      <c r="AM12" s="293"/>
      <c r="AN12" s="293"/>
      <c r="AO12" s="293"/>
      <c r="AP12" s="293"/>
      <c r="AQ12" s="293"/>
      <c r="AR12" s="293"/>
      <c r="AS12" s="293"/>
      <c r="AT12" s="294"/>
      <c r="AU12" s="292"/>
      <c r="AV12" s="293"/>
      <c r="AW12" s="293"/>
      <c r="AX12" s="293"/>
      <c r="AY12" s="293"/>
      <c r="AZ12" s="293"/>
      <c r="BA12" s="293"/>
      <c r="BB12" s="293"/>
      <c r="BC12" s="294"/>
      <c r="BD12" s="292"/>
      <c r="BE12" s="293"/>
      <c r="BF12" s="293"/>
      <c r="BG12" s="293"/>
      <c r="BH12" s="293"/>
      <c r="BI12" s="293"/>
      <c r="BJ12" s="293"/>
      <c r="BK12" s="293"/>
      <c r="BL12" s="294"/>
      <c r="BM12" s="292"/>
      <c r="BN12" s="293"/>
      <c r="BO12" s="293"/>
      <c r="BP12" s="293"/>
      <c r="BQ12" s="293"/>
      <c r="BR12" s="293"/>
      <c r="BS12" s="293"/>
      <c r="BT12" s="293"/>
      <c r="BU12" s="294"/>
      <c r="BV12" s="292"/>
      <c r="BW12" s="293"/>
      <c r="BX12" s="293"/>
      <c r="BY12" s="293"/>
      <c r="BZ12" s="293"/>
      <c r="CA12" s="293"/>
      <c r="CB12" s="293"/>
      <c r="CC12" s="293"/>
      <c r="CD12" s="294"/>
      <c r="CE12" s="292"/>
      <c r="CF12" s="293"/>
      <c r="CG12" s="293"/>
      <c r="CH12" s="293"/>
      <c r="CI12" s="293"/>
      <c r="CJ12" s="293"/>
      <c r="CK12" s="293"/>
      <c r="CL12" s="293"/>
      <c r="CM12" s="294"/>
      <c r="CN12" s="292"/>
      <c r="CO12" s="293"/>
      <c r="CP12" s="293"/>
      <c r="CQ12" s="293"/>
      <c r="CR12" s="293"/>
      <c r="CS12" s="293"/>
      <c r="CT12" s="293"/>
      <c r="CU12" s="293"/>
      <c r="CV12" s="294"/>
      <c r="CW12" s="292"/>
      <c r="CX12" s="293"/>
      <c r="CY12" s="293"/>
      <c r="CZ12" s="293"/>
      <c r="DA12" s="293"/>
      <c r="DB12" s="293"/>
      <c r="DC12" s="293"/>
      <c r="DD12" s="293"/>
      <c r="DE12" s="294"/>
      <c r="DF12" s="292"/>
      <c r="DG12" s="293"/>
      <c r="DH12" s="293"/>
      <c r="DI12" s="293"/>
      <c r="DJ12" s="293"/>
      <c r="DK12" s="293"/>
      <c r="DL12" s="293"/>
      <c r="DM12" s="293"/>
      <c r="DN12" s="294"/>
      <c r="DO12" s="302"/>
      <c r="DP12" s="305"/>
    </row>
    <row r="13" spans="2:121" ht="78" customHeight="1">
      <c r="B13" s="273"/>
      <c r="C13" s="273"/>
      <c r="D13" s="274"/>
      <c r="E13" s="274"/>
      <c r="F13" s="276"/>
      <c r="G13" s="276"/>
      <c r="H13" s="276"/>
      <c r="I13" s="276"/>
      <c r="J13" s="282" t="s">
        <v>58</v>
      </c>
      <c r="K13" s="295"/>
      <c r="L13" s="296"/>
      <c r="M13" s="296"/>
      <c r="N13" s="296"/>
      <c r="O13" s="296"/>
      <c r="P13" s="296"/>
      <c r="Q13" s="296"/>
      <c r="R13" s="296"/>
      <c r="S13" s="297"/>
      <c r="T13" s="295"/>
      <c r="U13" s="296"/>
      <c r="V13" s="296"/>
      <c r="W13" s="296"/>
      <c r="X13" s="296"/>
      <c r="Y13" s="296"/>
      <c r="Z13" s="296"/>
      <c r="AA13" s="296"/>
      <c r="AB13" s="297"/>
      <c r="AC13" s="295"/>
      <c r="AD13" s="296"/>
      <c r="AE13" s="296"/>
      <c r="AF13" s="296"/>
      <c r="AG13" s="296"/>
      <c r="AH13" s="296"/>
      <c r="AI13" s="296"/>
      <c r="AJ13" s="296"/>
      <c r="AK13" s="297"/>
      <c r="AL13" s="295"/>
      <c r="AM13" s="296"/>
      <c r="AN13" s="296"/>
      <c r="AO13" s="296"/>
      <c r="AP13" s="296"/>
      <c r="AQ13" s="296"/>
      <c r="AR13" s="296"/>
      <c r="AS13" s="296"/>
      <c r="AT13" s="297"/>
      <c r="AU13" s="295"/>
      <c r="AV13" s="296"/>
      <c r="AW13" s="296"/>
      <c r="AX13" s="296"/>
      <c r="AY13" s="296"/>
      <c r="AZ13" s="296"/>
      <c r="BA13" s="296"/>
      <c r="BB13" s="296"/>
      <c r="BC13" s="297"/>
      <c r="BD13" s="295"/>
      <c r="BE13" s="296"/>
      <c r="BF13" s="296"/>
      <c r="BG13" s="296"/>
      <c r="BH13" s="296"/>
      <c r="BI13" s="296"/>
      <c r="BJ13" s="296"/>
      <c r="BK13" s="296"/>
      <c r="BL13" s="297"/>
      <c r="BM13" s="295"/>
      <c r="BN13" s="296"/>
      <c r="BO13" s="296"/>
      <c r="BP13" s="296"/>
      <c r="BQ13" s="296"/>
      <c r="BR13" s="296"/>
      <c r="BS13" s="296"/>
      <c r="BT13" s="296"/>
      <c r="BU13" s="297"/>
      <c r="BV13" s="295"/>
      <c r="BW13" s="296"/>
      <c r="BX13" s="296"/>
      <c r="BY13" s="296"/>
      <c r="BZ13" s="296"/>
      <c r="CA13" s="296"/>
      <c r="CB13" s="296"/>
      <c r="CC13" s="296"/>
      <c r="CD13" s="297"/>
      <c r="CE13" s="295"/>
      <c r="CF13" s="296"/>
      <c r="CG13" s="296"/>
      <c r="CH13" s="296"/>
      <c r="CI13" s="296"/>
      <c r="CJ13" s="296"/>
      <c r="CK13" s="296"/>
      <c r="CL13" s="296"/>
      <c r="CM13" s="297"/>
      <c r="CN13" s="295"/>
      <c r="CO13" s="296"/>
      <c r="CP13" s="296"/>
      <c r="CQ13" s="296"/>
      <c r="CR13" s="296"/>
      <c r="CS13" s="296"/>
      <c r="CT13" s="296"/>
      <c r="CU13" s="296"/>
      <c r="CV13" s="297"/>
      <c r="CW13" s="295"/>
      <c r="CX13" s="296"/>
      <c r="CY13" s="296"/>
      <c r="CZ13" s="296"/>
      <c r="DA13" s="296"/>
      <c r="DB13" s="296"/>
      <c r="DC13" s="296"/>
      <c r="DD13" s="296"/>
      <c r="DE13" s="297"/>
      <c r="DF13" s="295"/>
      <c r="DG13" s="296"/>
      <c r="DH13" s="296"/>
      <c r="DI13" s="296"/>
      <c r="DJ13" s="296"/>
      <c r="DK13" s="296"/>
      <c r="DL13" s="296"/>
      <c r="DM13" s="296"/>
      <c r="DN13" s="297"/>
      <c r="DO13" s="302"/>
      <c r="DP13" s="305"/>
    </row>
    <row r="14" spans="2:121" ht="100.15" customHeight="1">
      <c r="B14" s="273"/>
      <c r="C14" s="273"/>
      <c r="D14" s="275"/>
      <c r="E14" s="275"/>
      <c r="F14" s="277"/>
      <c r="G14" s="277"/>
      <c r="H14" s="277"/>
      <c r="I14" s="277"/>
      <c r="J14" s="283"/>
      <c r="K14" s="17" t="s">
        <v>59</v>
      </c>
      <c r="L14" s="17" t="s">
        <v>60</v>
      </c>
      <c r="M14" s="17" t="s">
        <v>61</v>
      </c>
      <c r="N14" s="17" t="s">
        <v>62</v>
      </c>
      <c r="O14" s="17" t="s">
        <v>63</v>
      </c>
      <c r="P14" s="17" t="s">
        <v>64</v>
      </c>
      <c r="Q14" s="17" t="s">
        <v>65</v>
      </c>
      <c r="R14" s="17" t="s">
        <v>66</v>
      </c>
      <c r="S14" s="17" t="s">
        <v>67</v>
      </c>
      <c r="T14" s="17" t="s">
        <v>59</v>
      </c>
      <c r="U14" s="17" t="s">
        <v>60</v>
      </c>
      <c r="V14" s="17" t="s">
        <v>61</v>
      </c>
      <c r="W14" s="17" t="s">
        <v>62</v>
      </c>
      <c r="X14" s="17" t="s">
        <v>63</v>
      </c>
      <c r="Y14" s="17" t="s">
        <v>64</v>
      </c>
      <c r="Z14" s="17" t="s">
        <v>65</v>
      </c>
      <c r="AA14" s="17" t="s">
        <v>66</v>
      </c>
      <c r="AB14" s="17" t="s">
        <v>67</v>
      </c>
      <c r="AC14" s="17" t="s">
        <v>59</v>
      </c>
      <c r="AD14" s="17" t="s">
        <v>60</v>
      </c>
      <c r="AE14" s="17" t="s">
        <v>61</v>
      </c>
      <c r="AF14" s="17" t="s">
        <v>62</v>
      </c>
      <c r="AG14" s="17" t="s">
        <v>63</v>
      </c>
      <c r="AH14" s="17" t="s">
        <v>64</v>
      </c>
      <c r="AI14" s="17" t="s">
        <v>65</v>
      </c>
      <c r="AJ14" s="17" t="s">
        <v>66</v>
      </c>
      <c r="AK14" s="17" t="s">
        <v>67</v>
      </c>
      <c r="AL14" s="17" t="s">
        <v>59</v>
      </c>
      <c r="AM14" s="17" t="s">
        <v>60</v>
      </c>
      <c r="AN14" s="17" t="s">
        <v>61</v>
      </c>
      <c r="AO14" s="17" t="s">
        <v>62</v>
      </c>
      <c r="AP14" s="17" t="s">
        <v>63</v>
      </c>
      <c r="AQ14" s="17" t="s">
        <v>64</v>
      </c>
      <c r="AR14" s="17" t="s">
        <v>65</v>
      </c>
      <c r="AS14" s="17" t="s">
        <v>66</v>
      </c>
      <c r="AT14" s="17" t="s">
        <v>67</v>
      </c>
      <c r="AU14" s="17" t="s">
        <v>59</v>
      </c>
      <c r="AV14" s="17" t="s">
        <v>60</v>
      </c>
      <c r="AW14" s="17" t="s">
        <v>61</v>
      </c>
      <c r="AX14" s="17" t="s">
        <v>62</v>
      </c>
      <c r="AY14" s="17" t="s">
        <v>63</v>
      </c>
      <c r="AZ14" s="17" t="s">
        <v>64</v>
      </c>
      <c r="BA14" s="17" t="s">
        <v>65</v>
      </c>
      <c r="BB14" s="17" t="s">
        <v>66</v>
      </c>
      <c r="BC14" s="17" t="s">
        <v>67</v>
      </c>
      <c r="BD14" s="17" t="s">
        <v>59</v>
      </c>
      <c r="BE14" s="17" t="s">
        <v>60</v>
      </c>
      <c r="BF14" s="17" t="s">
        <v>61</v>
      </c>
      <c r="BG14" s="17" t="s">
        <v>62</v>
      </c>
      <c r="BH14" s="17" t="s">
        <v>63</v>
      </c>
      <c r="BI14" s="17" t="s">
        <v>64</v>
      </c>
      <c r="BJ14" s="17" t="s">
        <v>65</v>
      </c>
      <c r="BK14" s="17" t="s">
        <v>66</v>
      </c>
      <c r="BL14" s="17" t="s">
        <v>67</v>
      </c>
      <c r="BM14" s="17" t="s">
        <v>59</v>
      </c>
      <c r="BN14" s="17" t="s">
        <v>60</v>
      </c>
      <c r="BO14" s="17" t="s">
        <v>61</v>
      </c>
      <c r="BP14" s="17" t="s">
        <v>62</v>
      </c>
      <c r="BQ14" s="17" t="s">
        <v>63</v>
      </c>
      <c r="BR14" s="17" t="s">
        <v>64</v>
      </c>
      <c r="BS14" s="17" t="s">
        <v>65</v>
      </c>
      <c r="BT14" s="17" t="s">
        <v>66</v>
      </c>
      <c r="BU14" s="17" t="s">
        <v>67</v>
      </c>
      <c r="BV14" s="17" t="s">
        <v>59</v>
      </c>
      <c r="BW14" s="17" t="s">
        <v>60</v>
      </c>
      <c r="BX14" s="17" t="s">
        <v>61</v>
      </c>
      <c r="BY14" s="17" t="s">
        <v>62</v>
      </c>
      <c r="BZ14" s="17" t="s">
        <v>63</v>
      </c>
      <c r="CA14" s="17" t="s">
        <v>64</v>
      </c>
      <c r="CB14" s="17" t="s">
        <v>65</v>
      </c>
      <c r="CC14" s="17" t="s">
        <v>66</v>
      </c>
      <c r="CD14" s="17" t="s">
        <v>67</v>
      </c>
      <c r="CE14" s="17" t="s">
        <v>59</v>
      </c>
      <c r="CF14" s="17" t="s">
        <v>60</v>
      </c>
      <c r="CG14" s="17" t="s">
        <v>61</v>
      </c>
      <c r="CH14" s="17" t="s">
        <v>62</v>
      </c>
      <c r="CI14" s="17" t="s">
        <v>63</v>
      </c>
      <c r="CJ14" s="17" t="s">
        <v>64</v>
      </c>
      <c r="CK14" s="17" t="s">
        <v>65</v>
      </c>
      <c r="CL14" s="17" t="s">
        <v>66</v>
      </c>
      <c r="CM14" s="17" t="s">
        <v>67</v>
      </c>
      <c r="CN14" s="17" t="s">
        <v>59</v>
      </c>
      <c r="CO14" s="17" t="s">
        <v>60</v>
      </c>
      <c r="CP14" s="17" t="s">
        <v>61</v>
      </c>
      <c r="CQ14" s="17" t="s">
        <v>62</v>
      </c>
      <c r="CR14" s="17" t="s">
        <v>63</v>
      </c>
      <c r="CS14" s="17" t="s">
        <v>64</v>
      </c>
      <c r="CT14" s="17" t="s">
        <v>65</v>
      </c>
      <c r="CU14" s="17" t="s">
        <v>66</v>
      </c>
      <c r="CV14" s="17" t="s">
        <v>67</v>
      </c>
      <c r="CW14" s="17" t="s">
        <v>59</v>
      </c>
      <c r="CX14" s="17" t="s">
        <v>60</v>
      </c>
      <c r="CY14" s="17" t="s">
        <v>61</v>
      </c>
      <c r="CZ14" s="17" t="s">
        <v>62</v>
      </c>
      <c r="DA14" s="17" t="s">
        <v>63</v>
      </c>
      <c r="DB14" s="17" t="s">
        <v>64</v>
      </c>
      <c r="DC14" s="17" t="s">
        <v>65</v>
      </c>
      <c r="DD14" s="17" t="s">
        <v>66</v>
      </c>
      <c r="DE14" s="17" t="s">
        <v>67</v>
      </c>
      <c r="DF14" s="17" t="s">
        <v>59</v>
      </c>
      <c r="DG14" s="17" t="s">
        <v>60</v>
      </c>
      <c r="DH14" s="17" t="s">
        <v>61</v>
      </c>
      <c r="DI14" s="17" t="s">
        <v>62</v>
      </c>
      <c r="DJ14" s="17" t="s">
        <v>63</v>
      </c>
      <c r="DK14" s="17" t="s">
        <v>64</v>
      </c>
      <c r="DL14" s="17" t="s">
        <v>65</v>
      </c>
      <c r="DM14" s="17" t="s">
        <v>66</v>
      </c>
      <c r="DN14" s="17" t="s">
        <v>67</v>
      </c>
      <c r="DO14" s="303"/>
      <c r="DP14" s="306"/>
    </row>
    <row r="15" spans="2:121" ht="182.25" hidden="1" customHeight="1">
      <c r="B15" s="284" t="s">
        <v>68</v>
      </c>
      <c r="C15" s="285" t="s">
        <v>69</v>
      </c>
      <c r="D15" s="284" t="s">
        <v>70</v>
      </c>
      <c r="E15" s="284"/>
      <c r="F15" s="284" t="s">
        <v>13</v>
      </c>
      <c r="G15" s="284">
        <v>145</v>
      </c>
      <c r="H15" s="287" t="s">
        <v>71</v>
      </c>
      <c r="I15" s="284">
        <v>102</v>
      </c>
      <c r="J15" s="18" t="s">
        <v>72</v>
      </c>
      <c r="K15" s="298">
        <v>60</v>
      </c>
      <c r="L15" s="299"/>
      <c r="M15" s="299"/>
      <c r="N15" s="299"/>
      <c r="O15" s="299"/>
      <c r="P15" s="299"/>
      <c r="Q15" s="299"/>
      <c r="R15" s="300"/>
      <c r="S15" s="19">
        <f>SUM(K15)</f>
        <v>60</v>
      </c>
      <c r="T15" s="298">
        <v>14</v>
      </c>
      <c r="U15" s="299"/>
      <c r="V15" s="299"/>
      <c r="W15" s="299"/>
      <c r="X15" s="299"/>
      <c r="Y15" s="299"/>
      <c r="Z15" s="299"/>
      <c r="AA15" s="300"/>
      <c r="AB15" s="19">
        <f>SUM(T15)</f>
        <v>14</v>
      </c>
      <c r="AC15" s="298">
        <v>0</v>
      </c>
      <c r="AD15" s="299"/>
      <c r="AE15" s="299"/>
      <c r="AF15" s="299"/>
      <c r="AG15" s="299"/>
      <c r="AH15" s="299"/>
      <c r="AI15" s="299"/>
      <c r="AJ15" s="300"/>
      <c r="AK15" s="19">
        <f>SUM(AC15)</f>
        <v>0</v>
      </c>
      <c r="AL15" s="298">
        <v>0</v>
      </c>
      <c r="AM15" s="299"/>
      <c r="AN15" s="299"/>
      <c r="AO15" s="299"/>
      <c r="AP15" s="299"/>
      <c r="AQ15" s="299"/>
      <c r="AR15" s="299"/>
      <c r="AS15" s="300"/>
      <c r="AT15" s="19">
        <f>SUM(AL15)</f>
        <v>0</v>
      </c>
      <c r="AU15" s="298">
        <v>0</v>
      </c>
      <c r="AV15" s="299"/>
      <c r="AW15" s="299"/>
      <c r="AX15" s="299"/>
      <c r="AY15" s="299"/>
      <c r="AZ15" s="299"/>
      <c r="BA15" s="299"/>
      <c r="BB15" s="300"/>
      <c r="BC15" s="19">
        <f>SUM(AU15)</f>
        <v>0</v>
      </c>
      <c r="BD15" s="298">
        <v>28</v>
      </c>
      <c r="BE15" s="299"/>
      <c r="BF15" s="299"/>
      <c r="BG15" s="299"/>
      <c r="BH15" s="299"/>
      <c r="BI15" s="299"/>
      <c r="BJ15" s="299"/>
      <c r="BK15" s="300"/>
      <c r="BL15" s="19">
        <f>SUM(BD15)</f>
        <v>28</v>
      </c>
      <c r="BM15" s="298">
        <v>0</v>
      </c>
      <c r="BN15" s="299"/>
      <c r="BO15" s="299"/>
      <c r="BP15" s="299"/>
      <c r="BQ15" s="299"/>
      <c r="BR15" s="299"/>
      <c r="BS15" s="299"/>
      <c r="BT15" s="300"/>
      <c r="BU15" s="19">
        <f>SUM(BM15)</f>
        <v>0</v>
      </c>
      <c r="BV15" s="298">
        <v>0</v>
      </c>
      <c r="BW15" s="299"/>
      <c r="BX15" s="299"/>
      <c r="BY15" s="299"/>
      <c r="BZ15" s="299"/>
      <c r="CA15" s="299"/>
      <c r="CB15" s="299"/>
      <c r="CC15" s="300"/>
      <c r="CD15" s="19">
        <f>SUM(BV15)</f>
        <v>0</v>
      </c>
      <c r="CE15" s="298">
        <v>0</v>
      </c>
      <c r="CF15" s="299"/>
      <c r="CG15" s="299"/>
      <c r="CH15" s="299"/>
      <c r="CI15" s="299"/>
      <c r="CJ15" s="299"/>
      <c r="CK15" s="299"/>
      <c r="CL15" s="300"/>
      <c r="CM15" s="19">
        <f>SUM(CE15)</f>
        <v>0</v>
      </c>
      <c r="CN15" s="298">
        <v>0</v>
      </c>
      <c r="CO15" s="299"/>
      <c r="CP15" s="299"/>
      <c r="CQ15" s="299"/>
      <c r="CR15" s="299"/>
      <c r="CS15" s="299"/>
      <c r="CT15" s="299"/>
      <c r="CU15" s="300"/>
      <c r="CV15" s="19">
        <f>SUM(CN15)</f>
        <v>0</v>
      </c>
      <c r="CW15" s="298">
        <v>0</v>
      </c>
      <c r="CX15" s="299"/>
      <c r="CY15" s="299"/>
      <c r="CZ15" s="299"/>
      <c r="DA15" s="299"/>
      <c r="DB15" s="299"/>
      <c r="DC15" s="299"/>
      <c r="DD15" s="300"/>
      <c r="DE15" s="19">
        <f>SUM(CW15)</f>
        <v>0</v>
      </c>
      <c r="DF15" s="298">
        <v>0</v>
      </c>
      <c r="DG15" s="299"/>
      <c r="DH15" s="299"/>
      <c r="DI15" s="299"/>
      <c r="DJ15" s="299"/>
      <c r="DK15" s="299"/>
      <c r="DL15" s="299"/>
      <c r="DM15" s="300"/>
      <c r="DN15" s="19">
        <f>SUM(DF15)</f>
        <v>0</v>
      </c>
      <c r="DO15" s="20">
        <f>S15++AB15+AK15+AT15+BC15+BL15+BU15+CD15+CM15+CV15+DE15+DN15</f>
        <v>102</v>
      </c>
      <c r="DP15" s="21"/>
      <c r="DQ15" s="22"/>
    </row>
    <row r="16" spans="2:121" ht="189.75" customHeight="1">
      <c r="B16" s="284"/>
      <c r="C16" s="286"/>
      <c r="D16" s="284"/>
      <c r="E16" s="284"/>
      <c r="F16" s="284"/>
      <c r="G16" s="284"/>
      <c r="H16" s="287"/>
      <c r="I16" s="288"/>
      <c r="J16" s="23" t="s">
        <v>73</v>
      </c>
      <c r="K16" s="24"/>
      <c r="L16" s="24"/>
      <c r="M16" s="24"/>
      <c r="N16" s="24"/>
      <c r="O16" s="24">
        <v>59</v>
      </c>
      <c r="P16" s="24">
        <v>1</v>
      </c>
      <c r="Q16" s="24"/>
      <c r="R16" s="24"/>
      <c r="S16" s="24">
        <f>SUM(K16:R16)</f>
        <v>60</v>
      </c>
      <c r="T16" s="24"/>
      <c r="U16" s="24"/>
      <c r="V16" s="24"/>
      <c r="W16" s="24"/>
      <c r="X16" s="24">
        <v>8</v>
      </c>
      <c r="Y16" s="24"/>
      <c r="Z16" s="24"/>
      <c r="AA16" s="24"/>
      <c r="AB16" s="24">
        <f>SUM(T16:AA16)</f>
        <v>8</v>
      </c>
      <c r="AC16" s="24"/>
      <c r="AD16" s="24"/>
      <c r="AE16" s="24"/>
      <c r="AF16" s="24"/>
      <c r="AG16" s="24">
        <v>2</v>
      </c>
      <c r="AH16" s="24"/>
      <c r="AI16" s="24"/>
      <c r="AJ16" s="24"/>
      <c r="AK16" s="24">
        <f>SUM(AC16:AJ16)</f>
        <v>2</v>
      </c>
      <c r="AL16" s="24"/>
      <c r="AM16" s="24"/>
      <c r="AN16" s="24"/>
      <c r="AO16" s="24"/>
      <c r="AP16" s="24">
        <v>2</v>
      </c>
      <c r="AQ16" s="24"/>
      <c r="AR16" s="24"/>
      <c r="AS16" s="24"/>
      <c r="AT16" s="24">
        <f>SUM(AL16:AS16)</f>
        <v>2</v>
      </c>
      <c r="AU16" s="24"/>
      <c r="AV16" s="24"/>
      <c r="AW16" s="24"/>
      <c r="AX16" s="24"/>
      <c r="AY16" s="24"/>
      <c r="AZ16" s="24"/>
      <c r="BA16" s="24"/>
      <c r="BB16" s="24"/>
      <c r="BC16" s="24">
        <f>SUM(AU16:BB16)</f>
        <v>0</v>
      </c>
      <c r="BD16" s="24"/>
      <c r="BE16" s="24"/>
      <c r="BF16" s="24"/>
      <c r="BG16" s="24"/>
      <c r="BH16" s="24"/>
      <c r="BI16" s="24"/>
      <c r="BJ16" s="24"/>
      <c r="BK16" s="24"/>
      <c r="BL16" s="24">
        <f>SUM(BD16:BK16)</f>
        <v>0</v>
      </c>
      <c r="BM16" s="24"/>
      <c r="BN16" s="24"/>
      <c r="BO16" s="24"/>
      <c r="BP16" s="24"/>
      <c r="BQ16" s="24"/>
      <c r="BR16" s="24"/>
      <c r="BS16" s="24"/>
      <c r="BT16" s="24"/>
      <c r="BU16" s="24">
        <f t="shared" ref="BU16:BU30" si="0">SUM(BM16)</f>
        <v>0</v>
      </c>
      <c r="BV16" s="24"/>
      <c r="BW16" s="24"/>
      <c r="BX16" s="24"/>
      <c r="BY16" s="24"/>
      <c r="BZ16" s="24"/>
      <c r="CA16" s="24"/>
      <c r="CB16" s="24"/>
      <c r="CC16" s="24"/>
      <c r="CD16" s="24">
        <f t="shared" ref="CD16:CD30" si="1">SUM(BV16)</f>
        <v>0</v>
      </c>
      <c r="CE16" s="24"/>
      <c r="CF16" s="24"/>
      <c r="CG16" s="24"/>
      <c r="CH16" s="24"/>
      <c r="CI16" s="24"/>
      <c r="CJ16" s="24"/>
      <c r="CK16" s="24"/>
      <c r="CL16" s="24"/>
      <c r="CM16" s="24">
        <f t="shared" ref="CM16:CM30" si="2">SUM(CE16)</f>
        <v>0</v>
      </c>
      <c r="CN16" s="24"/>
      <c r="CO16" s="24"/>
      <c r="CP16" s="24"/>
      <c r="CQ16" s="24"/>
      <c r="CR16" s="24"/>
      <c r="CS16" s="24"/>
      <c r="CT16" s="24"/>
      <c r="CU16" s="24"/>
      <c r="CV16" s="24">
        <f t="shared" ref="CV16:CV30" si="3">SUM(CN16)</f>
        <v>0</v>
      </c>
      <c r="CW16" s="24"/>
      <c r="CX16" s="24"/>
      <c r="CY16" s="24"/>
      <c r="CZ16" s="24"/>
      <c r="DA16" s="24"/>
      <c r="DB16" s="24"/>
      <c r="DC16" s="24"/>
      <c r="DD16" s="24"/>
      <c r="DE16" s="24">
        <f t="shared" ref="DE16:DE30" si="4">SUM(CW16)</f>
        <v>0</v>
      </c>
      <c r="DF16" s="24"/>
      <c r="DG16" s="24"/>
      <c r="DH16" s="24"/>
      <c r="DI16" s="24"/>
      <c r="DJ16" s="24"/>
      <c r="DK16" s="24"/>
      <c r="DL16" s="24"/>
      <c r="DM16" s="24"/>
      <c r="DN16" s="24">
        <f t="shared" ref="DN16:DN30" si="5">SUM(DF16)</f>
        <v>0</v>
      </c>
      <c r="DO16" s="25">
        <f t="shared" ref="DO16:DO30" si="6">S16++AB16+AK16+AT16+BC16+BL16+BU16+CD16+CM16+CV16+DE16+DN16</f>
        <v>72</v>
      </c>
      <c r="DP16" s="26"/>
      <c r="DQ16" s="22"/>
    </row>
    <row r="17" spans="2:121" ht="167.25" hidden="1" customHeight="1">
      <c r="B17" s="284" t="s">
        <v>74</v>
      </c>
      <c r="C17" s="285" t="s">
        <v>75</v>
      </c>
      <c r="D17" s="284" t="s">
        <v>70</v>
      </c>
      <c r="E17" s="284"/>
      <c r="F17" s="284" t="s">
        <v>0</v>
      </c>
      <c r="G17" s="284">
        <v>102</v>
      </c>
      <c r="H17" s="307" t="s">
        <v>76</v>
      </c>
      <c r="I17" s="309">
        <v>102</v>
      </c>
      <c r="J17" s="27" t="s">
        <v>72</v>
      </c>
      <c r="K17" s="308">
        <v>60</v>
      </c>
      <c r="L17" s="308"/>
      <c r="M17" s="308"/>
      <c r="N17" s="308"/>
      <c r="O17" s="308"/>
      <c r="P17" s="308"/>
      <c r="Q17" s="308"/>
      <c r="R17" s="308"/>
      <c r="S17" s="24">
        <f t="shared" ref="S17:S30" si="7">SUM(K17:R17)</f>
        <v>60</v>
      </c>
      <c r="T17" s="308">
        <v>14</v>
      </c>
      <c r="U17" s="308"/>
      <c r="V17" s="308"/>
      <c r="W17" s="308"/>
      <c r="X17" s="308"/>
      <c r="Y17" s="308"/>
      <c r="Z17" s="308"/>
      <c r="AA17" s="308"/>
      <c r="AB17" s="24">
        <f>SUM(T17:AA17)</f>
        <v>14</v>
      </c>
      <c r="AC17" s="308">
        <v>0</v>
      </c>
      <c r="AD17" s="308"/>
      <c r="AE17" s="308"/>
      <c r="AF17" s="308"/>
      <c r="AG17" s="308"/>
      <c r="AH17" s="308"/>
      <c r="AI17" s="308"/>
      <c r="AJ17" s="308"/>
      <c r="AK17" s="28">
        <f t="shared" ref="AK17:AK30" si="8">SUM(AC17)</f>
        <v>0</v>
      </c>
      <c r="AL17" s="308">
        <v>0</v>
      </c>
      <c r="AM17" s="308"/>
      <c r="AN17" s="308"/>
      <c r="AO17" s="308"/>
      <c r="AP17" s="308"/>
      <c r="AQ17" s="308"/>
      <c r="AR17" s="308"/>
      <c r="AS17" s="308"/>
      <c r="AT17" s="24">
        <f t="shared" ref="AT17:AT20" si="9">SUM(AL17:AS17)</f>
        <v>0</v>
      </c>
      <c r="AU17" s="308">
        <v>0</v>
      </c>
      <c r="AV17" s="308"/>
      <c r="AW17" s="308"/>
      <c r="AX17" s="308"/>
      <c r="AY17" s="308"/>
      <c r="AZ17" s="308"/>
      <c r="BA17" s="308"/>
      <c r="BB17" s="308"/>
      <c r="BC17" s="24">
        <f t="shared" ref="BC17:BC30" si="10">SUM(AU17:BB17)</f>
        <v>0</v>
      </c>
      <c r="BD17" s="308">
        <v>28</v>
      </c>
      <c r="BE17" s="308"/>
      <c r="BF17" s="308"/>
      <c r="BG17" s="308"/>
      <c r="BH17" s="308"/>
      <c r="BI17" s="308"/>
      <c r="BJ17" s="308"/>
      <c r="BK17" s="308"/>
      <c r="BL17" s="24">
        <f t="shared" ref="BL17:BL20" si="11">SUM(BD17:BK17)</f>
        <v>28</v>
      </c>
      <c r="BM17" s="308">
        <v>0</v>
      </c>
      <c r="BN17" s="308"/>
      <c r="BO17" s="308"/>
      <c r="BP17" s="308"/>
      <c r="BQ17" s="308"/>
      <c r="BR17" s="308"/>
      <c r="BS17" s="308"/>
      <c r="BT17" s="308"/>
      <c r="BU17" s="28">
        <f t="shared" si="0"/>
        <v>0</v>
      </c>
      <c r="BV17" s="308">
        <v>0</v>
      </c>
      <c r="BW17" s="308"/>
      <c r="BX17" s="308"/>
      <c r="BY17" s="308"/>
      <c r="BZ17" s="308"/>
      <c r="CA17" s="308"/>
      <c r="CB17" s="308"/>
      <c r="CC17" s="308"/>
      <c r="CD17" s="28">
        <f t="shared" si="1"/>
        <v>0</v>
      </c>
      <c r="CE17" s="308">
        <v>0</v>
      </c>
      <c r="CF17" s="308"/>
      <c r="CG17" s="308"/>
      <c r="CH17" s="308"/>
      <c r="CI17" s="308"/>
      <c r="CJ17" s="308"/>
      <c r="CK17" s="308"/>
      <c r="CL17" s="308"/>
      <c r="CM17" s="28">
        <f t="shared" si="2"/>
        <v>0</v>
      </c>
      <c r="CN17" s="308">
        <v>0</v>
      </c>
      <c r="CO17" s="308"/>
      <c r="CP17" s="308"/>
      <c r="CQ17" s="308"/>
      <c r="CR17" s="308"/>
      <c r="CS17" s="308"/>
      <c r="CT17" s="308"/>
      <c r="CU17" s="308"/>
      <c r="CV17" s="28">
        <f t="shared" si="3"/>
        <v>0</v>
      </c>
      <c r="CW17" s="308">
        <v>0</v>
      </c>
      <c r="CX17" s="308"/>
      <c r="CY17" s="308"/>
      <c r="CZ17" s="308"/>
      <c r="DA17" s="308"/>
      <c r="DB17" s="308"/>
      <c r="DC17" s="308"/>
      <c r="DD17" s="308"/>
      <c r="DE17" s="28">
        <f t="shared" si="4"/>
        <v>0</v>
      </c>
      <c r="DF17" s="308">
        <v>0</v>
      </c>
      <c r="DG17" s="308"/>
      <c r="DH17" s="308"/>
      <c r="DI17" s="308"/>
      <c r="DJ17" s="308"/>
      <c r="DK17" s="308"/>
      <c r="DL17" s="308"/>
      <c r="DM17" s="308"/>
      <c r="DN17" s="28">
        <f t="shared" si="5"/>
        <v>0</v>
      </c>
      <c r="DO17" s="29">
        <f t="shared" si="6"/>
        <v>102</v>
      </c>
      <c r="DP17" s="26"/>
      <c r="DQ17" s="22"/>
    </row>
    <row r="18" spans="2:121" ht="206.65" customHeight="1">
      <c r="B18" s="284"/>
      <c r="C18" s="286"/>
      <c r="D18" s="284"/>
      <c r="E18" s="284"/>
      <c r="F18" s="284"/>
      <c r="G18" s="284"/>
      <c r="H18" s="307"/>
      <c r="I18" s="288"/>
      <c r="J18" s="23" t="s">
        <v>73</v>
      </c>
      <c r="K18" s="24">
        <v>8</v>
      </c>
      <c r="L18" s="24">
        <v>3</v>
      </c>
      <c r="M18" s="24"/>
      <c r="N18" s="24"/>
      <c r="O18" s="24">
        <v>38</v>
      </c>
      <c r="P18" s="24">
        <v>1</v>
      </c>
      <c r="Q18" s="24"/>
      <c r="R18" s="24"/>
      <c r="S18" s="24">
        <f t="shared" si="7"/>
        <v>50</v>
      </c>
      <c r="T18" s="24"/>
      <c r="U18" s="24"/>
      <c r="V18" s="24"/>
      <c r="W18" s="24"/>
      <c r="X18" s="24">
        <v>8</v>
      </c>
      <c r="Y18" s="24"/>
      <c r="Z18" s="24"/>
      <c r="AA18" s="24"/>
      <c r="AB18" s="24">
        <f>SUM(T18:AA18)</f>
        <v>8</v>
      </c>
      <c r="AC18" s="24"/>
      <c r="AD18" s="24"/>
      <c r="AE18" s="24"/>
      <c r="AF18" s="24"/>
      <c r="AG18" s="24">
        <v>2</v>
      </c>
      <c r="AH18" s="24"/>
      <c r="AI18" s="24"/>
      <c r="AJ18" s="24"/>
      <c r="AK18" s="24">
        <f>SUM(AC18:AJ18)</f>
        <v>2</v>
      </c>
      <c r="AL18" s="24"/>
      <c r="AM18" s="24"/>
      <c r="AN18" s="24"/>
      <c r="AO18" s="24"/>
      <c r="AP18" s="24">
        <v>2</v>
      </c>
      <c r="AQ18" s="24"/>
      <c r="AR18" s="24"/>
      <c r="AS18" s="24"/>
      <c r="AT18" s="24">
        <f t="shared" si="9"/>
        <v>2</v>
      </c>
      <c r="AU18" s="24"/>
      <c r="AV18" s="24"/>
      <c r="AW18" s="24"/>
      <c r="AX18" s="24"/>
      <c r="AY18" s="24"/>
      <c r="AZ18" s="24"/>
      <c r="BA18" s="24"/>
      <c r="BB18" s="24"/>
      <c r="BC18" s="24">
        <f t="shared" si="10"/>
        <v>0</v>
      </c>
      <c r="BD18" s="24"/>
      <c r="BE18" s="24"/>
      <c r="BF18" s="24"/>
      <c r="BG18" s="24"/>
      <c r="BH18" s="24">
        <v>2</v>
      </c>
      <c r="BI18" s="24"/>
      <c r="BJ18" s="24"/>
      <c r="BK18" s="24"/>
      <c r="BL18" s="24">
        <f t="shared" si="11"/>
        <v>2</v>
      </c>
      <c r="BM18" s="24"/>
      <c r="BN18" s="24"/>
      <c r="BO18" s="24"/>
      <c r="BP18" s="24"/>
      <c r="BQ18" s="24"/>
      <c r="BR18" s="24"/>
      <c r="BS18" s="24"/>
      <c r="BT18" s="24"/>
      <c r="BU18" s="24">
        <f t="shared" si="0"/>
        <v>0</v>
      </c>
      <c r="BV18" s="24"/>
      <c r="BW18" s="24"/>
      <c r="BX18" s="24"/>
      <c r="BY18" s="24"/>
      <c r="BZ18" s="24"/>
      <c r="CA18" s="24"/>
      <c r="CB18" s="24"/>
      <c r="CC18" s="24"/>
      <c r="CD18" s="24">
        <f t="shared" si="1"/>
        <v>0</v>
      </c>
      <c r="CE18" s="24"/>
      <c r="CF18" s="24"/>
      <c r="CG18" s="24"/>
      <c r="CH18" s="24"/>
      <c r="CI18" s="24"/>
      <c r="CJ18" s="24"/>
      <c r="CK18" s="24"/>
      <c r="CL18" s="24"/>
      <c r="CM18" s="24">
        <f t="shared" si="2"/>
        <v>0</v>
      </c>
      <c r="CN18" s="24"/>
      <c r="CO18" s="24"/>
      <c r="CP18" s="24"/>
      <c r="CQ18" s="24"/>
      <c r="CR18" s="24"/>
      <c r="CS18" s="24"/>
      <c r="CT18" s="24"/>
      <c r="CU18" s="24"/>
      <c r="CV18" s="24">
        <f t="shared" si="3"/>
        <v>0</v>
      </c>
      <c r="CW18" s="24"/>
      <c r="CX18" s="24"/>
      <c r="CY18" s="24"/>
      <c r="CZ18" s="24"/>
      <c r="DA18" s="24"/>
      <c r="DB18" s="24"/>
      <c r="DC18" s="24"/>
      <c r="DD18" s="24"/>
      <c r="DE18" s="24">
        <f t="shared" si="4"/>
        <v>0</v>
      </c>
      <c r="DF18" s="24"/>
      <c r="DG18" s="24"/>
      <c r="DH18" s="24"/>
      <c r="DI18" s="24"/>
      <c r="DJ18" s="24"/>
      <c r="DK18" s="24"/>
      <c r="DL18" s="24"/>
      <c r="DM18" s="24"/>
      <c r="DN18" s="24">
        <f t="shared" si="5"/>
        <v>0</v>
      </c>
      <c r="DO18" s="25">
        <f t="shared" si="6"/>
        <v>64</v>
      </c>
      <c r="DP18" s="30"/>
      <c r="DQ18" s="22"/>
    </row>
    <row r="19" spans="2:121" ht="189.75" hidden="1" customHeight="1">
      <c r="B19" s="284" t="s">
        <v>68</v>
      </c>
      <c r="C19" s="285" t="s">
        <v>77</v>
      </c>
      <c r="D19" s="284" t="s">
        <v>78</v>
      </c>
      <c r="E19" s="284"/>
      <c r="F19" s="284" t="s">
        <v>13</v>
      </c>
      <c r="G19" s="284">
        <v>399</v>
      </c>
      <c r="H19" s="287" t="s">
        <v>79</v>
      </c>
      <c r="I19" s="288">
        <v>348</v>
      </c>
      <c r="J19" s="27" t="s">
        <v>72</v>
      </c>
      <c r="K19" s="308">
        <v>29</v>
      </c>
      <c r="L19" s="308"/>
      <c r="M19" s="308"/>
      <c r="N19" s="308"/>
      <c r="O19" s="308"/>
      <c r="P19" s="308"/>
      <c r="Q19" s="308"/>
      <c r="R19" s="308"/>
      <c r="S19" s="24">
        <f t="shared" si="7"/>
        <v>29</v>
      </c>
      <c r="T19" s="308">
        <v>29</v>
      </c>
      <c r="U19" s="308"/>
      <c r="V19" s="308"/>
      <c r="W19" s="308"/>
      <c r="X19" s="308"/>
      <c r="Y19" s="308"/>
      <c r="Z19" s="308"/>
      <c r="AA19" s="308"/>
      <c r="AB19" s="24">
        <f>SUM(T19:AA19)</f>
        <v>29</v>
      </c>
      <c r="AC19" s="308">
        <v>29</v>
      </c>
      <c r="AD19" s="308"/>
      <c r="AE19" s="308"/>
      <c r="AF19" s="308"/>
      <c r="AG19" s="308"/>
      <c r="AH19" s="308"/>
      <c r="AI19" s="308"/>
      <c r="AJ19" s="308"/>
      <c r="AK19" s="28">
        <f t="shared" si="8"/>
        <v>29</v>
      </c>
      <c r="AL19" s="308">
        <v>60</v>
      </c>
      <c r="AM19" s="308"/>
      <c r="AN19" s="308"/>
      <c r="AO19" s="308"/>
      <c r="AP19" s="308"/>
      <c r="AQ19" s="308"/>
      <c r="AR19" s="308"/>
      <c r="AS19" s="308"/>
      <c r="AT19" s="24">
        <f>SUM(AL19:AS19)</f>
        <v>60</v>
      </c>
      <c r="AU19" s="308">
        <v>29</v>
      </c>
      <c r="AV19" s="308"/>
      <c r="AW19" s="308"/>
      <c r="AX19" s="308"/>
      <c r="AY19" s="308"/>
      <c r="AZ19" s="308"/>
      <c r="BA19" s="308"/>
      <c r="BB19" s="308"/>
      <c r="BC19" s="24">
        <f t="shared" si="10"/>
        <v>29</v>
      </c>
      <c r="BD19" s="308">
        <v>29</v>
      </c>
      <c r="BE19" s="308"/>
      <c r="BF19" s="308"/>
      <c r="BG19" s="308"/>
      <c r="BH19" s="308"/>
      <c r="BI19" s="308"/>
      <c r="BJ19" s="308"/>
      <c r="BK19" s="308"/>
      <c r="BL19" s="24">
        <f>SUM(BD19:BK19)</f>
        <v>29</v>
      </c>
      <c r="BM19" s="308">
        <v>29</v>
      </c>
      <c r="BN19" s="308"/>
      <c r="BO19" s="308"/>
      <c r="BP19" s="308"/>
      <c r="BQ19" s="308"/>
      <c r="BR19" s="308"/>
      <c r="BS19" s="308"/>
      <c r="BT19" s="308"/>
      <c r="BU19" s="28">
        <f t="shared" si="0"/>
        <v>29</v>
      </c>
      <c r="BV19" s="308">
        <v>29</v>
      </c>
      <c r="BW19" s="308"/>
      <c r="BX19" s="308"/>
      <c r="BY19" s="308"/>
      <c r="BZ19" s="308"/>
      <c r="CA19" s="308"/>
      <c r="CB19" s="308"/>
      <c r="CC19" s="308"/>
      <c r="CD19" s="28">
        <f t="shared" si="1"/>
        <v>29</v>
      </c>
      <c r="CE19" s="308">
        <v>29</v>
      </c>
      <c r="CF19" s="308"/>
      <c r="CG19" s="308"/>
      <c r="CH19" s="308"/>
      <c r="CI19" s="308"/>
      <c r="CJ19" s="308"/>
      <c r="CK19" s="308"/>
      <c r="CL19" s="308"/>
      <c r="CM19" s="28">
        <f t="shared" si="2"/>
        <v>29</v>
      </c>
      <c r="CN19" s="308">
        <v>29</v>
      </c>
      <c r="CO19" s="308"/>
      <c r="CP19" s="308"/>
      <c r="CQ19" s="308"/>
      <c r="CR19" s="308"/>
      <c r="CS19" s="308"/>
      <c r="CT19" s="308"/>
      <c r="CU19" s="308"/>
      <c r="CV19" s="28">
        <f t="shared" si="3"/>
        <v>29</v>
      </c>
      <c r="CW19" s="308">
        <v>29</v>
      </c>
      <c r="CX19" s="308"/>
      <c r="CY19" s="308"/>
      <c r="CZ19" s="308"/>
      <c r="DA19" s="308"/>
      <c r="DB19" s="308"/>
      <c r="DC19" s="308"/>
      <c r="DD19" s="308"/>
      <c r="DE19" s="28">
        <f t="shared" si="4"/>
        <v>29</v>
      </c>
      <c r="DF19" s="308">
        <v>29</v>
      </c>
      <c r="DG19" s="308"/>
      <c r="DH19" s="308"/>
      <c r="DI19" s="308"/>
      <c r="DJ19" s="308"/>
      <c r="DK19" s="308"/>
      <c r="DL19" s="308"/>
      <c r="DM19" s="308"/>
      <c r="DN19" s="28">
        <f t="shared" si="5"/>
        <v>29</v>
      </c>
      <c r="DO19" s="25">
        <f t="shared" si="6"/>
        <v>379</v>
      </c>
      <c r="DP19" s="26"/>
      <c r="DQ19" s="22"/>
    </row>
    <row r="20" spans="2:121" ht="159.75" customHeight="1">
      <c r="B20" s="284"/>
      <c r="C20" s="286"/>
      <c r="D20" s="284"/>
      <c r="E20" s="284"/>
      <c r="F20" s="284"/>
      <c r="G20" s="284"/>
      <c r="H20" s="287"/>
      <c r="I20" s="288"/>
      <c r="J20" s="23" t="s">
        <v>73</v>
      </c>
      <c r="K20" s="24"/>
      <c r="L20" s="24"/>
      <c r="M20" s="24"/>
      <c r="N20" s="24"/>
      <c r="O20" s="24">
        <v>59</v>
      </c>
      <c r="P20" s="24">
        <v>1</v>
      </c>
      <c r="Q20" s="24"/>
      <c r="R20" s="24"/>
      <c r="S20" s="24">
        <f t="shared" si="7"/>
        <v>60</v>
      </c>
      <c r="T20" s="24"/>
      <c r="U20" s="24"/>
      <c r="V20" s="24"/>
      <c r="W20" s="24"/>
      <c r="X20" s="24">
        <v>60</v>
      </c>
      <c r="Y20" s="24"/>
      <c r="Z20" s="24"/>
      <c r="AA20" s="24"/>
      <c r="AB20" s="24">
        <f>SUM(T20:AA20)</f>
        <v>60</v>
      </c>
      <c r="AC20" s="24"/>
      <c r="AD20" s="24"/>
      <c r="AE20" s="24"/>
      <c r="AF20" s="24"/>
      <c r="AG20" s="24">
        <v>60</v>
      </c>
      <c r="AH20" s="24"/>
      <c r="AI20" s="24"/>
      <c r="AJ20" s="24"/>
      <c r="AK20" s="24">
        <f>SUM(AC20:AJ20)</f>
        <v>60</v>
      </c>
      <c r="AL20" s="24"/>
      <c r="AM20" s="24"/>
      <c r="AN20" s="24"/>
      <c r="AO20" s="24"/>
      <c r="AP20" s="24">
        <v>60</v>
      </c>
      <c r="AQ20" s="24"/>
      <c r="AR20" s="24"/>
      <c r="AS20" s="24"/>
      <c r="AT20" s="24">
        <f t="shared" si="9"/>
        <v>60</v>
      </c>
      <c r="AU20" s="24"/>
      <c r="AV20" s="24"/>
      <c r="AW20" s="24"/>
      <c r="AX20" s="24"/>
      <c r="AY20" s="24">
        <v>60</v>
      </c>
      <c r="AZ20" s="24"/>
      <c r="BA20" s="24"/>
      <c r="BB20" s="24"/>
      <c r="BC20" s="24">
        <f t="shared" si="10"/>
        <v>60</v>
      </c>
      <c r="BD20" s="24"/>
      <c r="BE20" s="24"/>
      <c r="BF20" s="24"/>
      <c r="BG20" s="24"/>
      <c r="BH20" s="24">
        <v>59</v>
      </c>
      <c r="BI20" s="24">
        <v>1</v>
      </c>
      <c r="BJ20" s="24"/>
      <c r="BK20" s="24"/>
      <c r="BL20" s="24">
        <f t="shared" si="11"/>
        <v>60</v>
      </c>
      <c r="BM20" s="24"/>
      <c r="BN20" s="24"/>
      <c r="BO20" s="24"/>
      <c r="BP20" s="24"/>
      <c r="BQ20" s="24"/>
      <c r="BR20" s="24"/>
      <c r="BS20" s="24"/>
      <c r="BT20" s="24"/>
      <c r="BU20" s="24">
        <f t="shared" si="0"/>
        <v>0</v>
      </c>
      <c r="BV20" s="24"/>
      <c r="BW20" s="24"/>
      <c r="BX20" s="24"/>
      <c r="BY20" s="24"/>
      <c r="BZ20" s="24"/>
      <c r="CA20" s="24"/>
      <c r="CB20" s="24"/>
      <c r="CC20" s="24"/>
      <c r="CD20" s="24">
        <f t="shared" si="1"/>
        <v>0</v>
      </c>
      <c r="CE20" s="24"/>
      <c r="CF20" s="24"/>
      <c r="CG20" s="24"/>
      <c r="CH20" s="24"/>
      <c r="CI20" s="24"/>
      <c r="CJ20" s="24"/>
      <c r="CK20" s="24"/>
      <c r="CL20" s="24"/>
      <c r="CM20" s="24">
        <f t="shared" si="2"/>
        <v>0</v>
      </c>
      <c r="CN20" s="24"/>
      <c r="CO20" s="24"/>
      <c r="CP20" s="24"/>
      <c r="CQ20" s="24"/>
      <c r="CR20" s="24"/>
      <c r="CS20" s="24"/>
      <c r="CT20" s="24"/>
      <c r="CU20" s="24"/>
      <c r="CV20" s="24">
        <f t="shared" si="3"/>
        <v>0</v>
      </c>
      <c r="CW20" s="24"/>
      <c r="CX20" s="24"/>
      <c r="CY20" s="24"/>
      <c r="CZ20" s="24"/>
      <c r="DA20" s="24"/>
      <c r="DB20" s="24"/>
      <c r="DC20" s="24"/>
      <c r="DD20" s="24"/>
      <c r="DE20" s="24">
        <f t="shared" si="4"/>
        <v>0</v>
      </c>
      <c r="DF20" s="24"/>
      <c r="DG20" s="24"/>
      <c r="DH20" s="24"/>
      <c r="DI20" s="24"/>
      <c r="DJ20" s="24"/>
      <c r="DK20" s="24"/>
      <c r="DL20" s="24"/>
      <c r="DM20" s="24"/>
      <c r="DN20" s="24">
        <f t="shared" si="5"/>
        <v>0</v>
      </c>
      <c r="DO20" s="25">
        <f t="shared" si="6"/>
        <v>360</v>
      </c>
      <c r="DP20" s="26"/>
      <c r="DQ20" s="22"/>
    </row>
    <row r="21" spans="2:121" ht="187.5" hidden="1" customHeight="1">
      <c r="B21" s="284" t="s">
        <v>74</v>
      </c>
      <c r="C21" s="284" t="s">
        <v>75</v>
      </c>
      <c r="D21" s="284" t="s">
        <v>80</v>
      </c>
      <c r="E21" s="284"/>
      <c r="F21" s="284" t="s">
        <v>12</v>
      </c>
      <c r="G21" s="284">
        <v>22</v>
      </c>
      <c r="H21" s="310" t="s">
        <v>81</v>
      </c>
      <c r="I21" s="288">
        <v>115</v>
      </c>
      <c r="J21" s="27" t="s">
        <v>72</v>
      </c>
      <c r="K21" s="308">
        <v>10</v>
      </c>
      <c r="L21" s="308"/>
      <c r="M21" s="308"/>
      <c r="N21" s="308"/>
      <c r="O21" s="308"/>
      <c r="P21" s="308"/>
      <c r="Q21" s="308"/>
      <c r="R21" s="308"/>
      <c r="S21" s="24">
        <f t="shared" si="7"/>
        <v>10</v>
      </c>
      <c r="T21" s="308">
        <v>4</v>
      </c>
      <c r="U21" s="308"/>
      <c r="V21" s="308"/>
      <c r="W21" s="308"/>
      <c r="X21" s="308"/>
      <c r="Y21" s="308"/>
      <c r="Z21" s="308"/>
      <c r="AA21" s="308"/>
      <c r="AB21" s="308">
        <f>SUM(T21)</f>
        <v>4</v>
      </c>
      <c r="AC21" s="308">
        <v>4</v>
      </c>
      <c r="AD21" s="308"/>
      <c r="AE21" s="308"/>
      <c r="AF21" s="308"/>
      <c r="AG21" s="308"/>
      <c r="AH21" s="308"/>
      <c r="AI21" s="308"/>
      <c r="AJ21" s="28"/>
      <c r="AK21" s="308">
        <f t="shared" si="8"/>
        <v>4</v>
      </c>
      <c r="AL21" s="308">
        <v>7</v>
      </c>
      <c r="AM21" s="308"/>
      <c r="AN21" s="308"/>
      <c r="AO21" s="308"/>
      <c r="AP21" s="308"/>
      <c r="AQ21" s="308"/>
      <c r="AR21" s="308"/>
      <c r="AS21" s="31"/>
      <c r="AT21" s="31">
        <f t="shared" ref="AT21:AT30" si="12">SUM(AL21)</f>
        <v>7</v>
      </c>
      <c r="AU21" s="31"/>
      <c r="AV21" s="31"/>
      <c r="AW21" s="31"/>
      <c r="AX21" s="31"/>
      <c r="AY21" s="31"/>
      <c r="AZ21" s="31"/>
      <c r="BA21" s="28"/>
      <c r="BB21" s="31"/>
      <c r="BC21" s="24">
        <f t="shared" si="10"/>
        <v>0</v>
      </c>
      <c r="BD21" s="31"/>
      <c r="BE21" s="31"/>
      <c r="BF21" s="31"/>
      <c r="BG21" s="31"/>
      <c r="BH21" s="31"/>
      <c r="BI21" s="31"/>
      <c r="BJ21" s="308"/>
      <c r="BK21" s="308"/>
      <c r="BL21" s="308">
        <f t="shared" ref="BL21:BL23" si="13">SUM(BD21)</f>
        <v>0</v>
      </c>
      <c r="BM21" s="308"/>
      <c r="BN21" s="308"/>
      <c r="BO21" s="308"/>
      <c r="BP21" s="308"/>
      <c r="BQ21" s="308"/>
      <c r="BR21" s="28"/>
      <c r="BS21" s="308"/>
      <c r="BT21" s="308"/>
      <c r="BU21" s="308">
        <f t="shared" si="0"/>
        <v>0</v>
      </c>
      <c r="BV21" s="308"/>
      <c r="BW21" s="308"/>
      <c r="BX21" s="308"/>
      <c r="BY21" s="308"/>
      <c r="BZ21" s="308"/>
      <c r="CA21" s="308"/>
      <c r="CB21" s="308"/>
      <c r="CC21" s="308"/>
      <c r="CD21" s="308">
        <f t="shared" si="1"/>
        <v>0</v>
      </c>
      <c r="CE21" s="308">
        <v>20</v>
      </c>
      <c r="CF21" s="308"/>
      <c r="CG21" s="308"/>
      <c r="CH21" s="308"/>
      <c r="CI21" s="28"/>
      <c r="CJ21" s="308"/>
      <c r="CK21" s="308"/>
      <c r="CL21" s="308"/>
      <c r="CM21" s="308">
        <f t="shared" si="2"/>
        <v>20</v>
      </c>
      <c r="CN21" s="308">
        <v>10</v>
      </c>
      <c r="CO21" s="308"/>
      <c r="CP21" s="308"/>
      <c r="CQ21" s="308"/>
      <c r="CR21" s="308"/>
      <c r="CS21" s="308"/>
      <c r="CT21" s="308"/>
      <c r="CU21" s="308"/>
      <c r="CV21" s="308">
        <f t="shared" si="3"/>
        <v>10</v>
      </c>
      <c r="CW21" s="308">
        <v>20</v>
      </c>
      <c r="CX21" s="308"/>
      <c r="CY21" s="308"/>
      <c r="CZ21" s="28"/>
      <c r="DA21" s="308"/>
      <c r="DB21" s="308"/>
      <c r="DC21" s="308"/>
      <c r="DD21" s="308"/>
      <c r="DE21" s="308">
        <f t="shared" si="4"/>
        <v>20</v>
      </c>
      <c r="DF21" s="308">
        <v>40</v>
      </c>
      <c r="DG21" s="308"/>
      <c r="DH21" s="308"/>
      <c r="DI21" s="308"/>
      <c r="DJ21" s="308"/>
      <c r="DK21" s="308"/>
      <c r="DL21" s="308"/>
      <c r="DM21" s="308"/>
      <c r="DN21" s="308">
        <f t="shared" si="5"/>
        <v>40</v>
      </c>
      <c r="DO21" s="25">
        <f t="shared" si="6"/>
        <v>115</v>
      </c>
      <c r="DP21" s="26"/>
      <c r="DQ21" s="22"/>
    </row>
    <row r="22" spans="2:121" ht="221.25" customHeight="1">
      <c r="B22" s="284"/>
      <c r="C22" s="284"/>
      <c r="D22" s="284"/>
      <c r="E22" s="284"/>
      <c r="F22" s="284"/>
      <c r="G22" s="284"/>
      <c r="H22" s="310"/>
      <c r="I22" s="284"/>
      <c r="J22" s="32" t="s">
        <v>73</v>
      </c>
      <c r="K22" s="33"/>
      <c r="L22" s="33"/>
      <c r="M22" s="33"/>
      <c r="N22" s="33"/>
      <c r="O22" s="33">
        <v>7</v>
      </c>
      <c r="P22" s="33">
        <v>1</v>
      </c>
      <c r="Q22" s="33"/>
      <c r="R22" s="33"/>
      <c r="S22" s="33">
        <f t="shared" si="7"/>
        <v>8</v>
      </c>
      <c r="T22" s="33"/>
      <c r="U22" s="33"/>
      <c r="V22" s="33"/>
      <c r="W22" s="33"/>
      <c r="X22" s="33">
        <v>10</v>
      </c>
      <c r="Y22" s="33"/>
      <c r="Z22" s="33"/>
      <c r="AA22" s="33"/>
      <c r="AB22" s="33">
        <f>SUM(T22:AA22)</f>
        <v>10</v>
      </c>
      <c r="AC22" s="33"/>
      <c r="AD22" s="33"/>
      <c r="AE22" s="33"/>
      <c r="AF22" s="33"/>
      <c r="AG22" s="33">
        <v>0</v>
      </c>
      <c r="AH22" s="33"/>
      <c r="AI22" s="33"/>
      <c r="AJ22" s="33"/>
      <c r="AK22" s="33">
        <f>SUM(AC22:AJ22)</f>
        <v>0</v>
      </c>
      <c r="AL22" s="33"/>
      <c r="AM22" s="33"/>
      <c r="AN22" s="33"/>
      <c r="AO22" s="33"/>
      <c r="AP22" s="33">
        <v>9</v>
      </c>
      <c r="AQ22" s="33"/>
      <c r="AR22" s="33"/>
      <c r="AS22" s="33"/>
      <c r="AT22" s="33">
        <f>SUM(AL22:AS22)</f>
        <v>9</v>
      </c>
      <c r="AU22" s="33"/>
      <c r="AV22" s="33"/>
      <c r="AW22" s="33"/>
      <c r="AX22" s="33"/>
      <c r="AY22" s="33">
        <v>2</v>
      </c>
      <c r="AZ22" s="33"/>
      <c r="BA22" s="33"/>
      <c r="BB22" s="33"/>
      <c r="BC22" s="24">
        <f t="shared" si="10"/>
        <v>2</v>
      </c>
      <c r="BD22" s="33"/>
      <c r="BE22" s="33"/>
      <c r="BF22" s="33"/>
      <c r="BG22" s="33"/>
      <c r="BH22" s="33">
        <v>7</v>
      </c>
      <c r="BI22" s="33"/>
      <c r="BJ22" s="33"/>
      <c r="BK22" s="33"/>
      <c r="BL22" s="33">
        <f>SUM(BD22:BK22)</f>
        <v>7</v>
      </c>
      <c r="BM22" s="33"/>
      <c r="BN22" s="33"/>
      <c r="BO22" s="33"/>
      <c r="BP22" s="33"/>
      <c r="BQ22" s="33"/>
      <c r="BR22" s="33"/>
      <c r="BS22" s="33"/>
      <c r="BT22" s="33"/>
      <c r="BU22" s="33">
        <f t="shared" si="0"/>
        <v>0</v>
      </c>
      <c r="BV22" s="33"/>
      <c r="BW22" s="33"/>
      <c r="BX22" s="33"/>
      <c r="BY22" s="33"/>
      <c r="BZ22" s="33"/>
      <c r="CA22" s="33"/>
      <c r="CB22" s="33"/>
      <c r="CC22" s="33"/>
      <c r="CD22" s="33">
        <f t="shared" si="1"/>
        <v>0</v>
      </c>
      <c r="CE22" s="33"/>
      <c r="CF22" s="33"/>
      <c r="CG22" s="33"/>
      <c r="CH22" s="33"/>
      <c r="CI22" s="33"/>
      <c r="CJ22" s="33"/>
      <c r="CK22" s="33"/>
      <c r="CL22" s="33"/>
      <c r="CM22" s="33">
        <f t="shared" si="2"/>
        <v>0</v>
      </c>
      <c r="CN22" s="33"/>
      <c r="CO22" s="33"/>
      <c r="CP22" s="33"/>
      <c r="CQ22" s="33"/>
      <c r="CR22" s="33"/>
      <c r="CS22" s="33"/>
      <c r="CT22" s="33"/>
      <c r="CU22" s="33"/>
      <c r="CV22" s="33">
        <f t="shared" si="3"/>
        <v>0</v>
      </c>
      <c r="CW22" s="33"/>
      <c r="CX22" s="33"/>
      <c r="CY22" s="33"/>
      <c r="CZ22" s="33"/>
      <c r="DA22" s="33"/>
      <c r="DB22" s="33"/>
      <c r="DC22" s="33"/>
      <c r="DD22" s="33"/>
      <c r="DE22" s="33">
        <f t="shared" si="4"/>
        <v>0</v>
      </c>
      <c r="DF22" s="33"/>
      <c r="DG22" s="33"/>
      <c r="DH22" s="33"/>
      <c r="DI22" s="33"/>
      <c r="DJ22" s="33"/>
      <c r="DK22" s="33"/>
      <c r="DL22" s="33"/>
      <c r="DM22" s="33"/>
      <c r="DN22" s="33">
        <f t="shared" si="5"/>
        <v>0</v>
      </c>
      <c r="DO22" s="34">
        <f t="shared" si="6"/>
        <v>36</v>
      </c>
      <c r="DP22" s="35"/>
      <c r="DQ22" s="22"/>
    </row>
    <row r="23" spans="2:121" ht="183.75" hidden="1" customHeight="1">
      <c r="B23" s="284" t="s">
        <v>74</v>
      </c>
      <c r="C23" s="284" t="s">
        <v>75</v>
      </c>
      <c r="D23" s="284" t="s">
        <v>80</v>
      </c>
      <c r="E23" s="284"/>
      <c r="F23" s="284" t="s">
        <v>12</v>
      </c>
      <c r="G23" s="284">
        <v>9</v>
      </c>
      <c r="H23" s="310" t="s">
        <v>82</v>
      </c>
      <c r="I23" s="314">
        <v>18</v>
      </c>
      <c r="J23" s="36" t="s">
        <v>72</v>
      </c>
      <c r="K23" s="311">
        <v>0</v>
      </c>
      <c r="L23" s="312"/>
      <c r="M23" s="312"/>
      <c r="N23" s="312"/>
      <c r="O23" s="312"/>
      <c r="P23" s="312"/>
      <c r="Q23" s="312"/>
      <c r="R23" s="313"/>
      <c r="S23" s="37">
        <f t="shared" si="7"/>
        <v>0</v>
      </c>
      <c r="T23" s="311">
        <v>0</v>
      </c>
      <c r="U23" s="312"/>
      <c r="V23" s="312"/>
      <c r="W23" s="312"/>
      <c r="X23" s="312"/>
      <c r="Y23" s="312"/>
      <c r="Z23" s="312"/>
      <c r="AA23" s="313"/>
      <c r="AB23" s="28">
        <f>SUM(T23)</f>
        <v>0</v>
      </c>
      <c r="AC23" s="311">
        <v>1</v>
      </c>
      <c r="AD23" s="312"/>
      <c r="AE23" s="312"/>
      <c r="AF23" s="312"/>
      <c r="AG23" s="312"/>
      <c r="AH23" s="312"/>
      <c r="AI23" s="312"/>
      <c r="AJ23" s="313"/>
      <c r="AK23" s="28">
        <f t="shared" si="8"/>
        <v>1</v>
      </c>
      <c r="AL23" s="311">
        <v>1</v>
      </c>
      <c r="AM23" s="312"/>
      <c r="AN23" s="312"/>
      <c r="AO23" s="312"/>
      <c r="AP23" s="312"/>
      <c r="AQ23" s="312"/>
      <c r="AR23" s="312"/>
      <c r="AS23" s="313"/>
      <c r="AT23" s="28">
        <f t="shared" si="12"/>
        <v>1</v>
      </c>
      <c r="AU23" s="311">
        <v>2</v>
      </c>
      <c r="AV23" s="312"/>
      <c r="AW23" s="312"/>
      <c r="AX23" s="312"/>
      <c r="AY23" s="312"/>
      <c r="AZ23" s="312"/>
      <c r="BA23" s="312"/>
      <c r="BB23" s="313"/>
      <c r="BC23" s="24">
        <f t="shared" si="10"/>
        <v>2</v>
      </c>
      <c r="BD23" s="311">
        <v>2</v>
      </c>
      <c r="BE23" s="312"/>
      <c r="BF23" s="312"/>
      <c r="BG23" s="312"/>
      <c r="BH23" s="312"/>
      <c r="BI23" s="312"/>
      <c r="BJ23" s="312"/>
      <c r="BK23" s="313"/>
      <c r="BL23" s="28">
        <f t="shared" si="13"/>
        <v>2</v>
      </c>
      <c r="BM23" s="311">
        <v>2</v>
      </c>
      <c r="BN23" s="312"/>
      <c r="BO23" s="312"/>
      <c r="BP23" s="312"/>
      <c r="BQ23" s="312"/>
      <c r="BR23" s="312"/>
      <c r="BS23" s="312"/>
      <c r="BT23" s="313"/>
      <c r="BU23" s="28">
        <f t="shared" si="0"/>
        <v>2</v>
      </c>
      <c r="BV23" s="311">
        <v>2</v>
      </c>
      <c r="BW23" s="312"/>
      <c r="BX23" s="312"/>
      <c r="BY23" s="312"/>
      <c r="BZ23" s="312"/>
      <c r="CA23" s="312"/>
      <c r="CB23" s="312"/>
      <c r="CC23" s="313"/>
      <c r="CD23" s="28">
        <f t="shared" si="1"/>
        <v>2</v>
      </c>
      <c r="CE23" s="311">
        <v>2</v>
      </c>
      <c r="CF23" s="312"/>
      <c r="CG23" s="312"/>
      <c r="CH23" s="312"/>
      <c r="CI23" s="312"/>
      <c r="CJ23" s="312"/>
      <c r="CK23" s="312"/>
      <c r="CL23" s="313"/>
      <c r="CM23" s="28">
        <f t="shared" si="2"/>
        <v>2</v>
      </c>
      <c r="CN23" s="311">
        <v>2</v>
      </c>
      <c r="CO23" s="312"/>
      <c r="CP23" s="312"/>
      <c r="CQ23" s="312"/>
      <c r="CR23" s="312"/>
      <c r="CS23" s="312"/>
      <c r="CT23" s="312"/>
      <c r="CU23" s="313"/>
      <c r="CV23" s="28">
        <f t="shared" si="3"/>
        <v>2</v>
      </c>
      <c r="CW23" s="311">
        <v>2</v>
      </c>
      <c r="CX23" s="312"/>
      <c r="CY23" s="312"/>
      <c r="CZ23" s="312"/>
      <c r="DA23" s="312"/>
      <c r="DB23" s="312"/>
      <c r="DC23" s="312"/>
      <c r="DD23" s="313"/>
      <c r="DE23" s="28">
        <f t="shared" si="4"/>
        <v>2</v>
      </c>
      <c r="DF23" s="311">
        <v>2</v>
      </c>
      <c r="DG23" s="312"/>
      <c r="DH23" s="312"/>
      <c r="DI23" s="312"/>
      <c r="DJ23" s="312"/>
      <c r="DK23" s="312"/>
      <c r="DL23" s="312"/>
      <c r="DM23" s="313"/>
      <c r="DN23" s="38">
        <f t="shared" si="5"/>
        <v>2</v>
      </c>
      <c r="DO23" s="39">
        <f t="shared" si="6"/>
        <v>18</v>
      </c>
      <c r="DP23" s="21"/>
      <c r="DQ23" s="22"/>
    </row>
    <row r="24" spans="2:121" ht="165" customHeight="1">
      <c r="B24" s="284"/>
      <c r="C24" s="284"/>
      <c r="D24" s="284"/>
      <c r="E24" s="284"/>
      <c r="F24" s="284"/>
      <c r="G24" s="284"/>
      <c r="H24" s="310"/>
      <c r="I24" s="314"/>
      <c r="J24" s="40" t="s">
        <v>73</v>
      </c>
      <c r="K24" s="311">
        <v>2</v>
      </c>
      <c r="L24" s="312"/>
      <c r="M24" s="312"/>
      <c r="N24" s="312"/>
      <c r="O24" s="312"/>
      <c r="P24" s="312"/>
      <c r="Q24" s="312"/>
      <c r="R24" s="313"/>
      <c r="S24" s="37">
        <f t="shared" si="7"/>
        <v>2</v>
      </c>
      <c r="T24" s="311">
        <v>2</v>
      </c>
      <c r="U24" s="312"/>
      <c r="V24" s="312"/>
      <c r="W24" s="312"/>
      <c r="X24" s="312"/>
      <c r="Y24" s="312"/>
      <c r="Z24" s="312"/>
      <c r="AA24" s="313"/>
      <c r="AB24" s="28">
        <f>SUM(T24)</f>
        <v>2</v>
      </c>
      <c r="AC24" s="311">
        <v>1</v>
      </c>
      <c r="AD24" s="312"/>
      <c r="AE24" s="312"/>
      <c r="AF24" s="312"/>
      <c r="AG24" s="312"/>
      <c r="AH24" s="312"/>
      <c r="AI24" s="312"/>
      <c r="AJ24" s="313"/>
      <c r="AK24" s="28">
        <f t="shared" si="8"/>
        <v>1</v>
      </c>
      <c r="AL24" s="311">
        <v>1</v>
      </c>
      <c r="AM24" s="312"/>
      <c r="AN24" s="312"/>
      <c r="AO24" s="312"/>
      <c r="AP24" s="312"/>
      <c r="AQ24" s="312"/>
      <c r="AR24" s="312"/>
      <c r="AS24" s="313"/>
      <c r="AT24" s="28">
        <f t="shared" si="12"/>
        <v>1</v>
      </c>
      <c r="AU24" s="311">
        <v>3</v>
      </c>
      <c r="AV24" s="312"/>
      <c r="AW24" s="312"/>
      <c r="AX24" s="312"/>
      <c r="AY24" s="312"/>
      <c r="AZ24" s="312"/>
      <c r="BA24" s="312"/>
      <c r="BB24" s="313"/>
      <c r="BC24" s="24">
        <f t="shared" si="10"/>
        <v>3</v>
      </c>
      <c r="BD24" s="311">
        <v>2</v>
      </c>
      <c r="BE24" s="312"/>
      <c r="BF24" s="312"/>
      <c r="BG24" s="312"/>
      <c r="BH24" s="312"/>
      <c r="BI24" s="312"/>
      <c r="BJ24" s="312"/>
      <c r="BK24" s="313"/>
      <c r="BL24" s="28">
        <f>SUM(BD24)</f>
        <v>2</v>
      </c>
      <c r="BM24" s="311"/>
      <c r="BN24" s="312"/>
      <c r="BO24" s="312"/>
      <c r="BP24" s="312"/>
      <c r="BQ24" s="312"/>
      <c r="BR24" s="312"/>
      <c r="BS24" s="312"/>
      <c r="BT24" s="313"/>
      <c r="BU24" s="28">
        <f t="shared" si="0"/>
        <v>0</v>
      </c>
      <c r="BV24" s="311"/>
      <c r="BW24" s="312"/>
      <c r="BX24" s="312"/>
      <c r="BY24" s="312"/>
      <c r="BZ24" s="312"/>
      <c r="CA24" s="312"/>
      <c r="CB24" s="312"/>
      <c r="CC24" s="313"/>
      <c r="CD24" s="28">
        <f t="shared" si="1"/>
        <v>0</v>
      </c>
      <c r="CE24" s="311"/>
      <c r="CF24" s="312"/>
      <c r="CG24" s="312"/>
      <c r="CH24" s="312"/>
      <c r="CI24" s="312"/>
      <c r="CJ24" s="312"/>
      <c r="CK24" s="312"/>
      <c r="CL24" s="313"/>
      <c r="CM24" s="28">
        <f t="shared" si="2"/>
        <v>0</v>
      </c>
      <c r="CN24" s="311"/>
      <c r="CO24" s="312"/>
      <c r="CP24" s="312"/>
      <c r="CQ24" s="312"/>
      <c r="CR24" s="312"/>
      <c r="CS24" s="312"/>
      <c r="CT24" s="312"/>
      <c r="CU24" s="313"/>
      <c r="CV24" s="28">
        <f t="shared" si="3"/>
        <v>0</v>
      </c>
      <c r="CW24" s="311"/>
      <c r="CX24" s="312"/>
      <c r="CY24" s="312"/>
      <c r="CZ24" s="312"/>
      <c r="DA24" s="312"/>
      <c r="DB24" s="312"/>
      <c r="DC24" s="312"/>
      <c r="DD24" s="313"/>
      <c r="DE24" s="28">
        <f t="shared" si="4"/>
        <v>0</v>
      </c>
      <c r="DF24" s="311"/>
      <c r="DG24" s="312"/>
      <c r="DH24" s="312"/>
      <c r="DI24" s="312"/>
      <c r="DJ24" s="312"/>
      <c r="DK24" s="312"/>
      <c r="DL24" s="312"/>
      <c r="DM24" s="313"/>
      <c r="DN24" s="28">
        <f t="shared" si="5"/>
        <v>0</v>
      </c>
      <c r="DO24" s="39">
        <f t="shared" si="6"/>
        <v>11</v>
      </c>
      <c r="DP24" s="35"/>
      <c r="DQ24" s="22"/>
    </row>
    <row r="25" spans="2:121" ht="187.5" hidden="1" customHeight="1">
      <c r="B25" s="284" t="s">
        <v>83</v>
      </c>
      <c r="C25" s="284" t="s">
        <v>5</v>
      </c>
      <c r="D25" s="284" t="s">
        <v>84</v>
      </c>
      <c r="E25" s="284"/>
      <c r="F25" s="284" t="s">
        <v>84</v>
      </c>
      <c r="G25" s="284">
        <v>1</v>
      </c>
      <c r="H25" s="284" t="s">
        <v>85</v>
      </c>
      <c r="I25" s="284">
        <v>1</v>
      </c>
      <c r="J25" s="36" t="s">
        <v>72</v>
      </c>
      <c r="K25" s="311">
        <v>0</v>
      </c>
      <c r="L25" s="312"/>
      <c r="M25" s="312"/>
      <c r="N25" s="312"/>
      <c r="O25" s="312"/>
      <c r="P25" s="312"/>
      <c r="Q25" s="312"/>
      <c r="R25" s="313"/>
      <c r="S25" s="37">
        <f t="shared" si="7"/>
        <v>0</v>
      </c>
      <c r="T25" s="311">
        <v>0</v>
      </c>
      <c r="U25" s="312"/>
      <c r="V25" s="312"/>
      <c r="W25" s="312"/>
      <c r="X25" s="312"/>
      <c r="Y25" s="312"/>
      <c r="Z25" s="312"/>
      <c r="AA25" s="313"/>
      <c r="AB25" s="28">
        <f t="shared" ref="AB25:AB30" si="14">SUM(T25)</f>
        <v>0</v>
      </c>
      <c r="AC25" s="311">
        <v>0</v>
      </c>
      <c r="AD25" s="312"/>
      <c r="AE25" s="312"/>
      <c r="AF25" s="312"/>
      <c r="AG25" s="312"/>
      <c r="AH25" s="312"/>
      <c r="AI25" s="312"/>
      <c r="AJ25" s="313"/>
      <c r="AK25" s="28">
        <f t="shared" si="8"/>
        <v>0</v>
      </c>
      <c r="AL25" s="311">
        <v>1</v>
      </c>
      <c r="AM25" s="312"/>
      <c r="AN25" s="312"/>
      <c r="AO25" s="312"/>
      <c r="AP25" s="312"/>
      <c r="AQ25" s="312"/>
      <c r="AR25" s="312"/>
      <c r="AS25" s="313"/>
      <c r="AT25" s="28">
        <f t="shared" si="12"/>
        <v>1</v>
      </c>
      <c r="AU25" s="311">
        <v>0</v>
      </c>
      <c r="AV25" s="312"/>
      <c r="AW25" s="312"/>
      <c r="AX25" s="312"/>
      <c r="AY25" s="312"/>
      <c r="AZ25" s="312"/>
      <c r="BA25" s="312"/>
      <c r="BB25" s="313"/>
      <c r="BC25" s="24">
        <f t="shared" si="10"/>
        <v>0</v>
      </c>
      <c r="BD25" s="311">
        <v>0</v>
      </c>
      <c r="BE25" s="312"/>
      <c r="BF25" s="312"/>
      <c r="BG25" s="312"/>
      <c r="BH25" s="312"/>
      <c r="BI25" s="312"/>
      <c r="BJ25" s="312"/>
      <c r="BK25" s="313"/>
      <c r="BL25" s="28">
        <f t="shared" ref="BL25:BL30" si="15">SUM(BD25)</f>
        <v>0</v>
      </c>
      <c r="BM25" s="311">
        <v>0</v>
      </c>
      <c r="BN25" s="312"/>
      <c r="BO25" s="312"/>
      <c r="BP25" s="312"/>
      <c r="BQ25" s="312"/>
      <c r="BR25" s="312"/>
      <c r="BS25" s="312"/>
      <c r="BT25" s="313"/>
      <c r="BU25" s="28">
        <f t="shared" si="0"/>
        <v>0</v>
      </c>
      <c r="BV25" s="311">
        <v>0</v>
      </c>
      <c r="BW25" s="312"/>
      <c r="BX25" s="312"/>
      <c r="BY25" s="312"/>
      <c r="BZ25" s="312"/>
      <c r="CA25" s="312"/>
      <c r="CB25" s="312"/>
      <c r="CC25" s="313"/>
      <c r="CD25" s="28">
        <f t="shared" si="1"/>
        <v>0</v>
      </c>
      <c r="CE25" s="311">
        <v>0</v>
      </c>
      <c r="CF25" s="312"/>
      <c r="CG25" s="312"/>
      <c r="CH25" s="312"/>
      <c r="CI25" s="312"/>
      <c r="CJ25" s="312"/>
      <c r="CK25" s="312"/>
      <c r="CL25" s="313"/>
      <c r="CM25" s="28">
        <f t="shared" si="2"/>
        <v>0</v>
      </c>
      <c r="CN25" s="311">
        <v>0</v>
      </c>
      <c r="CO25" s="312"/>
      <c r="CP25" s="312"/>
      <c r="CQ25" s="312"/>
      <c r="CR25" s="312"/>
      <c r="CS25" s="312"/>
      <c r="CT25" s="312"/>
      <c r="CU25" s="313"/>
      <c r="CV25" s="28">
        <f t="shared" si="3"/>
        <v>0</v>
      </c>
      <c r="CW25" s="311">
        <v>0</v>
      </c>
      <c r="CX25" s="312"/>
      <c r="CY25" s="312"/>
      <c r="CZ25" s="312"/>
      <c r="DA25" s="312"/>
      <c r="DB25" s="312"/>
      <c r="DC25" s="312"/>
      <c r="DD25" s="313"/>
      <c r="DE25" s="28">
        <f t="shared" si="4"/>
        <v>0</v>
      </c>
      <c r="DF25" s="311">
        <v>0</v>
      </c>
      <c r="DG25" s="312"/>
      <c r="DH25" s="312"/>
      <c r="DI25" s="312"/>
      <c r="DJ25" s="312"/>
      <c r="DK25" s="312"/>
      <c r="DL25" s="312"/>
      <c r="DM25" s="313"/>
      <c r="DN25" s="38">
        <f t="shared" si="5"/>
        <v>0</v>
      </c>
      <c r="DO25" s="39">
        <f t="shared" si="6"/>
        <v>1</v>
      </c>
      <c r="DP25" s="21"/>
      <c r="DQ25" s="22"/>
    </row>
    <row r="26" spans="2:121" ht="123.75" customHeight="1">
      <c r="B26" s="284"/>
      <c r="C26" s="284"/>
      <c r="D26" s="284"/>
      <c r="E26" s="284"/>
      <c r="F26" s="284"/>
      <c r="G26" s="284"/>
      <c r="H26" s="284"/>
      <c r="I26" s="284"/>
      <c r="J26" s="40" t="s">
        <v>73</v>
      </c>
      <c r="K26" s="311"/>
      <c r="L26" s="312"/>
      <c r="M26" s="312"/>
      <c r="N26" s="312"/>
      <c r="O26" s="312"/>
      <c r="P26" s="312"/>
      <c r="Q26" s="312"/>
      <c r="R26" s="313"/>
      <c r="S26" s="37">
        <f t="shared" si="7"/>
        <v>0</v>
      </c>
      <c r="T26" s="311"/>
      <c r="U26" s="312"/>
      <c r="V26" s="312"/>
      <c r="W26" s="312"/>
      <c r="X26" s="312"/>
      <c r="Y26" s="312"/>
      <c r="Z26" s="312"/>
      <c r="AA26" s="313"/>
      <c r="AB26" s="28">
        <f t="shared" si="14"/>
        <v>0</v>
      </c>
      <c r="AC26" s="311"/>
      <c r="AD26" s="312"/>
      <c r="AE26" s="312"/>
      <c r="AF26" s="312"/>
      <c r="AG26" s="312"/>
      <c r="AH26" s="312"/>
      <c r="AI26" s="312"/>
      <c r="AJ26" s="313"/>
      <c r="AK26" s="28">
        <f t="shared" si="8"/>
        <v>0</v>
      </c>
      <c r="AL26" s="311"/>
      <c r="AM26" s="312"/>
      <c r="AN26" s="312"/>
      <c r="AO26" s="312"/>
      <c r="AP26" s="312"/>
      <c r="AQ26" s="312"/>
      <c r="AR26" s="312"/>
      <c r="AS26" s="313"/>
      <c r="AT26" s="28">
        <f t="shared" si="12"/>
        <v>0</v>
      </c>
      <c r="AU26" s="311"/>
      <c r="AV26" s="312"/>
      <c r="AW26" s="312"/>
      <c r="AX26" s="312"/>
      <c r="AY26" s="312"/>
      <c r="AZ26" s="312"/>
      <c r="BA26" s="312"/>
      <c r="BB26" s="313"/>
      <c r="BC26" s="24">
        <f t="shared" si="10"/>
        <v>0</v>
      </c>
      <c r="BD26" s="311"/>
      <c r="BE26" s="312"/>
      <c r="BF26" s="312"/>
      <c r="BG26" s="312"/>
      <c r="BH26" s="312"/>
      <c r="BI26" s="312"/>
      <c r="BJ26" s="312"/>
      <c r="BK26" s="313"/>
      <c r="BL26" s="28">
        <f t="shared" si="15"/>
        <v>0</v>
      </c>
      <c r="BM26" s="311"/>
      <c r="BN26" s="312"/>
      <c r="BO26" s="312"/>
      <c r="BP26" s="312"/>
      <c r="BQ26" s="312"/>
      <c r="BR26" s="312"/>
      <c r="BS26" s="312"/>
      <c r="BT26" s="313"/>
      <c r="BU26" s="28">
        <f t="shared" si="0"/>
        <v>0</v>
      </c>
      <c r="BV26" s="311"/>
      <c r="BW26" s="312"/>
      <c r="BX26" s="312"/>
      <c r="BY26" s="312"/>
      <c r="BZ26" s="312"/>
      <c r="CA26" s="312"/>
      <c r="CB26" s="312"/>
      <c r="CC26" s="313"/>
      <c r="CD26" s="28">
        <f t="shared" si="1"/>
        <v>0</v>
      </c>
      <c r="CE26" s="311"/>
      <c r="CF26" s="312"/>
      <c r="CG26" s="312"/>
      <c r="CH26" s="312"/>
      <c r="CI26" s="312"/>
      <c r="CJ26" s="312"/>
      <c r="CK26" s="312"/>
      <c r="CL26" s="313"/>
      <c r="CM26" s="28">
        <f t="shared" si="2"/>
        <v>0</v>
      </c>
      <c r="CN26" s="311"/>
      <c r="CO26" s="312"/>
      <c r="CP26" s="312"/>
      <c r="CQ26" s="312"/>
      <c r="CR26" s="312"/>
      <c r="CS26" s="312"/>
      <c r="CT26" s="312"/>
      <c r="CU26" s="313"/>
      <c r="CV26" s="28">
        <f t="shared" si="3"/>
        <v>0</v>
      </c>
      <c r="CW26" s="311"/>
      <c r="CX26" s="312"/>
      <c r="CY26" s="312"/>
      <c r="CZ26" s="312"/>
      <c r="DA26" s="312"/>
      <c r="DB26" s="312"/>
      <c r="DC26" s="312"/>
      <c r="DD26" s="313"/>
      <c r="DE26" s="28">
        <f t="shared" si="4"/>
        <v>0</v>
      </c>
      <c r="DF26" s="311"/>
      <c r="DG26" s="312"/>
      <c r="DH26" s="312"/>
      <c r="DI26" s="312"/>
      <c r="DJ26" s="312"/>
      <c r="DK26" s="312"/>
      <c r="DL26" s="312"/>
      <c r="DM26" s="313"/>
      <c r="DN26" s="38">
        <f t="shared" si="5"/>
        <v>0</v>
      </c>
      <c r="DO26" s="39">
        <f t="shared" si="6"/>
        <v>0</v>
      </c>
      <c r="DP26" s="21"/>
      <c r="DQ26" s="22"/>
    </row>
    <row r="27" spans="2:121" ht="150" hidden="1" customHeight="1">
      <c r="B27" s="284" t="s">
        <v>86</v>
      </c>
      <c r="C27" s="284" t="s">
        <v>6</v>
      </c>
      <c r="D27" s="284" t="s">
        <v>87</v>
      </c>
      <c r="E27" s="284"/>
      <c r="F27" s="284" t="s">
        <v>87</v>
      </c>
      <c r="G27" s="284">
        <v>2</v>
      </c>
      <c r="H27" s="284" t="s">
        <v>87</v>
      </c>
      <c r="I27" s="284">
        <v>1</v>
      </c>
      <c r="J27" s="36" t="s">
        <v>72</v>
      </c>
      <c r="K27" s="311">
        <v>0</v>
      </c>
      <c r="L27" s="312"/>
      <c r="M27" s="312"/>
      <c r="N27" s="312"/>
      <c r="O27" s="312"/>
      <c r="P27" s="312"/>
      <c r="Q27" s="312"/>
      <c r="R27" s="313"/>
      <c r="S27" s="37">
        <f t="shared" si="7"/>
        <v>0</v>
      </c>
      <c r="T27" s="311">
        <v>0</v>
      </c>
      <c r="U27" s="312"/>
      <c r="V27" s="312"/>
      <c r="W27" s="312"/>
      <c r="X27" s="312"/>
      <c r="Y27" s="312"/>
      <c r="Z27" s="312"/>
      <c r="AA27" s="313"/>
      <c r="AB27" s="28">
        <f t="shared" si="14"/>
        <v>0</v>
      </c>
      <c r="AC27" s="311">
        <v>0</v>
      </c>
      <c r="AD27" s="312"/>
      <c r="AE27" s="312"/>
      <c r="AF27" s="312"/>
      <c r="AG27" s="312"/>
      <c r="AH27" s="312"/>
      <c r="AI27" s="312"/>
      <c r="AJ27" s="313"/>
      <c r="AK27" s="28">
        <f t="shared" si="8"/>
        <v>0</v>
      </c>
      <c r="AL27" s="311">
        <v>1</v>
      </c>
      <c r="AM27" s="312"/>
      <c r="AN27" s="312"/>
      <c r="AO27" s="312"/>
      <c r="AP27" s="312"/>
      <c r="AQ27" s="312"/>
      <c r="AR27" s="312"/>
      <c r="AS27" s="313"/>
      <c r="AT27" s="28">
        <f t="shared" si="12"/>
        <v>1</v>
      </c>
      <c r="AU27" s="311">
        <v>0</v>
      </c>
      <c r="AV27" s="312"/>
      <c r="AW27" s="312"/>
      <c r="AX27" s="312"/>
      <c r="AY27" s="312"/>
      <c r="AZ27" s="312"/>
      <c r="BA27" s="312"/>
      <c r="BB27" s="313"/>
      <c r="BC27" s="24">
        <f t="shared" si="10"/>
        <v>0</v>
      </c>
      <c r="BD27" s="311">
        <v>0</v>
      </c>
      <c r="BE27" s="312"/>
      <c r="BF27" s="312"/>
      <c r="BG27" s="312"/>
      <c r="BH27" s="312"/>
      <c r="BI27" s="312"/>
      <c r="BJ27" s="312"/>
      <c r="BK27" s="313"/>
      <c r="BL27" s="28">
        <f t="shared" si="15"/>
        <v>0</v>
      </c>
      <c r="BM27" s="311">
        <v>0</v>
      </c>
      <c r="BN27" s="312"/>
      <c r="BO27" s="312"/>
      <c r="BP27" s="312"/>
      <c r="BQ27" s="312"/>
      <c r="BR27" s="312"/>
      <c r="BS27" s="312"/>
      <c r="BT27" s="313"/>
      <c r="BU27" s="28">
        <f t="shared" si="0"/>
        <v>0</v>
      </c>
      <c r="BV27" s="311">
        <v>0</v>
      </c>
      <c r="BW27" s="312"/>
      <c r="BX27" s="312"/>
      <c r="BY27" s="312"/>
      <c r="BZ27" s="312"/>
      <c r="CA27" s="312"/>
      <c r="CB27" s="312"/>
      <c r="CC27" s="313"/>
      <c r="CD27" s="28">
        <f t="shared" si="1"/>
        <v>0</v>
      </c>
      <c r="CE27" s="311">
        <v>0</v>
      </c>
      <c r="CF27" s="312"/>
      <c r="CG27" s="312"/>
      <c r="CH27" s="312"/>
      <c r="CI27" s="312"/>
      <c r="CJ27" s="312"/>
      <c r="CK27" s="312"/>
      <c r="CL27" s="313"/>
      <c r="CM27" s="28">
        <f t="shared" si="2"/>
        <v>0</v>
      </c>
      <c r="CN27" s="311">
        <v>0</v>
      </c>
      <c r="CO27" s="312"/>
      <c r="CP27" s="312"/>
      <c r="CQ27" s="312"/>
      <c r="CR27" s="312"/>
      <c r="CS27" s="312"/>
      <c r="CT27" s="312"/>
      <c r="CU27" s="313"/>
      <c r="CV27" s="28">
        <f t="shared" si="3"/>
        <v>0</v>
      </c>
      <c r="CW27" s="311">
        <v>0</v>
      </c>
      <c r="CX27" s="312"/>
      <c r="CY27" s="312"/>
      <c r="CZ27" s="312"/>
      <c r="DA27" s="312"/>
      <c r="DB27" s="312"/>
      <c r="DC27" s="312"/>
      <c r="DD27" s="313"/>
      <c r="DE27" s="28">
        <f t="shared" si="4"/>
        <v>0</v>
      </c>
      <c r="DF27" s="311">
        <v>0</v>
      </c>
      <c r="DG27" s="312"/>
      <c r="DH27" s="312"/>
      <c r="DI27" s="312"/>
      <c r="DJ27" s="312"/>
      <c r="DK27" s="312"/>
      <c r="DL27" s="312"/>
      <c r="DM27" s="313"/>
      <c r="DN27" s="28">
        <f t="shared" si="5"/>
        <v>0</v>
      </c>
      <c r="DO27" s="39">
        <f t="shared" si="6"/>
        <v>1</v>
      </c>
      <c r="DP27" s="21"/>
      <c r="DQ27" s="22"/>
    </row>
    <row r="28" spans="2:121" ht="150" customHeight="1">
      <c r="B28" s="284"/>
      <c r="C28" s="284"/>
      <c r="D28" s="284"/>
      <c r="E28" s="284"/>
      <c r="F28" s="284"/>
      <c r="G28" s="284"/>
      <c r="H28" s="284"/>
      <c r="I28" s="284"/>
      <c r="J28" s="40" t="s">
        <v>73</v>
      </c>
      <c r="K28" s="311"/>
      <c r="L28" s="312"/>
      <c r="M28" s="312"/>
      <c r="N28" s="312"/>
      <c r="O28" s="312"/>
      <c r="P28" s="312"/>
      <c r="Q28" s="312"/>
      <c r="R28" s="313"/>
      <c r="S28" s="37">
        <f t="shared" si="7"/>
        <v>0</v>
      </c>
      <c r="T28" s="311"/>
      <c r="U28" s="312"/>
      <c r="V28" s="312"/>
      <c r="W28" s="312"/>
      <c r="X28" s="312"/>
      <c r="Y28" s="312"/>
      <c r="Z28" s="312"/>
      <c r="AA28" s="313"/>
      <c r="AB28" s="28">
        <f t="shared" si="14"/>
        <v>0</v>
      </c>
      <c r="AC28" s="311"/>
      <c r="AD28" s="312"/>
      <c r="AE28" s="312"/>
      <c r="AF28" s="312"/>
      <c r="AG28" s="312"/>
      <c r="AH28" s="312"/>
      <c r="AI28" s="312"/>
      <c r="AJ28" s="313"/>
      <c r="AK28" s="28">
        <f t="shared" si="8"/>
        <v>0</v>
      </c>
      <c r="AL28" s="311"/>
      <c r="AM28" s="312"/>
      <c r="AN28" s="312"/>
      <c r="AO28" s="312"/>
      <c r="AP28" s="312"/>
      <c r="AQ28" s="312"/>
      <c r="AR28" s="312"/>
      <c r="AS28" s="313"/>
      <c r="AT28" s="28">
        <f t="shared" si="12"/>
        <v>0</v>
      </c>
      <c r="AU28" s="311"/>
      <c r="AV28" s="312"/>
      <c r="AW28" s="312"/>
      <c r="AX28" s="312"/>
      <c r="AY28" s="312"/>
      <c r="AZ28" s="312"/>
      <c r="BA28" s="312"/>
      <c r="BB28" s="313"/>
      <c r="BC28" s="24">
        <f t="shared" si="10"/>
        <v>0</v>
      </c>
      <c r="BD28" s="311"/>
      <c r="BE28" s="312"/>
      <c r="BF28" s="312"/>
      <c r="BG28" s="312"/>
      <c r="BH28" s="312"/>
      <c r="BI28" s="312"/>
      <c r="BJ28" s="312"/>
      <c r="BK28" s="313"/>
      <c r="BL28" s="28">
        <f t="shared" si="15"/>
        <v>0</v>
      </c>
      <c r="BM28" s="311"/>
      <c r="BN28" s="312"/>
      <c r="BO28" s="312"/>
      <c r="BP28" s="312"/>
      <c r="BQ28" s="312"/>
      <c r="BR28" s="312"/>
      <c r="BS28" s="312"/>
      <c r="BT28" s="313"/>
      <c r="BU28" s="28">
        <f t="shared" si="0"/>
        <v>0</v>
      </c>
      <c r="BV28" s="311"/>
      <c r="BW28" s="312"/>
      <c r="BX28" s="312"/>
      <c r="BY28" s="312"/>
      <c r="BZ28" s="312"/>
      <c r="CA28" s="312"/>
      <c r="CB28" s="312"/>
      <c r="CC28" s="313"/>
      <c r="CD28" s="28">
        <f t="shared" si="1"/>
        <v>0</v>
      </c>
      <c r="CE28" s="311"/>
      <c r="CF28" s="312"/>
      <c r="CG28" s="312"/>
      <c r="CH28" s="312"/>
      <c r="CI28" s="312"/>
      <c r="CJ28" s="312"/>
      <c r="CK28" s="312"/>
      <c r="CL28" s="313"/>
      <c r="CM28" s="28">
        <f t="shared" si="2"/>
        <v>0</v>
      </c>
      <c r="CN28" s="311"/>
      <c r="CO28" s="312"/>
      <c r="CP28" s="312"/>
      <c r="CQ28" s="312"/>
      <c r="CR28" s="312"/>
      <c r="CS28" s="312"/>
      <c r="CT28" s="312"/>
      <c r="CU28" s="313"/>
      <c r="CV28" s="28">
        <f t="shared" si="3"/>
        <v>0</v>
      </c>
      <c r="CW28" s="311"/>
      <c r="CX28" s="312"/>
      <c r="CY28" s="312"/>
      <c r="CZ28" s="312"/>
      <c r="DA28" s="312"/>
      <c r="DB28" s="312"/>
      <c r="DC28" s="312"/>
      <c r="DD28" s="313"/>
      <c r="DE28" s="28">
        <f t="shared" si="4"/>
        <v>0</v>
      </c>
      <c r="DF28" s="311"/>
      <c r="DG28" s="312"/>
      <c r="DH28" s="312"/>
      <c r="DI28" s="312"/>
      <c r="DJ28" s="312"/>
      <c r="DK28" s="312"/>
      <c r="DL28" s="312"/>
      <c r="DM28" s="313"/>
      <c r="DN28" s="38">
        <f t="shared" si="5"/>
        <v>0</v>
      </c>
      <c r="DO28" s="39">
        <f t="shared" si="6"/>
        <v>0</v>
      </c>
      <c r="DP28" s="21"/>
      <c r="DQ28" s="22"/>
    </row>
    <row r="29" spans="2:121" ht="150" hidden="1" customHeight="1">
      <c r="B29" s="284" t="s">
        <v>88</v>
      </c>
      <c r="C29" s="284" t="s">
        <v>15</v>
      </c>
      <c r="D29" s="284" t="s">
        <v>89</v>
      </c>
      <c r="E29" s="284"/>
      <c r="F29" s="284" t="s">
        <v>90</v>
      </c>
      <c r="G29" s="284">
        <v>176</v>
      </c>
      <c r="H29" s="284" t="s">
        <v>91</v>
      </c>
      <c r="I29" s="284">
        <v>1</v>
      </c>
      <c r="J29" s="36" t="s">
        <v>72</v>
      </c>
      <c r="K29" s="311">
        <v>0</v>
      </c>
      <c r="L29" s="312"/>
      <c r="M29" s="312"/>
      <c r="N29" s="312"/>
      <c r="O29" s="312"/>
      <c r="P29" s="312"/>
      <c r="Q29" s="312"/>
      <c r="R29" s="313"/>
      <c r="S29" s="37">
        <f t="shared" si="7"/>
        <v>0</v>
      </c>
      <c r="T29" s="311">
        <v>0</v>
      </c>
      <c r="U29" s="312"/>
      <c r="V29" s="312"/>
      <c r="W29" s="312"/>
      <c r="X29" s="312"/>
      <c r="Y29" s="312"/>
      <c r="Z29" s="312"/>
      <c r="AA29" s="313"/>
      <c r="AB29" s="28">
        <f t="shared" si="14"/>
        <v>0</v>
      </c>
      <c r="AC29" s="311">
        <v>0</v>
      </c>
      <c r="AD29" s="312"/>
      <c r="AE29" s="312"/>
      <c r="AF29" s="312"/>
      <c r="AG29" s="312"/>
      <c r="AH29" s="312"/>
      <c r="AI29" s="312"/>
      <c r="AJ29" s="313"/>
      <c r="AK29" s="28">
        <f t="shared" si="8"/>
        <v>0</v>
      </c>
      <c r="AL29" s="311">
        <v>1</v>
      </c>
      <c r="AM29" s="312"/>
      <c r="AN29" s="312"/>
      <c r="AO29" s="312"/>
      <c r="AP29" s="312"/>
      <c r="AQ29" s="312"/>
      <c r="AR29" s="312"/>
      <c r="AS29" s="313"/>
      <c r="AT29" s="28">
        <f t="shared" si="12"/>
        <v>1</v>
      </c>
      <c r="AU29" s="311">
        <v>0</v>
      </c>
      <c r="AV29" s="312"/>
      <c r="AW29" s="312"/>
      <c r="AX29" s="312"/>
      <c r="AY29" s="312"/>
      <c r="AZ29" s="312"/>
      <c r="BA29" s="312"/>
      <c r="BB29" s="313"/>
      <c r="BC29" s="24">
        <f t="shared" si="10"/>
        <v>0</v>
      </c>
      <c r="BD29" s="311">
        <v>0</v>
      </c>
      <c r="BE29" s="312"/>
      <c r="BF29" s="312"/>
      <c r="BG29" s="312"/>
      <c r="BH29" s="312"/>
      <c r="BI29" s="312"/>
      <c r="BJ29" s="312"/>
      <c r="BK29" s="313"/>
      <c r="BL29" s="28">
        <f t="shared" si="15"/>
        <v>0</v>
      </c>
      <c r="BM29" s="311">
        <v>0</v>
      </c>
      <c r="BN29" s="312"/>
      <c r="BO29" s="312"/>
      <c r="BP29" s="312"/>
      <c r="BQ29" s="312"/>
      <c r="BR29" s="312"/>
      <c r="BS29" s="312"/>
      <c r="BT29" s="313"/>
      <c r="BU29" s="28">
        <f t="shared" si="0"/>
        <v>0</v>
      </c>
      <c r="BV29" s="311">
        <v>0</v>
      </c>
      <c r="BW29" s="312"/>
      <c r="BX29" s="312"/>
      <c r="BY29" s="312"/>
      <c r="BZ29" s="312"/>
      <c r="CA29" s="312"/>
      <c r="CB29" s="312"/>
      <c r="CC29" s="313"/>
      <c r="CD29" s="28">
        <f t="shared" si="1"/>
        <v>0</v>
      </c>
      <c r="CE29" s="311">
        <v>0</v>
      </c>
      <c r="CF29" s="312"/>
      <c r="CG29" s="312"/>
      <c r="CH29" s="312"/>
      <c r="CI29" s="312"/>
      <c r="CJ29" s="312"/>
      <c r="CK29" s="312"/>
      <c r="CL29" s="313"/>
      <c r="CM29" s="28">
        <f t="shared" si="2"/>
        <v>0</v>
      </c>
      <c r="CN29" s="311">
        <v>0</v>
      </c>
      <c r="CO29" s="312"/>
      <c r="CP29" s="312"/>
      <c r="CQ29" s="312"/>
      <c r="CR29" s="312"/>
      <c r="CS29" s="312"/>
      <c r="CT29" s="312"/>
      <c r="CU29" s="313"/>
      <c r="CV29" s="28">
        <f t="shared" si="3"/>
        <v>0</v>
      </c>
      <c r="CW29" s="311">
        <v>0</v>
      </c>
      <c r="CX29" s="312"/>
      <c r="CY29" s="312"/>
      <c r="CZ29" s="312"/>
      <c r="DA29" s="312"/>
      <c r="DB29" s="312"/>
      <c r="DC29" s="312"/>
      <c r="DD29" s="313"/>
      <c r="DE29" s="28">
        <f t="shared" si="4"/>
        <v>0</v>
      </c>
      <c r="DF29" s="311">
        <v>0</v>
      </c>
      <c r="DG29" s="312"/>
      <c r="DH29" s="312"/>
      <c r="DI29" s="312"/>
      <c r="DJ29" s="312"/>
      <c r="DK29" s="312"/>
      <c r="DL29" s="312"/>
      <c r="DM29" s="313"/>
      <c r="DN29" s="38">
        <f t="shared" si="5"/>
        <v>0</v>
      </c>
      <c r="DO29" s="29">
        <f t="shared" si="6"/>
        <v>1</v>
      </c>
      <c r="DP29" s="21"/>
      <c r="DQ29" s="22"/>
    </row>
    <row r="30" spans="2:121" ht="150" customHeight="1">
      <c r="B30" s="284"/>
      <c r="C30" s="284"/>
      <c r="D30" s="284"/>
      <c r="E30" s="284"/>
      <c r="F30" s="284"/>
      <c r="G30" s="284"/>
      <c r="H30" s="284"/>
      <c r="I30" s="284"/>
      <c r="J30" s="40" t="s">
        <v>73</v>
      </c>
      <c r="K30" s="311"/>
      <c r="L30" s="312"/>
      <c r="M30" s="312"/>
      <c r="N30" s="312"/>
      <c r="O30" s="312"/>
      <c r="P30" s="312"/>
      <c r="Q30" s="312"/>
      <c r="R30" s="313"/>
      <c r="S30" s="37">
        <f t="shared" si="7"/>
        <v>0</v>
      </c>
      <c r="T30" s="311"/>
      <c r="U30" s="312"/>
      <c r="V30" s="312"/>
      <c r="W30" s="312"/>
      <c r="X30" s="312"/>
      <c r="Y30" s="312"/>
      <c r="Z30" s="312"/>
      <c r="AA30" s="313"/>
      <c r="AB30" s="28">
        <f t="shared" si="14"/>
        <v>0</v>
      </c>
      <c r="AC30" s="311"/>
      <c r="AD30" s="312"/>
      <c r="AE30" s="312"/>
      <c r="AF30" s="312"/>
      <c r="AG30" s="312"/>
      <c r="AH30" s="312"/>
      <c r="AI30" s="312"/>
      <c r="AJ30" s="313"/>
      <c r="AK30" s="28">
        <f t="shared" si="8"/>
        <v>0</v>
      </c>
      <c r="AL30" s="311"/>
      <c r="AM30" s="312"/>
      <c r="AN30" s="312"/>
      <c r="AO30" s="312"/>
      <c r="AP30" s="312"/>
      <c r="AQ30" s="312"/>
      <c r="AR30" s="312"/>
      <c r="AS30" s="313"/>
      <c r="AT30" s="28">
        <f t="shared" si="12"/>
        <v>0</v>
      </c>
      <c r="AU30" s="311"/>
      <c r="AV30" s="312"/>
      <c r="AW30" s="312"/>
      <c r="AX30" s="312"/>
      <c r="AY30" s="312"/>
      <c r="AZ30" s="312"/>
      <c r="BA30" s="312"/>
      <c r="BB30" s="313"/>
      <c r="BC30" s="24">
        <f t="shared" si="10"/>
        <v>0</v>
      </c>
      <c r="BD30" s="311"/>
      <c r="BE30" s="312"/>
      <c r="BF30" s="312"/>
      <c r="BG30" s="312"/>
      <c r="BH30" s="312"/>
      <c r="BI30" s="312"/>
      <c r="BJ30" s="312"/>
      <c r="BK30" s="313"/>
      <c r="BL30" s="28">
        <f t="shared" si="15"/>
        <v>0</v>
      </c>
      <c r="BM30" s="311"/>
      <c r="BN30" s="312"/>
      <c r="BO30" s="312"/>
      <c r="BP30" s="312"/>
      <c r="BQ30" s="312"/>
      <c r="BR30" s="312"/>
      <c r="BS30" s="312"/>
      <c r="BT30" s="313"/>
      <c r="BU30" s="28">
        <f t="shared" si="0"/>
        <v>0</v>
      </c>
      <c r="BV30" s="311"/>
      <c r="BW30" s="312"/>
      <c r="BX30" s="312"/>
      <c r="BY30" s="312"/>
      <c r="BZ30" s="312"/>
      <c r="CA30" s="312"/>
      <c r="CB30" s="312"/>
      <c r="CC30" s="313"/>
      <c r="CD30" s="28">
        <f t="shared" si="1"/>
        <v>0</v>
      </c>
      <c r="CE30" s="311"/>
      <c r="CF30" s="312"/>
      <c r="CG30" s="312"/>
      <c r="CH30" s="312"/>
      <c r="CI30" s="312"/>
      <c r="CJ30" s="312"/>
      <c r="CK30" s="312"/>
      <c r="CL30" s="313"/>
      <c r="CM30" s="28">
        <f t="shared" si="2"/>
        <v>0</v>
      </c>
      <c r="CN30" s="311"/>
      <c r="CO30" s="312"/>
      <c r="CP30" s="312"/>
      <c r="CQ30" s="312"/>
      <c r="CR30" s="312"/>
      <c r="CS30" s="312"/>
      <c r="CT30" s="312"/>
      <c r="CU30" s="313"/>
      <c r="CV30" s="28">
        <f t="shared" si="3"/>
        <v>0</v>
      </c>
      <c r="CW30" s="311"/>
      <c r="CX30" s="312"/>
      <c r="CY30" s="312"/>
      <c r="CZ30" s="312"/>
      <c r="DA30" s="312"/>
      <c r="DB30" s="312"/>
      <c r="DC30" s="312"/>
      <c r="DD30" s="313"/>
      <c r="DE30" s="28">
        <f t="shared" si="4"/>
        <v>0</v>
      </c>
      <c r="DF30" s="311"/>
      <c r="DG30" s="312"/>
      <c r="DH30" s="312"/>
      <c r="DI30" s="312"/>
      <c r="DJ30" s="312"/>
      <c r="DK30" s="312"/>
      <c r="DL30" s="312"/>
      <c r="DM30" s="313"/>
      <c r="DN30" s="38">
        <f t="shared" si="5"/>
        <v>0</v>
      </c>
      <c r="DO30" s="29">
        <f t="shared" si="6"/>
        <v>0</v>
      </c>
      <c r="DP30" s="21"/>
      <c r="DQ30" s="22"/>
    </row>
    <row r="31" spans="2:121" ht="46.5">
      <c r="B31" s="315"/>
      <c r="C31" s="315"/>
      <c r="D31" s="316"/>
      <c r="E31" s="316"/>
      <c r="F31" s="41"/>
      <c r="G31" s="42"/>
      <c r="H31" s="42"/>
      <c r="I31" s="42"/>
      <c r="J31" s="43"/>
      <c r="K31" s="44"/>
      <c r="L31" s="44"/>
      <c r="M31" s="45"/>
      <c r="N31" s="45"/>
      <c r="O31" s="45"/>
      <c r="P31" s="45"/>
      <c r="Q31" s="45"/>
      <c r="R31" s="45"/>
      <c r="S31" s="46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</row>
    <row r="32" spans="2:121" ht="46.5">
      <c r="K32" s="44"/>
      <c r="L32" s="44"/>
      <c r="M32" s="45"/>
      <c r="N32" s="45"/>
      <c r="O32" s="45"/>
      <c r="P32" s="45"/>
      <c r="Q32" s="45"/>
      <c r="R32" s="45"/>
      <c r="S32" s="45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</row>
    <row r="33" spans="2:121" ht="46.5">
      <c r="K33" s="44"/>
      <c r="L33" s="44"/>
      <c r="M33" s="45"/>
      <c r="N33" s="45"/>
      <c r="O33" s="45"/>
      <c r="P33" s="45"/>
      <c r="Q33" s="45"/>
      <c r="R33" s="45"/>
      <c r="S33" s="45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</row>
    <row r="34" spans="2:121" ht="46.5">
      <c r="K34" s="44"/>
      <c r="L34" s="44"/>
      <c r="M34" s="45"/>
      <c r="N34" s="45"/>
      <c r="O34" s="45"/>
      <c r="P34" s="45"/>
      <c r="Q34" s="45"/>
      <c r="R34" s="45"/>
      <c r="S34" s="45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</row>
    <row r="35" spans="2:121" ht="46.5">
      <c r="K35" s="44"/>
      <c r="L35" s="44"/>
      <c r="M35" s="45"/>
      <c r="N35" s="45"/>
      <c r="O35" s="45"/>
      <c r="P35" s="45"/>
      <c r="Q35" s="45"/>
      <c r="R35" s="45"/>
      <c r="S35" s="45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</row>
    <row r="36" spans="2:121" ht="46.5">
      <c r="K36" s="44"/>
      <c r="L36" s="44"/>
      <c r="M36" s="45"/>
      <c r="N36" s="45"/>
      <c r="O36" s="45"/>
      <c r="P36" s="45"/>
      <c r="Q36" s="45"/>
      <c r="R36" s="45"/>
      <c r="S36" s="45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</row>
    <row r="37" spans="2:121" ht="46.5">
      <c r="K37" s="44"/>
      <c r="L37" s="44"/>
      <c r="M37" s="45"/>
      <c r="N37" s="45"/>
      <c r="O37" s="45"/>
      <c r="P37" s="45"/>
      <c r="Q37" s="45"/>
      <c r="R37" s="45"/>
      <c r="S37" s="45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</row>
    <row r="40" spans="2:121" ht="78.75" customHeight="1">
      <c r="B40" s="317" t="s">
        <v>92</v>
      </c>
      <c r="C40" s="318"/>
      <c r="G40" s="317" t="s">
        <v>93</v>
      </c>
      <c r="H40" s="317"/>
      <c r="I40" s="317"/>
      <c r="J40" s="318"/>
    </row>
    <row r="41" spans="2:121" ht="33.75" customHeight="1"/>
  </sheetData>
  <mergeCells count="238">
    <mergeCell ref="B31:C31"/>
    <mergeCell ref="D31:E31"/>
    <mergeCell ref="B40:C40"/>
    <mergeCell ref="G40:J40"/>
    <mergeCell ref="BM30:BT30"/>
    <mergeCell ref="BV30:CC30"/>
    <mergeCell ref="CE30:CL30"/>
    <mergeCell ref="CN30:CU30"/>
    <mergeCell ref="CW30:DD30"/>
    <mergeCell ref="B29:B30"/>
    <mergeCell ref="C29:C30"/>
    <mergeCell ref="D29:E30"/>
    <mergeCell ref="F29:F30"/>
    <mergeCell ref="G29:G30"/>
    <mergeCell ref="H29:H30"/>
    <mergeCell ref="I29:I30"/>
    <mergeCell ref="DF30:DM30"/>
    <mergeCell ref="K30:R30"/>
    <mergeCell ref="T30:AA30"/>
    <mergeCell ref="AC30:AJ30"/>
    <mergeCell ref="AL30:AS30"/>
    <mergeCell ref="AU30:BB30"/>
    <mergeCell ref="BD30:BK30"/>
    <mergeCell ref="BM29:BT29"/>
    <mergeCell ref="BV29:CC29"/>
    <mergeCell ref="CE29:CL29"/>
    <mergeCell ref="CN29:CU29"/>
    <mergeCell ref="CW29:DD29"/>
    <mergeCell ref="DF29:DM29"/>
    <mergeCell ref="K29:R29"/>
    <mergeCell ref="T29:AA29"/>
    <mergeCell ref="AC29:AJ29"/>
    <mergeCell ref="AL29:AS29"/>
    <mergeCell ref="AU29:BB29"/>
    <mergeCell ref="BD29:BK29"/>
    <mergeCell ref="I27:I28"/>
    <mergeCell ref="B27:B28"/>
    <mergeCell ref="C27:C28"/>
    <mergeCell ref="D27:E28"/>
    <mergeCell ref="F27:F28"/>
    <mergeCell ref="G27:G28"/>
    <mergeCell ref="H27:H28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CE28:CL28"/>
    <mergeCell ref="BD27:BK27"/>
    <mergeCell ref="BM27:BT27"/>
    <mergeCell ref="BV27:CC27"/>
    <mergeCell ref="CE27:CL27"/>
    <mergeCell ref="CN27:CU27"/>
    <mergeCell ref="CW27:DD27"/>
    <mergeCell ref="K27:R27"/>
    <mergeCell ref="T27:AA27"/>
    <mergeCell ref="AC27:AJ27"/>
    <mergeCell ref="AL27:AS27"/>
    <mergeCell ref="AU27:BB27"/>
    <mergeCell ref="CN28:CU28"/>
    <mergeCell ref="CW28:DD28"/>
    <mergeCell ref="DF28:DM28"/>
    <mergeCell ref="CN26:CU26"/>
    <mergeCell ref="CW26:DD26"/>
    <mergeCell ref="DF26:DM26"/>
    <mergeCell ref="BM26:BT26"/>
    <mergeCell ref="BV26:CC26"/>
    <mergeCell ref="CE26:CL26"/>
    <mergeCell ref="K26:R26"/>
    <mergeCell ref="T26:AA26"/>
    <mergeCell ref="AC26:AJ26"/>
    <mergeCell ref="AL26:AS26"/>
    <mergeCell ref="AU26:BB26"/>
    <mergeCell ref="BD26:BK26"/>
    <mergeCell ref="K25:R25"/>
    <mergeCell ref="T25:AA25"/>
    <mergeCell ref="AC25:AJ25"/>
    <mergeCell ref="AL25:AS25"/>
    <mergeCell ref="AU25:BB25"/>
    <mergeCell ref="BD25:BK25"/>
    <mergeCell ref="AU23:BB23"/>
    <mergeCell ref="CN24:CU24"/>
    <mergeCell ref="CW24:DD24"/>
    <mergeCell ref="DF24:DM24"/>
    <mergeCell ref="B25:B26"/>
    <mergeCell ref="C25:C26"/>
    <mergeCell ref="D25:E26"/>
    <mergeCell ref="F25:F26"/>
    <mergeCell ref="G25:G26"/>
    <mergeCell ref="H25:H26"/>
    <mergeCell ref="I25:I26"/>
    <mergeCell ref="I23:I24"/>
    <mergeCell ref="B23:B24"/>
    <mergeCell ref="C23:C24"/>
    <mergeCell ref="D23:E24"/>
    <mergeCell ref="F23:F24"/>
    <mergeCell ref="G23:G24"/>
    <mergeCell ref="H23:H24"/>
    <mergeCell ref="BM25:BT25"/>
    <mergeCell ref="BV25:CC25"/>
    <mergeCell ref="CE25:CL25"/>
    <mergeCell ref="CN25:CU25"/>
    <mergeCell ref="CW25:DD25"/>
    <mergeCell ref="DF25:DM25"/>
    <mergeCell ref="T21:AA21"/>
    <mergeCell ref="AB21:AI21"/>
    <mergeCell ref="AK21:AR21"/>
    <mergeCell ref="BJ21:BQ21"/>
    <mergeCell ref="DF23:DM23"/>
    <mergeCell ref="K24:R24"/>
    <mergeCell ref="T24:AA24"/>
    <mergeCell ref="AC24:AJ24"/>
    <mergeCell ref="AL24:AS24"/>
    <mergeCell ref="AU24:BB24"/>
    <mergeCell ref="BD24:BK24"/>
    <mergeCell ref="BM24:BT24"/>
    <mergeCell ref="BV24:CC24"/>
    <mergeCell ref="CE24:CL24"/>
    <mergeCell ref="BD23:BK23"/>
    <mergeCell ref="BM23:BT23"/>
    <mergeCell ref="BV23:CC23"/>
    <mergeCell ref="CE23:CL23"/>
    <mergeCell ref="CN23:CU23"/>
    <mergeCell ref="CW23:DD23"/>
    <mergeCell ref="K23:R23"/>
    <mergeCell ref="T23:AA23"/>
    <mergeCell ref="AC23:AJ23"/>
    <mergeCell ref="AL23:AS23"/>
    <mergeCell ref="CE19:CL19"/>
    <mergeCell ref="CN19:CU19"/>
    <mergeCell ref="CW19:DD19"/>
    <mergeCell ref="DF19:DM19"/>
    <mergeCell ref="B21:B22"/>
    <mergeCell ref="C21:C22"/>
    <mergeCell ref="D21:E22"/>
    <mergeCell ref="F21:F22"/>
    <mergeCell ref="G21:G22"/>
    <mergeCell ref="H21:H22"/>
    <mergeCell ref="AC19:AJ19"/>
    <mergeCell ref="AL19:AS19"/>
    <mergeCell ref="AU19:BB19"/>
    <mergeCell ref="BD19:BK19"/>
    <mergeCell ref="BM19:BT19"/>
    <mergeCell ref="BV19:CC19"/>
    <mergeCell ref="BS21:BZ21"/>
    <mergeCell ref="CA21:CH21"/>
    <mergeCell ref="CJ21:CQ21"/>
    <mergeCell ref="CR21:CY21"/>
    <mergeCell ref="DA21:DH21"/>
    <mergeCell ref="DI21:DN21"/>
    <mergeCell ref="I21:I22"/>
    <mergeCell ref="K21:R21"/>
    <mergeCell ref="DF17:DM17"/>
    <mergeCell ref="B19:B20"/>
    <mergeCell ref="C19:C20"/>
    <mergeCell ref="D19:E20"/>
    <mergeCell ref="F19:F20"/>
    <mergeCell ref="G19:G20"/>
    <mergeCell ref="H19:H20"/>
    <mergeCell ref="I19:I20"/>
    <mergeCell ref="K19:R19"/>
    <mergeCell ref="T19:AA19"/>
    <mergeCell ref="BD17:BK17"/>
    <mergeCell ref="BM17:BT17"/>
    <mergeCell ref="BV17:CC17"/>
    <mergeCell ref="CE17:CL17"/>
    <mergeCell ref="CN17:CU17"/>
    <mergeCell ref="CW17:DD17"/>
    <mergeCell ref="I17:I18"/>
    <mergeCell ref="K17:R17"/>
    <mergeCell ref="T17:AA17"/>
    <mergeCell ref="AC17:AJ17"/>
    <mergeCell ref="AL17:AS17"/>
    <mergeCell ref="AU17:BB17"/>
    <mergeCell ref="B17:B18"/>
    <mergeCell ref="C17:C18"/>
    <mergeCell ref="D17:E18"/>
    <mergeCell ref="F17:F18"/>
    <mergeCell ref="G17:G18"/>
    <mergeCell ref="H17:H18"/>
    <mergeCell ref="BM15:BT15"/>
    <mergeCell ref="BV15:CC15"/>
    <mergeCell ref="CE15:CL15"/>
    <mergeCell ref="CN15:CU15"/>
    <mergeCell ref="CW15:DD15"/>
    <mergeCell ref="DF15:DM15"/>
    <mergeCell ref="K15:R15"/>
    <mergeCell ref="T15:AA15"/>
    <mergeCell ref="AC15:AJ15"/>
    <mergeCell ref="AL15:AS15"/>
    <mergeCell ref="AU15:BB15"/>
    <mergeCell ref="BD15:BK15"/>
    <mergeCell ref="DO11:DO14"/>
    <mergeCell ref="DP11:DP14"/>
    <mergeCell ref="BV11:CD13"/>
    <mergeCell ref="CE11:CM13"/>
    <mergeCell ref="CN11:CV13"/>
    <mergeCell ref="CW11:DE13"/>
    <mergeCell ref="DF11:DN13"/>
    <mergeCell ref="B15:B16"/>
    <mergeCell ref="C15:C16"/>
    <mergeCell ref="D15:E16"/>
    <mergeCell ref="F15:F16"/>
    <mergeCell ref="G15:G16"/>
    <mergeCell ref="H15:H16"/>
    <mergeCell ref="I15:I16"/>
    <mergeCell ref="BM11:BU13"/>
    <mergeCell ref="K11:S13"/>
    <mergeCell ref="T11:AB13"/>
    <mergeCell ref="AC11:AK13"/>
    <mergeCell ref="AL11:AT13"/>
    <mergeCell ref="AU11:BC13"/>
    <mergeCell ref="BD11:BL13"/>
    <mergeCell ref="B2:DP3"/>
    <mergeCell ref="B4:E4"/>
    <mergeCell ref="G4:K4"/>
    <mergeCell ref="B5:E5"/>
    <mergeCell ref="B6:E6"/>
    <mergeCell ref="B7:E7"/>
    <mergeCell ref="G7:G8"/>
    <mergeCell ref="I7:I9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I11:I14"/>
    <mergeCell ref="J13:J14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DIF GuadalajaraPág. &amp;P de &amp;N</oddFooter>
  </headerFooter>
  <colBreaks count="1" manualBreakCount="1">
    <brk id="121" max="37" man="1"/>
  </colBreaks>
  <ignoredErrors>
    <ignoredError sqref="BD15:DO15 BD21:DO21 BD16:BK16 BM16:DO16 BD17:BK18 BM17:DO18 BD19:BK20 BM19:DO20 BD23:BK23 BD22:BK22 BM22:DO22 BD31:DO31 BD24:BK24 BM24:DO24 BD25:BK30 BM25:DO30 BM23:DO23" unlockedFormula="1"/>
    <ignoredError sqref="BL16 BL22" formula="1"/>
    <ignoredError sqref="BL23 BL24:BL30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36"/>
  <sheetViews>
    <sheetView topLeftCell="C5" zoomScale="20" zoomScaleNormal="20" zoomScaleSheetLayoutView="20" workbookViewId="0">
      <selection activeCell="DO18" sqref="DO18:DO30"/>
    </sheetView>
  </sheetViews>
  <sheetFormatPr baseColWidth="10" defaultColWidth="10.7109375" defaultRowHeight="15"/>
  <cols>
    <col min="1" max="1" width="6.5703125" style="152" customWidth="1"/>
    <col min="2" max="2" width="101.28515625" style="153" customWidth="1"/>
    <col min="3" max="3" width="81.28515625" style="153" customWidth="1"/>
    <col min="4" max="4" width="34.7109375" style="153" customWidth="1"/>
    <col min="5" max="5" width="51.7109375" style="153" customWidth="1"/>
    <col min="6" max="6" width="84.5703125" style="153" customWidth="1"/>
    <col min="7" max="7" width="64.7109375" style="153" customWidth="1"/>
    <col min="8" max="8" width="65.42578125" style="153" customWidth="1"/>
    <col min="9" max="9" width="46.28515625" style="153" customWidth="1"/>
    <col min="10" max="10" width="67.28515625" style="153" customWidth="1"/>
    <col min="11" max="55" width="30.7109375" style="152" hidden="1" customWidth="1"/>
    <col min="56" max="64" width="30.7109375" style="152" customWidth="1"/>
    <col min="65" max="100" width="30.7109375" style="152" hidden="1" customWidth="1"/>
    <col min="101" max="101" width="52.5703125" style="152" hidden="1" customWidth="1"/>
    <col min="102" max="102" width="39.5703125" style="152" hidden="1" customWidth="1"/>
    <col min="103" max="109" width="10.7109375" style="152" hidden="1" customWidth="1"/>
    <col min="110" max="110" width="56.28515625" style="152" hidden="1" customWidth="1"/>
    <col min="111" max="111" width="58.42578125" style="152" hidden="1" customWidth="1"/>
    <col min="112" max="118" width="10.7109375" style="152" hidden="1" customWidth="1"/>
    <col min="119" max="119" width="55.140625" style="152" customWidth="1"/>
    <col min="120" max="120" width="67.85546875" style="152" customWidth="1"/>
    <col min="121" max="16384" width="10.7109375" style="152"/>
  </cols>
  <sheetData>
    <row r="2" spans="2:120" ht="14.45" customHeight="1">
      <c r="B2" s="319" t="s">
        <v>182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</row>
    <row r="3" spans="2:120" ht="115.5" customHeight="1"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</row>
    <row r="4" spans="2:120" ht="127.5" customHeight="1">
      <c r="B4" s="262" t="s">
        <v>183</v>
      </c>
      <c r="C4" s="262"/>
      <c r="D4" s="262"/>
      <c r="E4" s="262"/>
      <c r="F4" s="2"/>
    </row>
    <row r="5" spans="2:120" ht="70.150000000000006" customHeight="1">
      <c r="B5" s="266" t="s">
        <v>30</v>
      </c>
      <c r="C5" s="266"/>
      <c r="D5" s="266"/>
      <c r="E5" s="266"/>
      <c r="F5" s="5"/>
      <c r="J5" s="154"/>
      <c r="K5" s="155"/>
      <c r="L5" s="155"/>
    </row>
    <row r="6" spans="2:120" ht="87" customHeight="1">
      <c r="B6" s="265" t="s">
        <v>17</v>
      </c>
      <c r="C6" s="265"/>
      <c r="D6" s="265"/>
      <c r="E6" s="265"/>
      <c r="F6" s="2"/>
      <c r="G6" s="320" t="s">
        <v>23</v>
      </c>
      <c r="H6" s="322" t="s">
        <v>25</v>
      </c>
      <c r="J6" s="156"/>
      <c r="K6" s="157"/>
      <c r="L6" s="157"/>
    </row>
    <row r="7" spans="2:120" ht="77.25" customHeight="1">
      <c r="B7" s="266" t="s">
        <v>31</v>
      </c>
      <c r="C7" s="266"/>
      <c r="D7" s="266"/>
      <c r="E7" s="266"/>
      <c r="F7" s="5"/>
      <c r="G7" s="321"/>
      <c r="H7" s="323"/>
      <c r="K7" s="155"/>
      <c r="L7" s="155"/>
    </row>
    <row r="8" spans="2:120" ht="77.650000000000006" customHeight="1">
      <c r="B8" s="265" t="s">
        <v>32</v>
      </c>
      <c r="C8" s="265"/>
      <c r="D8" s="265"/>
      <c r="E8" s="265"/>
      <c r="F8" s="2"/>
      <c r="K8" s="155"/>
      <c r="L8" s="155"/>
    </row>
    <row r="9" spans="2:120" ht="103.5" customHeight="1">
      <c r="B9" s="266" t="s">
        <v>33</v>
      </c>
      <c r="C9" s="266"/>
      <c r="D9" s="266"/>
      <c r="E9" s="266"/>
      <c r="F9" s="5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324"/>
      <c r="BC9" s="324"/>
      <c r="BD9" s="324"/>
      <c r="BE9" s="324"/>
      <c r="BF9" s="324"/>
      <c r="BG9" s="324"/>
      <c r="BH9" s="324"/>
      <c r="BI9" s="324"/>
      <c r="BJ9" s="324"/>
      <c r="BK9" s="324"/>
      <c r="BL9" s="324"/>
      <c r="BM9" s="324"/>
      <c r="BN9" s="324"/>
      <c r="BO9" s="324"/>
      <c r="BP9" s="324"/>
      <c r="BQ9" s="324"/>
      <c r="BR9" s="324"/>
      <c r="BS9" s="324"/>
      <c r="BT9" s="324"/>
      <c r="BU9" s="324"/>
      <c r="BV9" s="324"/>
      <c r="BW9" s="324"/>
      <c r="BX9" s="324"/>
      <c r="BY9" s="324"/>
      <c r="BZ9" s="324"/>
      <c r="CA9" s="324"/>
      <c r="CB9" s="324"/>
      <c r="CC9" s="324"/>
      <c r="CD9" s="324"/>
      <c r="CE9" s="324"/>
      <c r="CF9" s="324"/>
      <c r="CG9" s="324"/>
      <c r="CH9" s="324"/>
      <c r="CI9" s="324"/>
      <c r="CJ9" s="324"/>
      <c r="CK9" s="324"/>
      <c r="CL9" s="324"/>
      <c r="CM9" s="324"/>
      <c r="CN9" s="324"/>
      <c r="CO9" s="324"/>
      <c r="CP9" s="324"/>
      <c r="CQ9" s="324"/>
      <c r="CR9" s="324"/>
      <c r="CS9" s="324"/>
      <c r="CT9" s="324"/>
      <c r="CU9" s="324"/>
      <c r="CV9" s="324"/>
      <c r="CW9" s="324"/>
      <c r="CX9" s="324"/>
    </row>
    <row r="10" spans="2:120" ht="90" customHeight="1">
      <c r="B10" s="326" t="s">
        <v>35</v>
      </c>
      <c r="C10" s="326" t="s">
        <v>36</v>
      </c>
      <c r="D10" s="328" t="s">
        <v>37</v>
      </c>
      <c r="E10" s="329"/>
      <c r="F10" s="326" t="s">
        <v>38</v>
      </c>
      <c r="G10" s="326" t="s">
        <v>39</v>
      </c>
      <c r="H10" s="334" t="s">
        <v>40</v>
      </c>
      <c r="I10" s="335"/>
      <c r="J10" s="326" t="s">
        <v>41</v>
      </c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</row>
    <row r="11" spans="2:120" ht="25.15" customHeight="1">
      <c r="B11" s="327"/>
      <c r="C11" s="327"/>
      <c r="D11" s="330"/>
      <c r="E11" s="331"/>
      <c r="F11" s="327"/>
      <c r="G11" s="327"/>
      <c r="H11" s="326" t="s">
        <v>42</v>
      </c>
      <c r="I11" s="326" t="s">
        <v>43</v>
      </c>
      <c r="J11" s="327"/>
      <c r="K11" s="348" t="s">
        <v>44</v>
      </c>
      <c r="L11" s="349"/>
      <c r="M11" s="349"/>
      <c r="N11" s="349"/>
      <c r="O11" s="349"/>
      <c r="P11" s="349"/>
      <c r="Q11" s="349"/>
      <c r="R11" s="349"/>
      <c r="S11" s="350"/>
      <c r="T11" s="348" t="s">
        <v>45</v>
      </c>
      <c r="U11" s="349"/>
      <c r="V11" s="349"/>
      <c r="W11" s="349"/>
      <c r="X11" s="349"/>
      <c r="Y11" s="349"/>
      <c r="Z11" s="349"/>
      <c r="AA11" s="349"/>
      <c r="AB11" s="350"/>
      <c r="AC11" s="337" t="s">
        <v>46</v>
      </c>
      <c r="AD11" s="338"/>
      <c r="AE11" s="338"/>
      <c r="AF11" s="338"/>
      <c r="AG11" s="338"/>
      <c r="AH11" s="338"/>
      <c r="AI11" s="338"/>
      <c r="AJ11" s="338"/>
      <c r="AK11" s="339"/>
      <c r="AL11" s="337" t="s">
        <v>47</v>
      </c>
      <c r="AM11" s="338"/>
      <c r="AN11" s="338"/>
      <c r="AO11" s="338"/>
      <c r="AP11" s="338"/>
      <c r="AQ11" s="338"/>
      <c r="AR11" s="338"/>
      <c r="AS11" s="338"/>
      <c r="AT11" s="339"/>
      <c r="AU11" s="337" t="s">
        <v>48</v>
      </c>
      <c r="AV11" s="338"/>
      <c r="AW11" s="338"/>
      <c r="AX11" s="338"/>
      <c r="AY11" s="338"/>
      <c r="AZ11" s="338"/>
      <c r="BA11" s="338"/>
      <c r="BB11" s="338"/>
      <c r="BC11" s="339"/>
      <c r="BD11" s="337" t="s">
        <v>49</v>
      </c>
      <c r="BE11" s="338"/>
      <c r="BF11" s="338"/>
      <c r="BG11" s="338"/>
      <c r="BH11" s="338"/>
      <c r="BI11" s="338"/>
      <c r="BJ11" s="338"/>
      <c r="BK11" s="338"/>
      <c r="BL11" s="339"/>
      <c r="BM11" s="337" t="s">
        <v>50</v>
      </c>
      <c r="BN11" s="338"/>
      <c r="BO11" s="338"/>
      <c r="BP11" s="338"/>
      <c r="BQ11" s="338"/>
      <c r="BR11" s="338"/>
      <c r="BS11" s="338"/>
      <c r="BT11" s="338"/>
      <c r="BU11" s="339"/>
      <c r="BV11" s="337" t="s">
        <v>51</v>
      </c>
      <c r="BW11" s="338"/>
      <c r="BX11" s="338"/>
      <c r="BY11" s="338"/>
      <c r="BZ11" s="338"/>
      <c r="CA11" s="338"/>
      <c r="CB11" s="338"/>
      <c r="CC11" s="338"/>
      <c r="CD11" s="339"/>
      <c r="CE11" s="337" t="s">
        <v>52</v>
      </c>
      <c r="CF11" s="338"/>
      <c r="CG11" s="338"/>
      <c r="CH11" s="338"/>
      <c r="CI11" s="338"/>
      <c r="CJ11" s="338"/>
      <c r="CK11" s="338"/>
      <c r="CL11" s="338"/>
      <c r="CM11" s="339"/>
      <c r="CN11" s="337" t="s">
        <v>53</v>
      </c>
      <c r="CO11" s="338"/>
      <c r="CP11" s="338"/>
      <c r="CQ11" s="338"/>
      <c r="CR11" s="338"/>
      <c r="CS11" s="338"/>
      <c r="CT11" s="338"/>
      <c r="CU11" s="338"/>
      <c r="CV11" s="339"/>
      <c r="CW11" s="337" t="s">
        <v>54</v>
      </c>
      <c r="CX11" s="338"/>
      <c r="CY11" s="338"/>
      <c r="CZ11" s="338"/>
      <c r="DA11" s="338"/>
      <c r="DB11" s="338"/>
      <c r="DC11" s="338"/>
      <c r="DD11" s="338"/>
      <c r="DE11" s="339"/>
      <c r="DF11" s="337" t="s">
        <v>55</v>
      </c>
      <c r="DG11" s="338"/>
      <c r="DH11" s="338"/>
      <c r="DI11" s="338"/>
      <c r="DJ11" s="338"/>
      <c r="DK11" s="338"/>
      <c r="DL11" s="338"/>
      <c r="DM11" s="338"/>
      <c r="DN11" s="339"/>
      <c r="DO11" s="363" t="s">
        <v>56</v>
      </c>
      <c r="DP11" s="366" t="s">
        <v>57</v>
      </c>
    </row>
    <row r="12" spans="2:120" ht="48" customHeight="1">
      <c r="B12" s="327"/>
      <c r="C12" s="327"/>
      <c r="D12" s="330"/>
      <c r="E12" s="331"/>
      <c r="F12" s="327"/>
      <c r="G12" s="327"/>
      <c r="H12" s="327"/>
      <c r="I12" s="327"/>
      <c r="J12" s="336"/>
      <c r="K12" s="351"/>
      <c r="L12" s="352"/>
      <c r="M12" s="352"/>
      <c r="N12" s="352"/>
      <c r="O12" s="352"/>
      <c r="P12" s="352"/>
      <c r="Q12" s="352"/>
      <c r="R12" s="352"/>
      <c r="S12" s="353"/>
      <c r="T12" s="351"/>
      <c r="U12" s="352"/>
      <c r="V12" s="352"/>
      <c r="W12" s="352"/>
      <c r="X12" s="352"/>
      <c r="Y12" s="352"/>
      <c r="Z12" s="352"/>
      <c r="AA12" s="352"/>
      <c r="AB12" s="353"/>
      <c r="AC12" s="340"/>
      <c r="AD12" s="341"/>
      <c r="AE12" s="341"/>
      <c r="AF12" s="341"/>
      <c r="AG12" s="341"/>
      <c r="AH12" s="341"/>
      <c r="AI12" s="341"/>
      <c r="AJ12" s="341"/>
      <c r="AK12" s="342"/>
      <c r="AL12" s="340"/>
      <c r="AM12" s="341"/>
      <c r="AN12" s="341"/>
      <c r="AO12" s="341"/>
      <c r="AP12" s="341"/>
      <c r="AQ12" s="341"/>
      <c r="AR12" s="341"/>
      <c r="AS12" s="341"/>
      <c r="AT12" s="342"/>
      <c r="AU12" s="340"/>
      <c r="AV12" s="341"/>
      <c r="AW12" s="341"/>
      <c r="AX12" s="341"/>
      <c r="AY12" s="341"/>
      <c r="AZ12" s="341"/>
      <c r="BA12" s="341"/>
      <c r="BB12" s="341"/>
      <c r="BC12" s="342"/>
      <c r="BD12" s="340"/>
      <c r="BE12" s="341"/>
      <c r="BF12" s="341"/>
      <c r="BG12" s="341"/>
      <c r="BH12" s="341"/>
      <c r="BI12" s="341"/>
      <c r="BJ12" s="341"/>
      <c r="BK12" s="341"/>
      <c r="BL12" s="342"/>
      <c r="BM12" s="340"/>
      <c r="BN12" s="341"/>
      <c r="BO12" s="341"/>
      <c r="BP12" s="341"/>
      <c r="BQ12" s="341"/>
      <c r="BR12" s="341"/>
      <c r="BS12" s="341"/>
      <c r="BT12" s="341"/>
      <c r="BU12" s="342"/>
      <c r="BV12" s="340"/>
      <c r="BW12" s="341"/>
      <c r="BX12" s="341"/>
      <c r="BY12" s="341"/>
      <c r="BZ12" s="341"/>
      <c r="CA12" s="341"/>
      <c r="CB12" s="341"/>
      <c r="CC12" s="341"/>
      <c r="CD12" s="342"/>
      <c r="CE12" s="340"/>
      <c r="CF12" s="341"/>
      <c r="CG12" s="341"/>
      <c r="CH12" s="341"/>
      <c r="CI12" s="341"/>
      <c r="CJ12" s="341"/>
      <c r="CK12" s="341"/>
      <c r="CL12" s="341"/>
      <c r="CM12" s="342"/>
      <c r="CN12" s="340"/>
      <c r="CO12" s="341"/>
      <c r="CP12" s="341"/>
      <c r="CQ12" s="341"/>
      <c r="CR12" s="341"/>
      <c r="CS12" s="341"/>
      <c r="CT12" s="341"/>
      <c r="CU12" s="341"/>
      <c r="CV12" s="342"/>
      <c r="CW12" s="340"/>
      <c r="CX12" s="341"/>
      <c r="CY12" s="341"/>
      <c r="CZ12" s="341"/>
      <c r="DA12" s="341"/>
      <c r="DB12" s="341"/>
      <c r="DC12" s="341"/>
      <c r="DD12" s="341"/>
      <c r="DE12" s="342"/>
      <c r="DF12" s="340"/>
      <c r="DG12" s="341"/>
      <c r="DH12" s="341"/>
      <c r="DI12" s="341"/>
      <c r="DJ12" s="341"/>
      <c r="DK12" s="341"/>
      <c r="DL12" s="341"/>
      <c r="DM12" s="341"/>
      <c r="DN12" s="342"/>
      <c r="DO12" s="364"/>
      <c r="DP12" s="367"/>
    </row>
    <row r="13" spans="2:120" ht="78" customHeight="1">
      <c r="B13" s="327"/>
      <c r="C13" s="327"/>
      <c r="D13" s="330"/>
      <c r="E13" s="331"/>
      <c r="F13" s="327"/>
      <c r="G13" s="327"/>
      <c r="H13" s="327"/>
      <c r="I13" s="327"/>
      <c r="J13" s="366" t="s">
        <v>58</v>
      </c>
      <c r="K13" s="354"/>
      <c r="L13" s="355"/>
      <c r="M13" s="355"/>
      <c r="N13" s="355"/>
      <c r="O13" s="355"/>
      <c r="P13" s="355"/>
      <c r="Q13" s="355"/>
      <c r="R13" s="355"/>
      <c r="S13" s="356"/>
      <c r="T13" s="354"/>
      <c r="U13" s="355"/>
      <c r="V13" s="355"/>
      <c r="W13" s="355"/>
      <c r="X13" s="355"/>
      <c r="Y13" s="355"/>
      <c r="Z13" s="355"/>
      <c r="AA13" s="355"/>
      <c r="AB13" s="356"/>
      <c r="AC13" s="343"/>
      <c r="AD13" s="344"/>
      <c r="AE13" s="344"/>
      <c r="AF13" s="344"/>
      <c r="AG13" s="344"/>
      <c r="AH13" s="344"/>
      <c r="AI13" s="344"/>
      <c r="AJ13" s="344"/>
      <c r="AK13" s="345"/>
      <c r="AL13" s="343"/>
      <c r="AM13" s="344"/>
      <c r="AN13" s="344"/>
      <c r="AO13" s="344"/>
      <c r="AP13" s="344"/>
      <c r="AQ13" s="344"/>
      <c r="AR13" s="344"/>
      <c r="AS13" s="344"/>
      <c r="AT13" s="345"/>
      <c r="AU13" s="343"/>
      <c r="AV13" s="344"/>
      <c r="AW13" s="344"/>
      <c r="AX13" s="344"/>
      <c r="AY13" s="344"/>
      <c r="AZ13" s="344"/>
      <c r="BA13" s="344"/>
      <c r="BB13" s="344"/>
      <c r="BC13" s="345"/>
      <c r="BD13" s="343"/>
      <c r="BE13" s="344"/>
      <c r="BF13" s="344"/>
      <c r="BG13" s="344"/>
      <c r="BH13" s="344"/>
      <c r="BI13" s="344"/>
      <c r="BJ13" s="344"/>
      <c r="BK13" s="344"/>
      <c r="BL13" s="345"/>
      <c r="BM13" s="343"/>
      <c r="BN13" s="344"/>
      <c r="BO13" s="344"/>
      <c r="BP13" s="344"/>
      <c r="BQ13" s="344"/>
      <c r="BR13" s="344"/>
      <c r="BS13" s="344"/>
      <c r="BT13" s="344"/>
      <c r="BU13" s="345"/>
      <c r="BV13" s="343"/>
      <c r="BW13" s="344"/>
      <c r="BX13" s="344"/>
      <c r="BY13" s="344"/>
      <c r="BZ13" s="344"/>
      <c r="CA13" s="344"/>
      <c r="CB13" s="344"/>
      <c r="CC13" s="344"/>
      <c r="CD13" s="345"/>
      <c r="CE13" s="343"/>
      <c r="CF13" s="344"/>
      <c r="CG13" s="344"/>
      <c r="CH13" s="344"/>
      <c r="CI13" s="344"/>
      <c r="CJ13" s="344"/>
      <c r="CK13" s="344"/>
      <c r="CL13" s="344"/>
      <c r="CM13" s="345"/>
      <c r="CN13" s="343"/>
      <c r="CO13" s="344"/>
      <c r="CP13" s="344"/>
      <c r="CQ13" s="344"/>
      <c r="CR13" s="344"/>
      <c r="CS13" s="344"/>
      <c r="CT13" s="344"/>
      <c r="CU13" s="344"/>
      <c r="CV13" s="345"/>
      <c r="CW13" s="343"/>
      <c r="CX13" s="344"/>
      <c r="CY13" s="344"/>
      <c r="CZ13" s="344"/>
      <c r="DA13" s="344"/>
      <c r="DB13" s="344"/>
      <c r="DC13" s="344"/>
      <c r="DD13" s="344"/>
      <c r="DE13" s="345"/>
      <c r="DF13" s="343"/>
      <c r="DG13" s="344"/>
      <c r="DH13" s="344"/>
      <c r="DI13" s="344"/>
      <c r="DJ13" s="344"/>
      <c r="DK13" s="344"/>
      <c r="DL13" s="344"/>
      <c r="DM13" s="344"/>
      <c r="DN13" s="345"/>
      <c r="DO13" s="364"/>
      <c r="DP13" s="367"/>
    </row>
    <row r="14" spans="2:120" ht="77.25" customHeight="1">
      <c r="B14" s="327"/>
      <c r="C14" s="327"/>
      <c r="D14" s="332"/>
      <c r="E14" s="333"/>
      <c r="F14" s="327"/>
      <c r="G14" s="327"/>
      <c r="H14" s="327"/>
      <c r="I14" s="327"/>
      <c r="J14" s="367"/>
      <c r="K14" s="63" t="s">
        <v>59</v>
      </c>
      <c r="L14" s="63" t="s">
        <v>60</v>
      </c>
      <c r="M14" s="63" t="s">
        <v>61</v>
      </c>
      <c r="N14" s="63" t="s">
        <v>62</v>
      </c>
      <c r="O14" s="63" t="s">
        <v>63</v>
      </c>
      <c r="P14" s="63" t="s">
        <v>64</v>
      </c>
      <c r="Q14" s="63" t="s">
        <v>65</v>
      </c>
      <c r="R14" s="63" t="s">
        <v>66</v>
      </c>
      <c r="S14" s="63" t="s">
        <v>67</v>
      </c>
      <c r="T14" s="63" t="s">
        <v>59</v>
      </c>
      <c r="U14" s="63" t="s">
        <v>60</v>
      </c>
      <c r="V14" s="63" t="s">
        <v>61</v>
      </c>
      <c r="W14" s="63" t="s">
        <v>62</v>
      </c>
      <c r="X14" s="63" t="s">
        <v>63</v>
      </c>
      <c r="Y14" s="63" t="s">
        <v>64</v>
      </c>
      <c r="Z14" s="63" t="s">
        <v>65</v>
      </c>
      <c r="AA14" s="63" t="s">
        <v>66</v>
      </c>
      <c r="AB14" s="63" t="s">
        <v>67</v>
      </c>
      <c r="AC14" s="63" t="s">
        <v>59</v>
      </c>
      <c r="AD14" s="63" t="s">
        <v>60</v>
      </c>
      <c r="AE14" s="63" t="s">
        <v>61</v>
      </c>
      <c r="AF14" s="63" t="s">
        <v>62</v>
      </c>
      <c r="AG14" s="63" t="s">
        <v>63</v>
      </c>
      <c r="AH14" s="63" t="s">
        <v>64</v>
      </c>
      <c r="AI14" s="63" t="s">
        <v>65</v>
      </c>
      <c r="AJ14" s="63" t="s">
        <v>66</v>
      </c>
      <c r="AK14" s="63" t="s">
        <v>67</v>
      </c>
      <c r="AL14" s="63" t="s">
        <v>59</v>
      </c>
      <c r="AM14" s="63" t="s">
        <v>60</v>
      </c>
      <c r="AN14" s="63" t="s">
        <v>61</v>
      </c>
      <c r="AO14" s="63" t="s">
        <v>62</v>
      </c>
      <c r="AP14" s="63" t="s">
        <v>63</v>
      </c>
      <c r="AQ14" s="63" t="s">
        <v>64</v>
      </c>
      <c r="AR14" s="63" t="s">
        <v>65</v>
      </c>
      <c r="AS14" s="63" t="s">
        <v>66</v>
      </c>
      <c r="AT14" s="63" t="s">
        <v>67</v>
      </c>
      <c r="AU14" s="63" t="s">
        <v>59</v>
      </c>
      <c r="AV14" s="63" t="s">
        <v>60</v>
      </c>
      <c r="AW14" s="63" t="s">
        <v>61</v>
      </c>
      <c r="AX14" s="63" t="s">
        <v>62</v>
      </c>
      <c r="AY14" s="63" t="s">
        <v>63</v>
      </c>
      <c r="AZ14" s="63" t="s">
        <v>64</v>
      </c>
      <c r="BA14" s="63" t="s">
        <v>65</v>
      </c>
      <c r="BB14" s="63" t="s">
        <v>66</v>
      </c>
      <c r="BC14" s="63" t="s">
        <v>67</v>
      </c>
      <c r="BD14" s="63" t="s">
        <v>59</v>
      </c>
      <c r="BE14" s="63" t="s">
        <v>60</v>
      </c>
      <c r="BF14" s="63" t="s">
        <v>61</v>
      </c>
      <c r="BG14" s="63" t="s">
        <v>62</v>
      </c>
      <c r="BH14" s="63" t="s">
        <v>63</v>
      </c>
      <c r="BI14" s="63" t="s">
        <v>64</v>
      </c>
      <c r="BJ14" s="63" t="s">
        <v>65</v>
      </c>
      <c r="BK14" s="63" t="s">
        <v>66</v>
      </c>
      <c r="BL14" s="63" t="s">
        <v>67</v>
      </c>
      <c r="BM14" s="63" t="s">
        <v>59</v>
      </c>
      <c r="BN14" s="63" t="s">
        <v>60</v>
      </c>
      <c r="BO14" s="63" t="s">
        <v>61</v>
      </c>
      <c r="BP14" s="63" t="s">
        <v>62</v>
      </c>
      <c r="BQ14" s="63" t="s">
        <v>63</v>
      </c>
      <c r="BR14" s="63" t="s">
        <v>64</v>
      </c>
      <c r="BS14" s="63" t="s">
        <v>65</v>
      </c>
      <c r="BT14" s="63" t="s">
        <v>66</v>
      </c>
      <c r="BU14" s="63" t="s">
        <v>67</v>
      </c>
      <c r="BV14" s="63" t="s">
        <v>59</v>
      </c>
      <c r="BW14" s="63" t="s">
        <v>60</v>
      </c>
      <c r="BX14" s="63" t="s">
        <v>61</v>
      </c>
      <c r="BY14" s="63" t="s">
        <v>62</v>
      </c>
      <c r="BZ14" s="63" t="s">
        <v>63</v>
      </c>
      <c r="CA14" s="63" t="s">
        <v>64</v>
      </c>
      <c r="CB14" s="63" t="s">
        <v>65</v>
      </c>
      <c r="CC14" s="63" t="s">
        <v>66</v>
      </c>
      <c r="CD14" s="63" t="s">
        <v>67</v>
      </c>
      <c r="CE14" s="63" t="s">
        <v>59</v>
      </c>
      <c r="CF14" s="63" t="s">
        <v>60</v>
      </c>
      <c r="CG14" s="63" t="s">
        <v>61</v>
      </c>
      <c r="CH14" s="63" t="s">
        <v>62</v>
      </c>
      <c r="CI14" s="63" t="s">
        <v>63</v>
      </c>
      <c r="CJ14" s="63" t="s">
        <v>64</v>
      </c>
      <c r="CK14" s="63" t="s">
        <v>65</v>
      </c>
      <c r="CL14" s="63" t="s">
        <v>66</v>
      </c>
      <c r="CM14" s="63" t="s">
        <v>67</v>
      </c>
      <c r="CN14" s="63" t="s">
        <v>59</v>
      </c>
      <c r="CO14" s="63" t="s">
        <v>60</v>
      </c>
      <c r="CP14" s="63" t="s">
        <v>61</v>
      </c>
      <c r="CQ14" s="63" t="s">
        <v>62</v>
      </c>
      <c r="CR14" s="63" t="s">
        <v>63</v>
      </c>
      <c r="CS14" s="63" t="s">
        <v>64</v>
      </c>
      <c r="CT14" s="63" t="s">
        <v>65</v>
      </c>
      <c r="CU14" s="63" t="s">
        <v>66</v>
      </c>
      <c r="CV14" s="63" t="s">
        <v>67</v>
      </c>
      <c r="CW14" s="63" t="s">
        <v>59</v>
      </c>
      <c r="CX14" s="63" t="s">
        <v>60</v>
      </c>
      <c r="CY14" s="63" t="s">
        <v>61</v>
      </c>
      <c r="CZ14" s="63" t="s">
        <v>62</v>
      </c>
      <c r="DA14" s="63" t="s">
        <v>63</v>
      </c>
      <c r="DB14" s="63" t="s">
        <v>64</v>
      </c>
      <c r="DC14" s="63" t="s">
        <v>65</v>
      </c>
      <c r="DD14" s="63" t="s">
        <v>66</v>
      </c>
      <c r="DE14" s="63" t="s">
        <v>67</v>
      </c>
      <c r="DF14" s="63" t="s">
        <v>59</v>
      </c>
      <c r="DG14" s="63" t="s">
        <v>60</v>
      </c>
      <c r="DH14" s="63" t="s">
        <v>61</v>
      </c>
      <c r="DI14" s="63" t="s">
        <v>62</v>
      </c>
      <c r="DJ14" s="63" t="s">
        <v>63</v>
      </c>
      <c r="DK14" s="63" t="s">
        <v>64</v>
      </c>
      <c r="DL14" s="63" t="s">
        <v>65</v>
      </c>
      <c r="DM14" s="63" t="s">
        <v>66</v>
      </c>
      <c r="DN14" s="63" t="s">
        <v>67</v>
      </c>
      <c r="DO14" s="365"/>
      <c r="DP14" s="368"/>
    </row>
    <row r="15" spans="2:120" ht="287.25" hidden="1" customHeight="1">
      <c r="B15" s="346" t="s">
        <v>103</v>
      </c>
      <c r="C15" s="346" t="s">
        <v>184</v>
      </c>
      <c r="D15" s="346" t="s">
        <v>70</v>
      </c>
      <c r="E15" s="346"/>
      <c r="F15" s="346" t="s">
        <v>185</v>
      </c>
      <c r="G15" s="347">
        <v>1470</v>
      </c>
      <c r="H15" s="360" t="s">
        <v>186</v>
      </c>
      <c r="I15" s="361">
        <v>1243</v>
      </c>
      <c r="J15" s="158" t="s">
        <v>72</v>
      </c>
      <c r="K15" s="357">
        <v>3</v>
      </c>
      <c r="L15" s="358"/>
      <c r="M15" s="358"/>
      <c r="N15" s="358"/>
      <c r="O15" s="358"/>
      <c r="P15" s="358"/>
      <c r="Q15" s="358"/>
      <c r="R15" s="359"/>
      <c r="S15" s="159">
        <v>3</v>
      </c>
      <c r="T15" s="357">
        <v>3</v>
      </c>
      <c r="U15" s="358"/>
      <c r="V15" s="358"/>
      <c r="W15" s="358"/>
      <c r="X15" s="358"/>
      <c r="Y15" s="358"/>
      <c r="Z15" s="358"/>
      <c r="AA15" s="359"/>
      <c r="AB15" s="159">
        <v>3</v>
      </c>
      <c r="AC15" s="357">
        <v>3</v>
      </c>
      <c r="AD15" s="358"/>
      <c r="AE15" s="358"/>
      <c r="AF15" s="358"/>
      <c r="AG15" s="358"/>
      <c r="AH15" s="358"/>
      <c r="AI15" s="358"/>
      <c r="AJ15" s="359"/>
      <c r="AK15" s="159">
        <f>SUM(AC15)</f>
        <v>3</v>
      </c>
      <c r="AL15" s="357">
        <v>130</v>
      </c>
      <c r="AM15" s="358"/>
      <c r="AN15" s="358"/>
      <c r="AO15" s="358"/>
      <c r="AP15" s="358"/>
      <c r="AQ15" s="358"/>
      <c r="AR15" s="358"/>
      <c r="AS15" s="359"/>
      <c r="AT15" s="159">
        <f>SUM(AL15)</f>
        <v>130</v>
      </c>
      <c r="AU15" s="357">
        <v>60</v>
      </c>
      <c r="AV15" s="358"/>
      <c r="AW15" s="358"/>
      <c r="AX15" s="358"/>
      <c r="AY15" s="358"/>
      <c r="AZ15" s="358"/>
      <c r="BA15" s="358"/>
      <c r="BB15" s="359"/>
      <c r="BC15" s="159">
        <f>SUM(AU15)</f>
        <v>60</v>
      </c>
      <c r="BD15" s="357">
        <v>60</v>
      </c>
      <c r="BE15" s="358"/>
      <c r="BF15" s="358"/>
      <c r="BG15" s="358"/>
      <c r="BH15" s="358"/>
      <c r="BI15" s="358"/>
      <c r="BJ15" s="358"/>
      <c r="BK15" s="359"/>
      <c r="BL15" s="159">
        <f>SUM(BD15)</f>
        <v>60</v>
      </c>
      <c r="BM15" s="357">
        <v>140</v>
      </c>
      <c r="BN15" s="358"/>
      <c r="BO15" s="358"/>
      <c r="BP15" s="358"/>
      <c r="BQ15" s="358"/>
      <c r="BR15" s="358"/>
      <c r="BS15" s="358"/>
      <c r="BT15" s="359"/>
      <c r="BU15" s="159">
        <f>SUM(BM15)</f>
        <v>140</v>
      </c>
      <c r="BV15" s="357">
        <v>140</v>
      </c>
      <c r="BW15" s="358"/>
      <c r="BX15" s="358"/>
      <c r="BY15" s="358"/>
      <c r="BZ15" s="358"/>
      <c r="CA15" s="358"/>
      <c r="CB15" s="358"/>
      <c r="CC15" s="359"/>
      <c r="CD15" s="159">
        <f>SUM(BV15)</f>
        <v>140</v>
      </c>
      <c r="CE15" s="357">
        <v>100</v>
      </c>
      <c r="CF15" s="358"/>
      <c r="CG15" s="358"/>
      <c r="CH15" s="358"/>
      <c r="CI15" s="358"/>
      <c r="CJ15" s="358"/>
      <c r="CK15" s="358"/>
      <c r="CL15" s="359"/>
      <c r="CM15" s="159">
        <f>SUM(CE15)</f>
        <v>100</v>
      </c>
      <c r="CN15" s="357">
        <v>140</v>
      </c>
      <c r="CO15" s="358"/>
      <c r="CP15" s="358"/>
      <c r="CQ15" s="358"/>
      <c r="CR15" s="358"/>
      <c r="CS15" s="358"/>
      <c r="CT15" s="358"/>
      <c r="CU15" s="359"/>
      <c r="CV15" s="159">
        <f>SUM(CN15)</f>
        <v>140</v>
      </c>
      <c r="CW15" s="357">
        <v>157</v>
      </c>
      <c r="CX15" s="358"/>
      <c r="CY15" s="358"/>
      <c r="CZ15" s="358"/>
      <c r="DA15" s="358"/>
      <c r="DB15" s="358"/>
      <c r="DC15" s="358"/>
      <c r="DD15" s="359"/>
      <c r="DE15" s="159">
        <f>SUM(CW15)</f>
        <v>157</v>
      </c>
      <c r="DF15" s="357">
        <v>180</v>
      </c>
      <c r="DG15" s="358"/>
      <c r="DH15" s="358"/>
      <c r="DI15" s="358"/>
      <c r="DJ15" s="358"/>
      <c r="DK15" s="358"/>
      <c r="DL15" s="358"/>
      <c r="DM15" s="359"/>
      <c r="DN15" s="159">
        <f>SUM(DF15)</f>
        <v>180</v>
      </c>
      <c r="DO15" s="160">
        <f>S15+AB15+AK15+AT15+BC15+BL15+BU15+CD15+CM15+CV15+DE15+DN15</f>
        <v>1116</v>
      </c>
      <c r="DP15" s="161"/>
    </row>
    <row r="16" spans="2:120" ht="217.15" customHeight="1">
      <c r="B16" s="346"/>
      <c r="C16" s="346"/>
      <c r="D16" s="346"/>
      <c r="E16" s="346"/>
      <c r="F16" s="346"/>
      <c r="G16" s="346"/>
      <c r="H16" s="360"/>
      <c r="I16" s="362"/>
      <c r="J16" s="162" t="s">
        <v>73</v>
      </c>
      <c r="K16" s="163">
        <v>6</v>
      </c>
      <c r="L16" s="159">
        <v>4</v>
      </c>
      <c r="M16" s="159">
        <v>7</v>
      </c>
      <c r="N16" s="159">
        <v>1</v>
      </c>
      <c r="O16" s="159">
        <v>67</v>
      </c>
      <c r="P16" s="159">
        <v>46</v>
      </c>
      <c r="Q16" s="159">
        <v>3</v>
      </c>
      <c r="R16" s="159">
        <v>2</v>
      </c>
      <c r="S16" s="159">
        <f>SUM(K16:R16)</f>
        <v>136</v>
      </c>
      <c r="T16" s="163">
        <v>7</v>
      </c>
      <c r="U16" s="159">
        <v>5</v>
      </c>
      <c r="V16" s="159">
        <v>8</v>
      </c>
      <c r="W16" s="159">
        <v>2</v>
      </c>
      <c r="X16" s="159">
        <v>38</v>
      </c>
      <c r="Y16" s="159">
        <v>16</v>
      </c>
      <c r="Z16" s="159">
        <v>5</v>
      </c>
      <c r="AA16" s="159">
        <v>3</v>
      </c>
      <c r="AB16" s="159">
        <f>SUM(T16:AA16)</f>
        <v>84</v>
      </c>
      <c r="AC16" s="163">
        <v>0</v>
      </c>
      <c r="AD16" s="159">
        <v>1</v>
      </c>
      <c r="AE16" s="159">
        <v>7</v>
      </c>
      <c r="AF16" s="159">
        <v>4</v>
      </c>
      <c r="AG16" s="159">
        <v>88</v>
      </c>
      <c r="AH16" s="159">
        <v>44</v>
      </c>
      <c r="AI16" s="159">
        <v>3</v>
      </c>
      <c r="AJ16" s="159">
        <v>4</v>
      </c>
      <c r="AK16" s="159">
        <f>SUM(AC16:AJ16)</f>
        <v>151</v>
      </c>
      <c r="AL16" s="163">
        <v>4</v>
      </c>
      <c r="AM16" s="159">
        <v>3</v>
      </c>
      <c r="AN16" s="159">
        <v>3</v>
      </c>
      <c r="AO16" s="159">
        <v>1</v>
      </c>
      <c r="AP16" s="159">
        <v>81</v>
      </c>
      <c r="AQ16" s="159">
        <v>34</v>
      </c>
      <c r="AR16" s="159">
        <v>7</v>
      </c>
      <c r="AS16" s="159">
        <v>3</v>
      </c>
      <c r="AT16" s="159">
        <f>SUM(AL16:AS16)</f>
        <v>136</v>
      </c>
      <c r="AU16" s="163">
        <v>6</v>
      </c>
      <c r="AV16" s="159">
        <v>3</v>
      </c>
      <c r="AW16" s="159">
        <v>12</v>
      </c>
      <c r="AX16" s="159">
        <v>4</v>
      </c>
      <c r="AY16" s="159">
        <v>95</v>
      </c>
      <c r="AZ16" s="159">
        <v>42</v>
      </c>
      <c r="BA16" s="159">
        <v>34</v>
      </c>
      <c r="BB16" s="159">
        <v>11</v>
      </c>
      <c r="BC16" s="159">
        <f>SUM(AU16:BB16)</f>
        <v>207</v>
      </c>
      <c r="BD16" s="163">
        <v>5</v>
      </c>
      <c r="BE16" s="159">
        <v>2</v>
      </c>
      <c r="BF16" s="159">
        <v>11</v>
      </c>
      <c r="BG16" s="159">
        <v>1</v>
      </c>
      <c r="BH16" s="159">
        <v>39</v>
      </c>
      <c r="BI16" s="159">
        <v>36</v>
      </c>
      <c r="BJ16" s="159">
        <v>19</v>
      </c>
      <c r="BK16" s="159">
        <v>14</v>
      </c>
      <c r="BL16" s="159">
        <f>SUM(BD16:BK16)</f>
        <v>127</v>
      </c>
      <c r="BM16" s="163"/>
      <c r="BN16" s="159"/>
      <c r="BO16" s="159"/>
      <c r="BP16" s="159"/>
      <c r="BQ16" s="159"/>
      <c r="BR16" s="159"/>
      <c r="BS16" s="159"/>
      <c r="BT16" s="159"/>
      <c r="BU16" s="159">
        <f t="shared" ref="BU16:BU34" si="0">SUM(BM16)</f>
        <v>0</v>
      </c>
      <c r="BV16" s="163"/>
      <c r="BW16" s="159"/>
      <c r="BX16" s="159"/>
      <c r="BY16" s="159"/>
      <c r="BZ16" s="159"/>
      <c r="CA16" s="159"/>
      <c r="CB16" s="159"/>
      <c r="CC16" s="159"/>
      <c r="CD16" s="159">
        <f t="shared" ref="CD16:CD34" si="1">SUM(BV16)</f>
        <v>0</v>
      </c>
      <c r="CE16" s="163"/>
      <c r="CF16" s="159"/>
      <c r="CG16" s="159"/>
      <c r="CH16" s="159"/>
      <c r="CI16" s="159"/>
      <c r="CJ16" s="159"/>
      <c r="CK16" s="159"/>
      <c r="CL16" s="159"/>
      <c r="CM16" s="159">
        <f t="shared" ref="CM16:CM34" si="2">SUM(CE16)</f>
        <v>0</v>
      </c>
      <c r="CN16" s="163"/>
      <c r="CO16" s="159"/>
      <c r="CP16" s="159"/>
      <c r="CQ16" s="159"/>
      <c r="CR16" s="159"/>
      <c r="CS16" s="159"/>
      <c r="CT16" s="159"/>
      <c r="CU16" s="159"/>
      <c r="CV16" s="159">
        <f t="shared" ref="CV16:CV34" si="3">SUM(CN16)</f>
        <v>0</v>
      </c>
      <c r="CW16" s="163"/>
      <c r="CX16" s="159"/>
      <c r="CY16" s="159"/>
      <c r="CZ16" s="159"/>
      <c r="DA16" s="159"/>
      <c r="DB16" s="159"/>
      <c r="DC16" s="159"/>
      <c r="DD16" s="159"/>
      <c r="DE16" s="159">
        <f t="shared" ref="DE16:DE34" si="4">SUM(CW16)</f>
        <v>0</v>
      </c>
      <c r="DF16" s="163"/>
      <c r="DG16" s="159"/>
      <c r="DH16" s="159"/>
      <c r="DI16" s="159"/>
      <c r="DJ16" s="159"/>
      <c r="DK16" s="159"/>
      <c r="DL16" s="159"/>
      <c r="DM16" s="159"/>
      <c r="DN16" s="159">
        <f t="shared" ref="DN16:DN34" si="5">SUM(DF16)</f>
        <v>0</v>
      </c>
      <c r="DO16" s="160">
        <f t="shared" ref="DO16:DO34" si="6">S16+AB16+AK16+AT16+BC16+BL16+BU16+CD16+CM16+CV16+DE16+DN16</f>
        <v>841</v>
      </c>
      <c r="DP16" s="161"/>
    </row>
    <row r="17" spans="2:120" ht="234.75" hidden="1" customHeight="1">
      <c r="B17" s="369" t="s">
        <v>103</v>
      </c>
      <c r="C17" s="369" t="s">
        <v>187</v>
      </c>
      <c r="D17" s="371" t="s">
        <v>188</v>
      </c>
      <c r="E17" s="372"/>
      <c r="F17" s="375" t="s">
        <v>189</v>
      </c>
      <c r="G17" s="347">
        <v>712</v>
      </c>
      <c r="H17" s="360" t="s">
        <v>190</v>
      </c>
      <c r="I17" s="361">
        <v>886</v>
      </c>
      <c r="J17" s="158" t="s">
        <v>72</v>
      </c>
      <c r="K17" s="357">
        <v>40</v>
      </c>
      <c r="L17" s="358"/>
      <c r="M17" s="358"/>
      <c r="N17" s="358"/>
      <c r="O17" s="358"/>
      <c r="P17" s="358"/>
      <c r="Q17" s="358"/>
      <c r="R17" s="359"/>
      <c r="S17" s="159">
        <f t="shared" ref="S17:S33" si="7">SUM(K17:R17)</f>
        <v>40</v>
      </c>
      <c r="T17" s="357">
        <v>40</v>
      </c>
      <c r="U17" s="358"/>
      <c r="V17" s="358"/>
      <c r="W17" s="358"/>
      <c r="X17" s="358"/>
      <c r="Y17" s="358"/>
      <c r="Z17" s="358"/>
      <c r="AA17" s="359"/>
      <c r="AB17" s="159">
        <f t="shared" ref="AB17:AB33" si="8">SUM(T17:AA17)</f>
        <v>40</v>
      </c>
      <c r="AC17" s="357">
        <v>40</v>
      </c>
      <c r="AD17" s="358"/>
      <c r="AE17" s="358"/>
      <c r="AF17" s="358"/>
      <c r="AG17" s="358"/>
      <c r="AH17" s="358"/>
      <c r="AI17" s="358"/>
      <c r="AJ17" s="359"/>
      <c r="AK17" s="159">
        <f>SUM(AC17)</f>
        <v>40</v>
      </c>
      <c r="AL17" s="357">
        <v>60</v>
      </c>
      <c r="AM17" s="358"/>
      <c r="AN17" s="358"/>
      <c r="AO17" s="358"/>
      <c r="AP17" s="358"/>
      <c r="AQ17" s="358"/>
      <c r="AR17" s="358"/>
      <c r="AS17" s="359"/>
      <c r="AT17" s="159">
        <f t="shared" ref="AT17:AT34" si="9">SUM(AL17)</f>
        <v>60</v>
      </c>
      <c r="AU17" s="357">
        <v>60</v>
      </c>
      <c r="AV17" s="358"/>
      <c r="AW17" s="358"/>
      <c r="AX17" s="358"/>
      <c r="AY17" s="358"/>
      <c r="AZ17" s="358"/>
      <c r="BA17" s="358"/>
      <c r="BB17" s="359"/>
      <c r="BC17" s="159">
        <f t="shared" ref="BC17:BC34" si="10">SUM(AU17:BB17)</f>
        <v>60</v>
      </c>
      <c r="BD17" s="357">
        <v>75</v>
      </c>
      <c r="BE17" s="358"/>
      <c r="BF17" s="358"/>
      <c r="BG17" s="358"/>
      <c r="BH17" s="358"/>
      <c r="BI17" s="358"/>
      <c r="BJ17" s="358"/>
      <c r="BK17" s="359"/>
      <c r="BL17" s="159">
        <f>SUM(BD17:BK17)</f>
        <v>75</v>
      </c>
      <c r="BM17" s="357">
        <v>100</v>
      </c>
      <c r="BN17" s="358"/>
      <c r="BO17" s="358"/>
      <c r="BP17" s="358"/>
      <c r="BQ17" s="358"/>
      <c r="BR17" s="358"/>
      <c r="BS17" s="358"/>
      <c r="BT17" s="359"/>
      <c r="BU17" s="159">
        <f t="shared" si="0"/>
        <v>100</v>
      </c>
      <c r="BV17" s="357">
        <v>86</v>
      </c>
      <c r="BW17" s="358"/>
      <c r="BX17" s="358"/>
      <c r="BY17" s="358"/>
      <c r="BZ17" s="358"/>
      <c r="CA17" s="358"/>
      <c r="CB17" s="358"/>
      <c r="CC17" s="359"/>
      <c r="CD17" s="159">
        <f t="shared" si="1"/>
        <v>86</v>
      </c>
      <c r="CE17" s="357">
        <v>82</v>
      </c>
      <c r="CF17" s="358"/>
      <c r="CG17" s="358"/>
      <c r="CH17" s="358"/>
      <c r="CI17" s="358"/>
      <c r="CJ17" s="358"/>
      <c r="CK17" s="358"/>
      <c r="CL17" s="359"/>
      <c r="CM17" s="159">
        <f t="shared" si="2"/>
        <v>82</v>
      </c>
      <c r="CN17" s="357">
        <v>101</v>
      </c>
      <c r="CO17" s="358"/>
      <c r="CP17" s="358"/>
      <c r="CQ17" s="358"/>
      <c r="CR17" s="358"/>
      <c r="CS17" s="358"/>
      <c r="CT17" s="358"/>
      <c r="CU17" s="359"/>
      <c r="CV17" s="159">
        <f t="shared" si="3"/>
        <v>101</v>
      </c>
      <c r="CW17" s="357">
        <v>101</v>
      </c>
      <c r="CX17" s="358"/>
      <c r="CY17" s="358"/>
      <c r="CZ17" s="358"/>
      <c r="DA17" s="358"/>
      <c r="DB17" s="358"/>
      <c r="DC17" s="358"/>
      <c r="DD17" s="359"/>
      <c r="DE17" s="159">
        <f t="shared" si="4"/>
        <v>101</v>
      </c>
      <c r="DF17" s="357">
        <v>101</v>
      </c>
      <c r="DG17" s="358"/>
      <c r="DH17" s="358"/>
      <c r="DI17" s="358"/>
      <c r="DJ17" s="358"/>
      <c r="DK17" s="358"/>
      <c r="DL17" s="358"/>
      <c r="DM17" s="359"/>
      <c r="DN17" s="159">
        <f t="shared" si="5"/>
        <v>101</v>
      </c>
      <c r="DO17" s="160">
        <f t="shared" si="6"/>
        <v>886</v>
      </c>
      <c r="DP17" s="161"/>
    </row>
    <row r="18" spans="2:120" ht="174.6" customHeight="1">
      <c r="B18" s="370"/>
      <c r="C18" s="370"/>
      <c r="D18" s="373"/>
      <c r="E18" s="374"/>
      <c r="F18" s="376"/>
      <c r="G18" s="346"/>
      <c r="H18" s="360"/>
      <c r="I18" s="362"/>
      <c r="J18" s="162" t="s">
        <v>73</v>
      </c>
      <c r="K18" s="163">
        <v>2</v>
      </c>
      <c r="L18" s="159">
        <v>0</v>
      </c>
      <c r="M18" s="159">
        <v>7</v>
      </c>
      <c r="N18" s="159">
        <v>1</v>
      </c>
      <c r="O18" s="159">
        <v>33</v>
      </c>
      <c r="P18" s="159">
        <v>19</v>
      </c>
      <c r="Q18" s="159">
        <v>2</v>
      </c>
      <c r="R18" s="159">
        <v>1</v>
      </c>
      <c r="S18" s="159">
        <f t="shared" si="7"/>
        <v>65</v>
      </c>
      <c r="T18" s="163">
        <v>0</v>
      </c>
      <c r="U18" s="159">
        <v>0</v>
      </c>
      <c r="V18" s="159">
        <v>8</v>
      </c>
      <c r="W18" s="159">
        <v>2</v>
      </c>
      <c r="X18" s="159">
        <v>31</v>
      </c>
      <c r="Y18" s="159">
        <v>7</v>
      </c>
      <c r="Z18" s="159">
        <v>2</v>
      </c>
      <c r="AA18" s="159">
        <v>1</v>
      </c>
      <c r="AB18" s="159">
        <f t="shared" si="8"/>
        <v>51</v>
      </c>
      <c r="AC18" s="163">
        <v>0</v>
      </c>
      <c r="AD18" s="159">
        <v>0</v>
      </c>
      <c r="AE18" s="159">
        <v>6</v>
      </c>
      <c r="AF18" s="159">
        <v>2</v>
      </c>
      <c r="AG18" s="159">
        <v>45</v>
      </c>
      <c r="AH18" s="159">
        <v>27</v>
      </c>
      <c r="AI18" s="159">
        <v>0</v>
      </c>
      <c r="AJ18" s="159">
        <v>3</v>
      </c>
      <c r="AK18" s="159">
        <f>SUM(AC18:AJ18)</f>
        <v>83</v>
      </c>
      <c r="AL18" s="163">
        <v>0</v>
      </c>
      <c r="AM18" s="159">
        <v>0</v>
      </c>
      <c r="AN18" s="159">
        <v>2</v>
      </c>
      <c r="AO18" s="159">
        <v>1</v>
      </c>
      <c r="AP18" s="159">
        <v>39</v>
      </c>
      <c r="AQ18" s="159">
        <v>16</v>
      </c>
      <c r="AR18" s="159">
        <v>2</v>
      </c>
      <c r="AS18" s="159">
        <v>1</v>
      </c>
      <c r="AT18" s="159">
        <f>SUM(AL18:AS18)</f>
        <v>61</v>
      </c>
      <c r="AU18" s="163">
        <v>0</v>
      </c>
      <c r="AV18" s="159">
        <v>0</v>
      </c>
      <c r="AW18" s="159">
        <v>12</v>
      </c>
      <c r="AX18" s="159">
        <v>3</v>
      </c>
      <c r="AY18" s="159">
        <v>51</v>
      </c>
      <c r="AZ18" s="159">
        <v>18</v>
      </c>
      <c r="BA18" s="159">
        <v>4</v>
      </c>
      <c r="BB18" s="159">
        <v>2</v>
      </c>
      <c r="BC18" s="159">
        <f t="shared" si="10"/>
        <v>90</v>
      </c>
      <c r="BD18" s="163">
        <v>0</v>
      </c>
      <c r="BE18" s="159">
        <v>0</v>
      </c>
      <c r="BF18" s="159">
        <v>11</v>
      </c>
      <c r="BG18" s="159">
        <v>1</v>
      </c>
      <c r="BH18" s="159">
        <v>33</v>
      </c>
      <c r="BI18" s="159">
        <v>28</v>
      </c>
      <c r="BJ18" s="159">
        <v>1</v>
      </c>
      <c r="BK18" s="159">
        <v>0</v>
      </c>
      <c r="BL18" s="159">
        <f>SUM(BD18:BK18)</f>
        <v>74</v>
      </c>
      <c r="BM18" s="163"/>
      <c r="BN18" s="159"/>
      <c r="BO18" s="159"/>
      <c r="BP18" s="159"/>
      <c r="BQ18" s="159"/>
      <c r="BR18" s="159"/>
      <c r="BS18" s="159"/>
      <c r="BT18" s="159"/>
      <c r="BU18" s="159">
        <f t="shared" si="0"/>
        <v>0</v>
      </c>
      <c r="BV18" s="163"/>
      <c r="BW18" s="159"/>
      <c r="BX18" s="159"/>
      <c r="BY18" s="159"/>
      <c r="BZ18" s="159"/>
      <c r="CA18" s="159"/>
      <c r="CB18" s="159"/>
      <c r="CC18" s="159"/>
      <c r="CD18" s="159">
        <f t="shared" si="1"/>
        <v>0</v>
      </c>
      <c r="CE18" s="163"/>
      <c r="CF18" s="159"/>
      <c r="CG18" s="159"/>
      <c r="CH18" s="159"/>
      <c r="CI18" s="159"/>
      <c r="CJ18" s="159"/>
      <c r="CK18" s="159"/>
      <c r="CL18" s="159"/>
      <c r="CM18" s="159">
        <f t="shared" si="2"/>
        <v>0</v>
      </c>
      <c r="CN18" s="163"/>
      <c r="CO18" s="159"/>
      <c r="CP18" s="159"/>
      <c r="CQ18" s="159"/>
      <c r="CR18" s="159"/>
      <c r="CS18" s="159"/>
      <c r="CT18" s="159"/>
      <c r="CU18" s="159"/>
      <c r="CV18" s="159">
        <f t="shared" si="3"/>
        <v>0</v>
      </c>
      <c r="CW18" s="163"/>
      <c r="CX18" s="159"/>
      <c r="CY18" s="159"/>
      <c r="CZ18" s="159"/>
      <c r="DA18" s="159"/>
      <c r="DB18" s="159"/>
      <c r="DC18" s="159"/>
      <c r="DD18" s="159"/>
      <c r="DE18" s="159">
        <f t="shared" si="4"/>
        <v>0</v>
      </c>
      <c r="DF18" s="163"/>
      <c r="DG18" s="159"/>
      <c r="DH18" s="159"/>
      <c r="DI18" s="159"/>
      <c r="DJ18" s="159"/>
      <c r="DK18" s="159"/>
      <c r="DL18" s="159"/>
      <c r="DM18" s="159"/>
      <c r="DN18" s="159">
        <f t="shared" si="5"/>
        <v>0</v>
      </c>
      <c r="DO18" s="160">
        <f t="shared" si="6"/>
        <v>424</v>
      </c>
      <c r="DP18" s="161"/>
    </row>
    <row r="19" spans="2:120" ht="234.75" hidden="1" customHeight="1">
      <c r="B19" s="369" t="s">
        <v>103</v>
      </c>
      <c r="C19" s="369" t="s">
        <v>187</v>
      </c>
      <c r="D19" s="371" t="s">
        <v>188</v>
      </c>
      <c r="E19" s="372"/>
      <c r="F19" s="369" t="s">
        <v>191</v>
      </c>
      <c r="G19" s="347">
        <v>456</v>
      </c>
      <c r="H19" s="377" t="s">
        <v>192</v>
      </c>
      <c r="I19" s="378">
        <v>357</v>
      </c>
      <c r="J19" s="158" t="s">
        <v>72</v>
      </c>
      <c r="K19" s="357">
        <v>15</v>
      </c>
      <c r="L19" s="358"/>
      <c r="M19" s="358"/>
      <c r="N19" s="358"/>
      <c r="O19" s="358"/>
      <c r="P19" s="358"/>
      <c r="Q19" s="358"/>
      <c r="R19" s="359"/>
      <c r="S19" s="159">
        <f t="shared" si="7"/>
        <v>15</v>
      </c>
      <c r="T19" s="357">
        <v>15</v>
      </c>
      <c r="U19" s="358"/>
      <c r="V19" s="358"/>
      <c r="W19" s="358"/>
      <c r="X19" s="358"/>
      <c r="Y19" s="358"/>
      <c r="Z19" s="358"/>
      <c r="AA19" s="359"/>
      <c r="AB19" s="159">
        <f t="shared" si="8"/>
        <v>15</v>
      </c>
      <c r="AC19" s="357">
        <v>15</v>
      </c>
      <c r="AD19" s="358"/>
      <c r="AE19" s="358"/>
      <c r="AF19" s="358"/>
      <c r="AG19" s="358"/>
      <c r="AH19" s="358"/>
      <c r="AI19" s="358"/>
      <c r="AJ19" s="359"/>
      <c r="AK19" s="159">
        <f>SUM(AC19)</f>
        <v>15</v>
      </c>
      <c r="AL19" s="357">
        <v>35</v>
      </c>
      <c r="AM19" s="358"/>
      <c r="AN19" s="358"/>
      <c r="AO19" s="358"/>
      <c r="AP19" s="358"/>
      <c r="AQ19" s="358"/>
      <c r="AR19" s="358"/>
      <c r="AS19" s="359"/>
      <c r="AT19" s="159">
        <f t="shared" si="9"/>
        <v>35</v>
      </c>
      <c r="AU19" s="357">
        <v>40</v>
      </c>
      <c r="AV19" s="358"/>
      <c r="AW19" s="358"/>
      <c r="AX19" s="358"/>
      <c r="AY19" s="358"/>
      <c r="AZ19" s="358"/>
      <c r="BA19" s="358"/>
      <c r="BB19" s="359"/>
      <c r="BC19" s="159">
        <f t="shared" si="10"/>
        <v>40</v>
      </c>
      <c r="BD19" s="252">
        <v>40</v>
      </c>
      <c r="BE19" s="253"/>
      <c r="BF19" s="253"/>
      <c r="BG19" s="253"/>
      <c r="BH19" s="253"/>
      <c r="BI19" s="253"/>
      <c r="BJ19" s="253"/>
      <c r="BK19" s="254"/>
      <c r="BL19" s="159">
        <f t="shared" ref="BL19:BL34" si="11">SUM(BD19:BK19)</f>
        <v>40</v>
      </c>
      <c r="BM19" s="357">
        <v>40</v>
      </c>
      <c r="BN19" s="358"/>
      <c r="BO19" s="358"/>
      <c r="BP19" s="358"/>
      <c r="BQ19" s="358"/>
      <c r="BR19" s="358"/>
      <c r="BS19" s="358"/>
      <c r="BT19" s="359"/>
      <c r="BU19" s="159">
        <f t="shared" si="0"/>
        <v>40</v>
      </c>
      <c r="BV19" s="357">
        <v>40</v>
      </c>
      <c r="BW19" s="358"/>
      <c r="BX19" s="358"/>
      <c r="BY19" s="358"/>
      <c r="BZ19" s="358"/>
      <c r="CA19" s="358"/>
      <c r="CB19" s="358"/>
      <c r="CC19" s="359"/>
      <c r="CD19" s="159">
        <f t="shared" si="1"/>
        <v>40</v>
      </c>
      <c r="CE19" s="357">
        <v>40</v>
      </c>
      <c r="CF19" s="358"/>
      <c r="CG19" s="358"/>
      <c r="CH19" s="358"/>
      <c r="CI19" s="358"/>
      <c r="CJ19" s="358"/>
      <c r="CK19" s="358"/>
      <c r="CL19" s="359"/>
      <c r="CM19" s="159">
        <f t="shared" si="2"/>
        <v>40</v>
      </c>
      <c r="CN19" s="357">
        <v>40</v>
      </c>
      <c r="CO19" s="358"/>
      <c r="CP19" s="358"/>
      <c r="CQ19" s="358"/>
      <c r="CR19" s="358"/>
      <c r="CS19" s="358"/>
      <c r="CT19" s="358"/>
      <c r="CU19" s="359"/>
      <c r="CV19" s="159">
        <f t="shared" si="3"/>
        <v>40</v>
      </c>
      <c r="CW19" s="357">
        <v>16</v>
      </c>
      <c r="CX19" s="358"/>
      <c r="CY19" s="358"/>
      <c r="CZ19" s="358"/>
      <c r="DA19" s="358"/>
      <c r="DB19" s="358"/>
      <c r="DC19" s="358"/>
      <c r="DD19" s="359"/>
      <c r="DE19" s="159">
        <f t="shared" si="4"/>
        <v>16</v>
      </c>
      <c r="DF19" s="357">
        <v>16</v>
      </c>
      <c r="DG19" s="358"/>
      <c r="DH19" s="358"/>
      <c r="DI19" s="358"/>
      <c r="DJ19" s="358"/>
      <c r="DK19" s="358"/>
      <c r="DL19" s="358"/>
      <c r="DM19" s="359"/>
      <c r="DN19" s="159">
        <f t="shared" si="5"/>
        <v>16</v>
      </c>
      <c r="DO19" s="160">
        <f t="shared" si="6"/>
        <v>352</v>
      </c>
      <c r="DP19" s="161"/>
    </row>
    <row r="20" spans="2:120" ht="178.15" customHeight="1">
      <c r="B20" s="370"/>
      <c r="C20" s="370"/>
      <c r="D20" s="373"/>
      <c r="E20" s="374"/>
      <c r="F20" s="370"/>
      <c r="G20" s="346"/>
      <c r="H20" s="360"/>
      <c r="I20" s="362"/>
      <c r="J20" s="162" t="s">
        <v>73</v>
      </c>
      <c r="K20" s="163">
        <v>0</v>
      </c>
      <c r="L20" s="159">
        <v>0</v>
      </c>
      <c r="M20" s="159">
        <v>0</v>
      </c>
      <c r="N20" s="159">
        <v>0</v>
      </c>
      <c r="O20" s="159">
        <v>33</v>
      </c>
      <c r="P20" s="159">
        <v>26</v>
      </c>
      <c r="Q20" s="159">
        <v>0</v>
      </c>
      <c r="R20" s="159">
        <v>0</v>
      </c>
      <c r="S20" s="159">
        <f t="shared" si="7"/>
        <v>59</v>
      </c>
      <c r="T20" s="163">
        <v>0</v>
      </c>
      <c r="U20" s="159">
        <v>0</v>
      </c>
      <c r="V20" s="159">
        <v>0</v>
      </c>
      <c r="W20" s="159">
        <v>0</v>
      </c>
      <c r="X20" s="159">
        <v>7</v>
      </c>
      <c r="Y20" s="159">
        <v>7</v>
      </c>
      <c r="Z20" s="159">
        <v>0</v>
      </c>
      <c r="AA20" s="159">
        <v>0</v>
      </c>
      <c r="AB20" s="159">
        <f t="shared" si="8"/>
        <v>14</v>
      </c>
      <c r="AC20" s="163">
        <v>0</v>
      </c>
      <c r="AD20" s="159">
        <v>0</v>
      </c>
      <c r="AE20" s="159">
        <v>0</v>
      </c>
      <c r="AF20" s="159">
        <v>0</v>
      </c>
      <c r="AG20" s="159">
        <v>39</v>
      </c>
      <c r="AH20" s="159">
        <v>13</v>
      </c>
      <c r="AI20" s="159">
        <v>0</v>
      </c>
      <c r="AJ20" s="164">
        <v>0</v>
      </c>
      <c r="AK20" s="159">
        <f>SUM(AC20:AJ20)</f>
        <v>52</v>
      </c>
      <c r="AL20" s="163">
        <v>0</v>
      </c>
      <c r="AM20" s="159">
        <v>0</v>
      </c>
      <c r="AN20" s="159">
        <v>0</v>
      </c>
      <c r="AO20" s="159">
        <v>0</v>
      </c>
      <c r="AP20" s="159">
        <v>39</v>
      </c>
      <c r="AQ20" s="159">
        <v>16</v>
      </c>
      <c r="AR20" s="159">
        <v>0</v>
      </c>
      <c r="AS20" s="159">
        <v>0</v>
      </c>
      <c r="AT20" s="159">
        <f>AL20+AM20+AN20+AO20+AP20+AQ20+AR20+AS20</f>
        <v>55</v>
      </c>
      <c r="AU20" s="163">
        <v>0</v>
      </c>
      <c r="AV20" s="159">
        <v>0</v>
      </c>
      <c r="AW20" s="159">
        <v>0</v>
      </c>
      <c r="AX20" s="159">
        <v>0</v>
      </c>
      <c r="AY20" s="159">
        <v>38</v>
      </c>
      <c r="AZ20" s="159">
        <v>15</v>
      </c>
      <c r="BA20" s="159">
        <v>0</v>
      </c>
      <c r="BB20" s="159">
        <v>0</v>
      </c>
      <c r="BC20" s="159">
        <f t="shared" si="10"/>
        <v>53</v>
      </c>
      <c r="BD20" s="163">
        <v>0</v>
      </c>
      <c r="BE20" s="159">
        <v>0</v>
      </c>
      <c r="BF20" s="159">
        <v>0</v>
      </c>
      <c r="BG20" s="159">
        <v>0</v>
      </c>
      <c r="BH20" s="159">
        <v>2</v>
      </c>
      <c r="BI20" s="159">
        <v>2</v>
      </c>
      <c r="BJ20" s="159">
        <v>0</v>
      </c>
      <c r="BK20" s="159">
        <v>0</v>
      </c>
      <c r="BL20" s="159">
        <f t="shared" si="11"/>
        <v>4</v>
      </c>
      <c r="BM20" s="163"/>
      <c r="BN20" s="159"/>
      <c r="BO20" s="159"/>
      <c r="BP20" s="159"/>
      <c r="BQ20" s="159"/>
      <c r="BR20" s="159"/>
      <c r="BS20" s="159"/>
      <c r="BT20" s="159"/>
      <c r="BU20" s="159">
        <f t="shared" si="0"/>
        <v>0</v>
      </c>
      <c r="BV20" s="163"/>
      <c r="BW20" s="159"/>
      <c r="BX20" s="159"/>
      <c r="BY20" s="159"/>
      <c r="BZ20" s="159"/>
      <c r="CA20" s="159"/>
      <c r="CB20" s="159"/>
      <c r="CC20" s="159"/>
      <c r="CD20" s="159">
        <f t="shared" si="1"/>
        <v>0</v>
      </c>
      <c r="CE20" s="163"/>
      <c r="CF20" s="159"/>
      <c r="CG20" s="159"/>
      <c r="CH20" s="159"/>
      <c r="CI20" s="159"/>
      <c r="CJ20" s="159"/>
      <c r="CK20" s="159"/>
      <c r="CL20" s="159"/>
      <c r="CM20" s="159">
        <f t="shared" si="2"/>
        <v>0</v>
      </c>
      <c r="CN20" s="163"/>
      <c r="CO20" s="159"/>
      <c r="CP20" s="159"/>
      <c r="CQ20" s="159"/>
      <c r="CR20" s="159"/>
      <c r="CS20" s="159"/>
      <c r="CT20" s="159"/>
      <c r="CU20" s="159"/>
      <c r="CV20" s="159">
        <f t="shared" si="3"/>
        <v>0</v>
      </c>
      <c r="CW20" s="163"/>
      <c r="CX20" s="159"/>
      <c r="CY20" s="159"/>
      <c r="CZ20" s="159"/>
      <c r="DA20" s="159"/>
      <c r="DB20" s="159"/>
      <c r="DC20" s="159"/>
      <c r="DD20" s="159"/>
      <c r="DE20" s="159">
        <f t="shared" si="4"/>
        <v>0</v>
      </c>
      <c r="DF20" s="163"/>
      <c r="DG20" s="159"/>
      <c r="DH20" s="159"/>
      <c r="DI20" s="159"/>
      <c r="DJ20" s="159"/>
      <c r="DK20" s="159"/>
      <c r="DL20" s="159"/>
      <c r="DM20" s="159"/>
      <c r="DN20" s="159">
        <f t="shared" si="5"/>
        <v>0</v>
      </c>
      <c r="DO20" s="160">
        <f t="shared" si="6"/>
        <v>237</v>
      </c>
      <c r="DP20" s="161"/>
    </row>
    <row r="21" spans="2:120" ht="235.15" hidden="1" customHeight="1">
      <c r="B21" s="369" t="s">
        <v>103</v>
      </c>
      <c r="C21" s="369" t="s">
        <v>187</v>
      </c>
      <c r="D21" s="371" t="s">
        <v>188</v>
      </c>
      <c r="E21" s="372"/>
      <c r="F21" s="369" t="s">
        <v>193</v>
      </c>
      <c r="G21" s="347">
        <v>69</v>
      </c>
      <c r="H21" s="360" t="s">
        <v>194</v>
      </c>
      <c r="I21" s="346">
        <v>152</v>
      </c>
      <c r="J21" s="165" t="s">
        <v>72</v>
      </c>
      <c r="K21" s="357">
        <v>4</v>
      </c>
      <c r="L21" s="358"/>
      <c r="M21" s="358"/>
      <c r="N21" s="358"/>
      <c r="O21" s="358"/>
      <c r="P21" s="358"/>
      <c r="Q21" s="358"/>
      <c r="R21" s="359"/>
      <c r="S21" s="159">
        <f t="shared" si="7"/>
        <v>4</v>
      </c>
      <c r="T21" s="357">
        <v>4</v>
      </c>
      <c r="U21" s="358"/>
      <c r="V21" s="358"/>
      <c r="W21" s="358"/>
      <c r="X21" s="358"/>
      <c r="Y21" s="358"/>
      <c r="Z21" s="358"/>
      <c r="AA21" s="359"/>
      <c r="AB21" s="159">
        <f t="shared" si="8"/>
        <v>4</v>
      </c>
      <c r="AC21" s="357">
        <v>6</v>
      </c>
      <c r="AD21" s="358"/>
      <c r="AE21" s="358"/>
      <c r="AF21" s="358"/>
      <c r="AG21" s="358"/>
      <c r="AH21" s="358"/>
      <c r="AI21" s="358"/>
      <c r="AJ21" s="359"/>
      <c r="AK21" s="159">
        <f t="shared" ref="AK21:AK34" si="12">SUM(AC21)</f>
        <v>6</v>
      </c>
      <c r="AL21" s="357">
        <v>8</v>
      </c>
      <c r="AM21" s="358"/>
      <c r="AN21" s="358"/>
      <c r="AO21" s="358"/>
      <c r="AP21" s="358"/>
      <c r="AQ21" s="358"/>
      <c r="AR21" s="358"/>
      <c r="AS21" s="359"/>
      <c r="AT21" s="159">
        <f t="shared" si="9"/>
        <v>8</v>
      </c>
      <c r="AU21" s="357">
        <v>10</v>
      </c>
      <c r="AV21" s="358"/>
      <c r="AW21" s="358"/>
      <c r="AX21" s="358"/>
      <c r="AY21" s="358"/>
      <c r="AZ21" s="358"/>
      <c r="BA21" s="358"/>
      <c r="BB21" s="359"/>
      <c r="BC21" s="159">
        <f t="shared" si="10"/>
        <v>10</v>
      </c>
      <c r="BD21" s="252">
        <v>10</v>
      </c>
      <c r="BE21" s="253"/>
      <c r="BF21" s="253"/>
      <c r="BG21" s="253"/>
      <c r="BH21" s="253"/>
      <c r="BI21" s="253"/>
      <c r="BJ21" s="253"/>
      <c r="BK21" s="254"/>
      <c r="BL21" s="159">
        <f t="shared" si="11"/>
        <v>10</v>
      </c>
      <c r="BM21" s="357">
        <v>18</v>
      </c>
      <c r="BN21" s="358"/>
      <c r="BO21" s="358"/>
      <c r="BP21" s="358"/>
      <c r="BQ21" s="358"/>
      <c r="BR21" s="358"/>
      <c r="BS21" s="358"/>
      <c r="BT21" s="359"/>
      <c r="BU21" s="159">
        <f t="shared" si="0"/>
        <v>18</v>
      </c>
      <c r="BV21" s="357">
        <v>20</v>
      </c>
      <c r="BW21" s="358"/>
      <c r="BX21" s="358"/>
      <c r="BY21" s="358"/>
      <c r="BZ21" s="358"/>
      <c r="CA21" s="358"/>
      <c r="CB21" s="358"/>
      <c r="CC21" s="359"/>
      <c r="CD21" s="159">
        <f t="shared" si="1"/>
        <v>20</v>
      </c>
      <c r="CE21" s="357">
        <v>20</v>
      </c>
      <c r="CF21" s="358"/>
      <c r="CG21" s="358"/>
      <c r="CH21" s="358"/>
      <c r="CI21" s="358"/>
      <c r="CJ21" s="358"/>
      <c r="CK21" s="358"/>
      <c r="CL21" s="359"/>
      <c r="CM21" s="159">
        <f t="shared" si="2"/>
        <v>20</v>
      </c>
      <c r="CN21" s="357">
        <v>20</v>
      </c>
      <c r="CO21" s="358"/>
      <c r="CP21" s="358"/>
      <c r="CQ21" s="358"/>
      <c r="CR21" s="358"/>
      <c r="CS21" s="358"/>
      <c r="CT21" s="358"/>
      <c r="CU21" s="359"/>
      <c r="CV21" s="159">
        <f t="shared" si="3"/>
        <v>20</v>
      </c>
      <c r="CW21" s="357">
        <v>20</v>
      </c>
      <c r="CX21" s="358"/>
      <c r="CY21" s="358"/>
      <c r="CZ21" s="358"/>
      <c r="DA21" s="358"/>
      <c r="DB21" s="358"/>
      <c r="DC21" s="358"/>
      <c r="DD21" s="359"/>
      <c r="DE21" s="159">
        <f t="shared" si="4"/>
        <v>20</v>
      </c>
      <c r="DF21" s="357">
        <v>20</v>
      </c>
      <c r="DG21" s="358"/>
      <c r="DH21" s="358"/>
      <c r="DI21" s="358"/>
      <c r="DJ21" s="358"/>
      <c r="DK21" s="358"/>
      <c r="DL21" s="358"/>
      <c r="DM21" s="359"/>
      <c r="DN21" s="159">
        <f t="shared" si="5"/>
        <v>20</v>
      </c>
      <c r="DO21" s="160">
        <f t="shared" si="6"/>
        <v>160</v>
      </c>
      <c r="DP21" s="161"/>
    </row>
    <row r="22" spans="2:120" ht="174.6" customHeight="1">
      <c r="B22" s="370"/>
      <c r="C22" s="370"/>
      <c r="D22" s="373"/>
      <c r="E22" s="374"/>
      <c r="F22" s="370"/>
      <c r="G22" s="346"/>
      <c r="H22" s="360"/>
      <c r="I22" s="346"/>
      <c r="J22" s="166" t="s">
        <v>73</v>
      </c>
      <c r="K22" s="163">
        <v>0</v>
      </c>
      <c r="L22" s="159">
        <v>1</v>
      </c>
      <c r="M22" s="159">
        <v>0</v>
      </c>
      <c r="N22" s="159">
        <v>0</v>
      </c>
      <c r="O22" s="159">
        <v>1</v>
      </c>
      <c r="P22" s="159">
        <v>1</v>
      </c>
      <c r="Q22" s="159">
        <v>1</v>
      </c>
      <c r="R22" s="159">
        <v>0</v>
      </c>
      <c r="S22" s="159">
        <f t="shared" si="7"/>
        <v>4</v>
      </c>
      <c r="T22" s="163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2</v>
      </c>
      <c r="Z22" s="159">
        <v>2</v>
      </c>
      <c r="AA22" s="159">
        <v>2</v>
      </c>
      <c r="AB22" s="159">
        <f t="shared" si="8"/>
        <v>6</v>
      </c>
      <c r="AC22" s="163">
        <v>0</v>
      </c>
      <c r="AD22" s="159">
        <v>0</v>
      </c>
      <c r="AE22" s="159">
        <v>0</v>
      </c>
      <c r="AF22" s="159">
        <v>1</v>
      </c>
      <c r="AG22" s="159">
        <v>2</v>
      </c>
      <c r="AH22" s="159">
        <v>3</v>
      </c>
      <c r="AI22" s="159">
        <v>0</v>
      </c>
      <c r="AJ22" s="159">
        <v>1</v>
      </c>
      <c r="AK22" s="159">
        <f>SUM(AC22:AJ22)</f>
        <v>7</v>
      </c>
      <c r="AL22" s="163">
        <v>0</v>
      </c>
      <c r="AM22" s="159">
        <v>0</v>
      </c>
      <c r="AN22" s="159">
        <v>0</v>
      </c>
      <c r="AO22" s="159">
        <v>0</v>
      </c>
      <c r="AP22" s="159">
        <v>2</v>
      </c>
      <c r="AQ22" s="159">
        <v>2</v>
      </c>
      <c r="AR22" s="159">
        <v>3</v>
      </c>
      <c r="AS22" s="159">
        <v>2</v>
      </c>
      <c r="AT22" s="159">
        <f>SUM(AL22:AS22)</f>
        <v>9</v>
      </c>
      <c r="AU22" s="163">
        <v>0</v>
      </c>
      <c r="AV22" s="159">
        <v>0</v>
      </c>
      <c r="AW22" s="159">
        <v>0</v>
      </c>
      <c r="AX22" s="159">
        <v>0</v>
      </c>
      <c r="AY22" s="159">
        <v>6</v>
      </c>
      <c r="AZ22" s="159">
        <v>8</v>
      </c>
      <c r="BA22" s="159">
        <v>5</v>
      </c>
      <c r="BB22" s="159">
        <v>3</v>
      </c>
      <c r="BC22" s="159">
        <f t="shared" si="10"/>
        <v>22</v>
      </c>
      <c r="BD22" s="163">
        <v>0</v>
      </c>
      <c r="BE22" s="159">
        <v>0</v>
      </c>
      <c r="BF22" s="159">
        <v>0</v>
      </c>
      <c r="BG22" s="159">
        <v>0</v>
      </c>
      <c r="BH22" s="159">
        <v>3</v>
      </c>
      <c r="BI22" s="159">
        <v>5</v>
      </c>
      <c r="BJ22" s="159">
        <v>6</v>
      </c>
      <c r="BK22" s="159">
        <v>5</v>
      </c>
      <c r="BL22" s="159">
        <f t="shared" si="11"/>
        <v>19</v>
      </c>
      <c r="BM22" s="163"/>
      <c r="BN22" s="159"/>
      <c r="BO22" s="159"/>
      <c r="BP22" s="159"/>
      <c r="BQ22" s="159"/>
      <c r="BR22" s="159"/>
      <c r="BS22" s="159"/>
      <c r="BT22" s="159"/>
      <c r="BU22" s="159">
        <f t="shared" si="0"/>
        <v>0</v>
      </c>
      <c r="BV22" s="163"/>
      <c r="BW22" s="159"/>
      <c r="BX22" s="159"/>
      <c r="BY22" s="159"/>
      <c r="BZ22" s="159"/>
      <c r="CA22" s="159"/>
      <c r="CB22" s="159"/>
      <c r="CC22" s="159"/>
      <c r="CD22" s="159">
        <f t="shared" si="1"/>
        <v>0</v>
      </c>
      <c r="CE22" s="163"/>
      <c r="CF22" s="159"/>
      <c r="CG22" s="159"/>
      <c r="CH22" s="159"/>
      <c r="CI22" s="159"/>
      <c r="CJ22" s="159"/>
      <c r="CK22" s="159"/>
      <c r="CL22" s="159"/>
      <c r="CM22" s="159">
        <f t="shared" si="2"/>
        <v>0</v>
      </c>
      <c r="CN22" s="163"/>
      <c r="CO22" s="159"/>
      <c r="CP22" s="159"/>
      <c r="CQ22" s="159"/>
      <c r="CR22" s="159"/>
      <c r="CS22" s="159"/>
      <c r="CT22" s="159"/>
      <c r="CU22" s="159"/>
      <c r="CV22" s="159">
        <f t="shared" si="3"/>
        <v>0</v>
      </c>
      <c r="CW22" s="163"/>
      <c r="CX22" s="159"/>
      <c r="CY22" s="159"/>
      <c r="CZ22" s="159"/>
      <c r="DA22" s="159"/>
      <c r="DB22" s="159"/>
      <c r="DC22" s="159"/>
      <c r="DD22" s="159"/>
      <c r="DE22" s="159">
        <f t="shared" si="4"/>
        <v>0</v>
      </c>
      <c r="DF22" s="163"/>
      <c r="DG22" s="159"/>
      <c r="DH22" s="159"/>
      <c r="DI22" s="159"/>
      <c r="DJ22" s="159"/>
      <c r="DK22" s="159"/>
      <c r="DL22" s="159"/>
      <c r="DM22" s="159"/>
      <c r="DN22" s="159">
        <f t="shared" si="5"/>
        <v>0</v>
      </c>
      <c r="DO22" s="160">
        <f t="shared" si="6"/>
        <v>67</v>
      </c>
      <c r="DP22" s="161"/>
    </row>
    <row r="23" spans="2:120" ht="270" hidden="1" customHeight="1">
      <c r="B23" s="369" t="s">
        <v>103</v>
      </c>
      <c r="C23" s="369" t="s">
        <v>187</v>
      </c>
      <c r="D23" s="371" t="s">
        <v>188</v>
      </c>
      <c r="E23" s="372"/>
      <c r="F23" s="369" t="s">
        <v>195</v>
      </c>
      <c r="G23" s="347">
        <v>140</v>
      </c>
      <c r="H23" s="360" t="s">
        <v>196</v>
      </c>
      <c r="I23" s="379">
        <v>172</v>
      </c>
      <c r="J23" s="158" t="s">
        <v>72</v>
      </c>
      <c r="K23" s="357">
        <v>5</v>
      </c>
      <c r="L23" s="358"/>
      <c r="M23" s="358"/>
      <c r="N23" s="358"/>
      <c r="O23" s="358"/>
      <c r="P23" s="358"/>
      <c r="Q23" s="358"/>
      <c r="R23" s="359"/>
      <c r="S23" s="159">
        <f t="shared" si="7"/>
        <v>5</v>
      </c>
      <c r="T23" s="357">
        <v>5</v>
      </c>
      <c r="U23" s="358"/>
      <c r="V23" s="358"/>
      <c r="W23" s="358"/>
      <c r="X23" s="358"/>
      <c r="Y23" s="358"/>
      <c r="Z23" s="358"/>
      <c r="AA23" s="359"/>
      <c r="AB23" s="159">
        <f t="shared" si="8"/>
        <v>5</v>
      </c>
      <c r="AC23" s="357">
        <v>5</v>
      </c>
      <c r="AD23" s="358"/>
      <c r="AE23" s="358"/>
      <c r="AF23" s="358"/>
      <c r="AG23" s="358"/>
      <c r="AH23" s="358"/>
      <c r="AI23" s="358"/>
      <c r="AJ23" s="359"/>
      <c r="AK23" s="159">
        <f t="shared" si="12"/>
        <v>5</v>
      </c>
      <c r="AL23" s="357">
        <v>14</v>
      </c>
      <c r="AM23" s="358"/>
      <c r="AN23" s="358"/>
      <c r="AO23" s="358"/>
      <c r="AP23" s="358"/>
      <c r="AQ23" s="358"/>
      <c r="AR23" s="358"/>
      <c r="AS23" s="359"/>
      <c r="AT23" s="159">
        <f t="shared" si="9"/>
        <v>14</v>
      </c>
      <c r="AU23" s="357">
        <v>18</v>
      </c>
      <c r="AV23" s="358"/>
      <c r="AW23" s="358"/>
      <c r="AX23" s="358"/>
      <c r="AY23" s="358"/>
      <c r="AZ23" s="358"/>
      <c r="BA23" s="358"/>
      <c r="BB23" s="359"/>
      <c r="BC23" s="159">
        <f t="shared" si="10"/>
        <v>18</v>
      </c>
      <c r="BD23" s="252">
        <v>18</v>
      </c>
      <c r="BE23" s="253"/>
      <c r="BF23" s="253"/>
      <c r="BG23" s="253"/>
      <c r="BH23" s="253"/>
      <c r="BI23" s="253"/>
      <c r="BJ23" s="253"/>
      <c r="BK23" s="254"/>
      <c r="BL23" s="159">
        <f t="shared" si="11"/>
        <v>18</v>
      </c>
      <c r="BM23" s="357">
        <v>18</v>
      </c>
      <c r="BN23" s="358"/>
      <c r="BO23" s="358"/>
      <c r="BP23" s="358"/>
      <c r="BQ23" s="358"/>
      <c r="BR23" s="358"/>
      <c r="BS23" s="358"/>
      <c r="BT23" s="359"/>
      <c r="BU23" s="159">
        <f t="shared" si="0"/>
        <v>18</v>
      </c>
      <c r="BV23" s="357">
        <v>18</v>
      </c>
      <c r="BW23" s="358"/>
      <c r="BX23" s="358"/>
      <c r="BY23" s="358"/>
      <c r="BZ23" s="358"/>
      <c r="CA23" s="358"/>
      <c r="CB23" s="358"/>
      <c r="CC23" s="359"/>
      <c r="CD23" s="159">
        <f t="shared" si="1"/>
        <v>18</v>
      </c>
      <c r="CE23" s="357">
        <v>18</v>
      </c>
      <c r="CF23" s="358"/>
      <c r="CG23" s="358"/>
      <c r="CH23" s="358"/>
      <c r="CI23" s="358"/>
      <c r="CJ23" s="358"/>
      <c r="CK23" s="358"/>
      <c r="CL23" s="359"/>
      <c r="CM23" s="159">
        <v>18</v>
      </c>
      <c r="CN23" s="357">
        <v>20</v>
      </c>
      <c r="CO23" s="358"/>
      <c r="CP23" s="358"/>
      <c r="CQ23" s="358"/>
      <c r="CR23" s="358"/>
      <c r="CS23" s="358"/>
      <c r="CT23" s="358"/>
      <c r="CU23" s="359"/>
      <c r="CV23" s="159">
        <f t="shared" si="3"/>
        <v>20</v>
      </c>
      <c r="CW23" s="357">
        <v>19</v>
      </c>
      <c r="CX23" s="358"/>
      <c r="CY23" s="358"/>
      <c r="CZ23" s="358"/>
      <c r="DA23" s="358"/>
      <c r="DB23" s="358"/>
      <c r="DC23" s="358"/>
      <c r="DD23" s="359"/>
      <c r="DE23" s="159">
        <f t="shared" si="4"/>
        <v>19</v>
      </c>
      <c r="DF23" s="357">
        <v>14</v>
      </c>
      <c r="DG23" s="358"/>
      <c r="DH23" s="358"/>
      <c r="DI23" s="358"/>
      <c r="DJ23" s="358"/>
      <c r="DK23" s="358"/>
      <c r="DL23" s="358"/>
      <c r="DM23" s="359"/>
      <c r="DN23" s="159">
        <f t="shared" si="5"/>
        <v>14</v>
      </c>
      <c r="DO23" s="160">
        <f t="shared" si="6"/>
        <v>172</v>
      </c>
      <c r="DP23" s="161"/>
    </row>
    <row r="24" spans="2:120" ht="165" customHeight="1">
      <c r="B24" s="370"/>
      <c r="C24" s="370"/>
      <c r="D24" s="373"/>
      <c r="E24" s="374"/>
      <c r="F24" s="370"/>
      <c r="G24" s="346"/>
      <c r="H24" s="360"/>
      <c r="I24" s="361"/>
      <c r="J24" s="162" t="s">
        <v>73</v>
      </c>
      <c r="K24" s="163">
        <v>4</v>
      </c>
      <c r="L24" s="159">
        <v>3</v>
      </c>
      <c r="M24" s="159">
        <v>0</v>
      </c>
      <c r="N24" s="159">
        <v>0</v>
      </c>
      <c r="O24" s="159">
        <v>0</v>
      </c>
      <c r="P24" s="159">
        <v>0</v>
      </c>
      <c r="Q24" s="159">
        <v>0</v>
      </c>
      <c r="R24" s="159">
        <v>1</v>
      </c>
      <c r="S24" s="159">
        <f t="shared" si="7"/>
        <v>8</v>
      </c>
      <c r="T24" s="163">
        <v>7</v>
      </c>
      <c r="U24" s="159">
        <v>5</v>
      </c>
      <c r="V24" s="159">
        <v>0</v>
      </c>
      <c r="W24" s="159">
        <v>0</v>
      </c>
      <c r="X24" s="159">
        <v>0</v>
      </c>
      <c r="Y24" s="159">
        <v>0</v>
      </c>
      <c r="Z24" s="159">
        <v>1</v>
      </c>
      <c r="AA24" s="159">
        <v>0</v>
      </c>
      <c r="AB24" s="159">
        <f t="shared" si="8"/>
        <v>13</v>
      </c>
      <c r="AC24" s="163">
        <v>6</v>
      </c>
      <c r="AD24" s="159">
        <v>1</v>
      </c>
      <c r="AE24" s="159">
        <v>1</v>
      </c>
      <c r="AF24" s="159">
        <v>1</v>
      </c>
      <c r="AG24" s="159">
        <v>2</v>
      </c>
      <c r="AH24" s="159">
        <v>1</v>
      </c>
      <c r="AI24" s="159">
        <v>3</v>
      </c>
      <c r="AJ24" s="159">
        <v>0</v>
      </c>
      <c r="AK24" s="159">
        <f>SUM(AC24:AJ24)</f>
        <v>15</v>
      </c>
      <c r="AL24" s="163">
        <v>4</v>
      </c>
      <c r="AM24" s="159">
        <v>3</v>
      </c>
      <c r="AN24" s="159">
        <v>1</v>
      </c>
      <c r="AO24" s="159">
        <v>0</v>
      </c>
      <c r="AP24" s="159">
        <v>1</v>
      </c>
      <c r="AQ24" s="159">
        <v>0</v>
      </c>
      <c r="AR24" s="159">
        <v>0</v>
      </c>
      <c r="AS24" s="159">
        <v>0</v>
      </c>
      <c r="AT24" s="159">
        <f>SUM(AL24:AS24)</f>
        <v>9</v>
      </c>
      <c r="AU24" s="163">
        <v>6</v>
      </c>
      <c r="AV24" s="159">
        <v>3</v>
      </c>
      <c r="AW24" s="159">
        <v>0</v>
      </c>
      <c r="AX24" s="159">
        <v>1</v>
      </c>
      <c r="AY24" s="159">
        <v>0</v>
      </c>
      <c r="AZ24" s="159">
        <v>1</v>
      </c>
      <c r="BA24" s="159">
        <v>0</v>
      </c>
      <c r="BB24" s="159">
        <v>1</v>
      </c>
      <c r="BC24" s="159">
        <f t="shared" si="10"/>
        <v>12</v>
      </c>
      <c r="BD24" s="163">
        <v>5</v>
      </c>
      <c r="BE24" s="159">
        <v>2</v>
      </c>
      <c r="BF24" s="159">
        <v>0</v>
      </c>
      <c r="BG24" s="159">
        <v>0</v>
      </c>
      <c r="BH24" s="159">
        <v>0</v>
      </c>
      <c r="BI24" s="159">
        <v>0</v>
      </c>
      <c r="BJ24" s="159">
        <v>1</v>
      </c>
      <c r="BK24" s="159">
        <v>1</v>
      </c>
      <c r="BL24" s="159">
        <f t="shared" si="11"/>
        <v>9</v>
      </c>
      <c r="BM24" s="163"/>
      <c r="BN24" s="159"/>
      <c r="BO24" s="159"/>
      <c r="BP24" s="159"/>
      <c r="BQ24" s="159"/>
      <c r="BR24" s="159"/>
      <c r="BS24" s="159"/>
      <c r="BT24" s="159"/>
      <c r="BU24" s="159">
        <f t="shared" si="0"/>
        <v>0</v>
      </c>
      <c r="BV24" s="163"/>
      <c r="BW24" s="159"/>
      <c r="BX24" s="159"/>
      <c r="BY24" s="159"/>
      <c r="BZ24" s="159"/>
      <c r="CA24" s="159"/>
      <c r="CB24" s="159"/>
      <c r="CC24" s="159"/>
      <c r="CD24" s="159">
        <f t="shared" si="1"/>
        <v>0</v>
      </c>
      <c r="CE24" s="163"/>
      <c r="CF24" s="159"/>
      <c r="CG24" s="159"/>
      <c r="CH24" s="159"/>
      <c r="CI24" s="159"/>
      <c r="CJ24" s="159"/>
      <c r="CK24" s="159"/>
      <c r="CL24" s="159"/>
      <c r="CM24" s="159">
        <f t="shared" si="2"/>
        <v>0</v>
      </c>
      <c r="CN24" s="163"/>
      <c r="CO24" s="159"/>
      <c r="CP24" s="159"/>
      <c r="CQ24" s="159"/>
      <c r="CR24" s="159"/>
      <c r="CS24" s="159"/>
      <c r="CT24" s="159"/>
      <c r="CU24" s="159"/>
      <c r="CV24" s="159">
        <f t="shared" si="3"/>
        <v>0</v>
      </c>
      <c r="CW24" s="163"/>
      <c r="CX24" s="159"/>
      <c r="CY24" s="159"/>
      <c r="CZ24" s="159"/>
      <c r="DA24" s="159"/>
      <c r="DB24" s="159"/>
      <c r="DC24" s="159"/>
      <c r="DD24" s="159"/>
      <c r="DE24" s="159">
        <f t="shared" si="4"/>
        <v>0</v>
      </c>
      <c r="DF24" s="163"/>
      <c r="DG24" s="159"/>
      <c r="DH24" s="159"/>
      <c r="DI24" s="159"/>
      <c r="DJ24" s="159"/>
      <c r="DK24" s="159"/>
      <c r="DL24" s="159"/>
      <c r="DM24" s="159"/>
      <c r="DN24" s="159">
        <f t="shared" si="5"/>
        <v>0</v>
      </c>
      <c r="DO24" s="160">
        <f t="shared" si="6"/>
        <v>66</v>
      </c>
      <c r="DP24" s="161"/>
    </row>
    <row r="25" spans="2:120" ht="165" hidden="1" customHeight="1">
      <c r="B25" s="375" t="s">
        <v>103</v>
      </c>
      <c r="C25" s="369" t="s">
        <v>187</v>
      </c>
      <c r="D25" s="371" t="s">
        <v>188</v>
      </c>
      <c r="E25" s="372"/>
      <c r="F25" s="369" t="s">
        <v>191</v>
      </c>
      <c r="G25" s="347">
        <v>1</v>
      </c>
      <c r="H25" s="380" t="s">
        <v>197</v>
      </c>
      <c r="I25" s="381">
        <v>35</v>
      </c>
      <c r="J25" s="158" t="s">
        <v>72</v>
      </c>
      <c r="K25" s="357">
        <v>1</v>
      </c>
      <c r="L25" s="358"/>
      <c r="M25" s="358"/>
      <c r="N25" s="358"/>
      <c r="O25" s="358"/>
      <c r="P25" s="358"/>
      <c r="Q25" s="358"/>
      <c r="R25" s="359"/>
      <c r="S25" s="159">
        <f t="shared" si="7"/>
        <v>1</v>
      </c>
      <c r="T25" s="357">
        <v>1</v>
      </c>
      <c r="U25" s="358"/>
      <c r="V25" s="358"/>
      <c r="W25" s="358"/>
      <c r="X25" s="358"/>
      <c r="Y25" s="358"/>
      <c r="Z25" s="358"/>
      <c r="AA25" s="359"/>
      <c r="AB25" s="159">
        <f t="shared" si="8"/>
        <v>1</v>
      </c>
      <c r="AC25" s="357">
        <v>1</v>
      </c>
      <c r="AD25" s="358"/>
      <c r="AE25" s="358"/>
      <c r="AF25" s="358"/>
      <c r="AG25" s="358"/>
      <c r="AH25" s="358"/>
      <c r="AI25" s="358"/>
      <c r="AJ25" s="359"/>
      <c r="AK25" s="159">
        <f t="shared" si="12"/>
        <v>1</v>
      </c>
      <c r="AL25" s="357">
        <v>2</v>
      </c>
      <c r="AM25" s="358"/>
      <c r="AN25" s="358"/>
      <c r="AO25" s="358"/>
      <c r="AP25" s="358"/>
      <c r="AQ25" s="358"/>
      <c r="AR25" s="358"/>
      <c r="AS25" s="359"/>
      <c r="AT25" s="159">
        <v>2</v>
      </c>
      <c r="AU25" s="357">
        <v>3</v>
      </c>
      <c r="AV25" s="358"/>
      <c r="AW25" s="358"/>
      <c r="AX25" s="358"/>
      <c r="AY25" s="358"/>
      <c r="AZ25" s="358"/>
      <c r="BA25" s="358"/>
      <c r="BB25" s="359"/>
      <c r="BC25" s="159">
        <f t="shared" si="10"/>
        <v>3</v>
      </c>
      <c r="BD25" s="252">
        <v>3</v>
      </c>
      <c r="BE25" s="253"/>
      <c r="BF25" s="253"/>
      <c r="BG25" s="253"/>
      <c r="BH25" s="253"/>
      <c r="BI25" s="253"/>
      <c r="BJ25" s="253"/>
      <c r="BK25" s="254"/>
      <c r="BL25" s="159">
        <f t="shared" si="11"/>
        <v>3</v>
      </c>
      <c r="BM25" s="357">
        <v>3</v>
      </c>
      <c r="BN25" s="358"/>
      <c r="BO25" s="358"/>
      <c r="BP25" s="358"/>
      <c r="BQ25" s="358"/>
      <c r="BR25" s="358"/>
      <c r="BS25" s="358"/>
      <c r="BT25" s="359"/>
      <c r="BU25" s="159">
        <f t="shared" si="0"/>
        <v>3</v>
      </c>
      <c r="BV25" s="357">
        <v>3</v>
      </c>
      <c r="BW25" s="358"/>
      <c r="BX25" s="358"/>
      <c r="BY25" s="358"/>
      <c r="BZ25" s="358"/>
      <c r="CA25" s="358"/>
      <c r="CB25" s="358"/>
      <c r="CC25" s="359"/>
      <c r="CD25" s="159">
        <f t="shared" si="1"/>
        <v>3</v>
      </c>
      <c r="CE25" s="357">
        <v>6</v>
      </c>
      <c r="CF25" s="358"/>
      <c r="CG25" s="358"/>
      <c r="CH25" s="358"/>
      <c r="CI25" s="358"/>
      <c r="CJ25" s="358"/>
      <c r="CK25" s="358"/>
      <c r="CL25" s="359"/>
      <c r="CM25" s="159">
        <v>6</v>
      </c>
      <c r="CN25" s="357">
        <v>3</v>
      </c>
      <c r="CO25" s="358"/>
      <c r="CP25" s="358"/>
      <c r="CQ25" s="358"/>
      <c r="CR25" s="358"/>
      <c r="CS25" s="358"/>
      <c r="CT25" s="358"/>
      <c r="CU25" s="359"/>
      <c r="CV25" s="159">
        <v>3</v>
      </c>
      <c r="CW25" s="357">
        <v>4</v>
      </c>
      <c r="CX25" s="358"/>
      <c r="CY25" s="358"/>
      <c r="CZ25" s="358"/>
      <c r="DA25" s="358"/>
      <c r="DB25" s="358"/>
      <c r="DC25" s="358"/>
      <c r="DD25" s="359"/>
      <c r="DE25" s="159">
        <f t="shared" si="4"/>
        <v>4</v>
      </c>
      <c r="DF25" s="357">
        <v>4</v>
      </c>
      <c r="DG25" s="358"/>
      <c r="DH25" s="358"/>
      <c r="DI25" s="358"/>
      <c r="DJ25" s="358"/>
      <c r="DK25" s="358"/>
      <c r="DL25" s="358"/>
      <c r="DM25" s="359"/>
      <c r="DN25" s="159">
        <f t="shared" si="5"/>
        <v>4</v>
      </c>
      <c r="DO25" s="160">
        <f t="shared" si="6"/>
        <v>34</v>
      </c>
      <c r="DP25" s="161"/>
    </row>
    <row r="26" spans="2:120" ht="165" customHeight="1">
      <c r="B26" s="376"/>
      <c r="C26" s="370"/>
      <c r="D26" s="373"/>
      <c r="E26" s="374"/>
      <c r="F26" s="370"/>
      <c r="G26" s="346"/>
      <c r="H26" s="377"/>
      <c r="I26" s="379"/>
      <c r="J26" s="162" t="s">
        <v>73</v>
      </c>
      <c r="K26" s="163">
        <v>0</v>
      </c>
      <c r="L26" s="159">
        <v>0</v>
      </c>
      <c r="M26" s="159">
        <v>0</v>
      </c>
      <c r="N26" s="159">
        <v>0</v>
      </c>
      <c r="O26" s="159">
        <v>0</v>
      </c>
      <c r="P26" s="159">
        <v>0</v>
      </c>
      <c r="Q26" s="159">
        <v>0</v>
      </c>
      <c r="R26" s="159">
        <v>0</v>
      </c>
      <c r="S26" s="159">
        <f t="shared" si="7"/>
        <v>0</v>
      </c>
      <c r="T26" s="163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f t="shared" si="8"/>
        <v>0</v>
      </c>
      <c r="AC26" s="163">
        <v>0</v>
      </c>
      <c r="AD26" s="159">
        <v>0</v>
      </c>
      <c r="AE26" s="159">
        <v>0</v>
      </c>
      <c r="AF26" s="159">
        <v>0</v>
      </c>
      <c r="AG26" s="159">
        <v>0</v>
      </c>
      <c r="AH26" s="159">
        <v>0</v>
      </c>
      <c r="AI26" s="159">
        <v>0</v>
      </c>
      <c r="AJ26" s="159">
        <v>0</v>
      </c>
      <c r="AK26" s="159">
        <f>SUM(AC26:AJ26)</f>
        <v>0</v>
      </c>
      <c r="AL26" s="163">
        <v>0</v>
      </c>
      <c r="AM26" s="159">
        <v>0</v>
      </c>
      <c r="AN26" s="159">
        <v>0</v>
      </c>
      <c r="AO26" s="159">
        <v>0</v>
      </c>
      <c r="AP26" s="159">
        <v>0</v>
      </c>
      <c r="AQ26" s="159">
        <v>0</v>
      </c>
      <c r="AR26" s="159">
        <v>1</v>
      </c>
      <c r="AS26" s="159">
        <v>0</v>
      </c>
      <c r="AT26" s="159">
        <f>SUM(AL26:AS26)</f>
        <v>1</v>
      </c>
      <c r="AU26" s="163">
        <v>0</v>
      </c>
      <c r="AV26" s="159">
        <v>0</v>
      </c>
      <c r="AW26" s="159">
        <v>0</v>
      </c>
      <c r="AX26" s="159">
        <v>0</v>
      </c>
      <c r="AY26" s="159">
        <v>0</v>
      </c>
      <c r="AZ26" s="159">
        <v>0</v>
      </c>
      <c r="BA26" s="159">
        <v>2</v>
      </c>
      <c r="BB26" s="159">
        <v>1</v>
      </c>
      <c r="BC26" s="159">
        <f t="shared" si="10"/>
        <v>3</v>
      </c>
      <c r="BD26" s="163">
        <v>0</v>
      </c>
      <c r="BE26" s="159">
        <v>0</v>
      </c>
      <c r="BF26" s="159">
        <v>0</v>
      </c>
      <c r="BG26" s="159">
        <v>0</v>
      </c>
      <c r="BH26" s="159">
        <v>0</v>
      </c>
      <c r="BI26" s="159">
        <v>0</v>
      </c>
      <c r="BJ26" s="159">
        <v>5</v>
      </c>
      <c r="BK26" s="159">
        <v>3</v>
      </c>
      <c r="BL26" s="159">
        <f t="shared" si="11"/>
        <v>8</v>
      </c>
      <c r="BM26" s="163"/>
      <c r="BN26" s="159"/>
      <c r="BO26" s="159"/>
      <c r="BP26" s="159"/>
      <c r="BQ26" s="159"/>
      <c r="BR26" s="159"/>
      <c r="BS26" s="159"/>
      <c r="BT26" s="159"/>
      <c r="BU26" s="159">
        <f t="shared" si="0"/>
        <v>0</v>
      </c>
      <c r="BV26" s="163"/>
      <c r="BW26" s="159"/>
      <c r="BX26" s="159"/>
      <c r="BY26" s="159"/>
      <c r="BZ26" s="159"/>
      <c r="CA26" s="159"/>
      <c r="CB26" s="159"/>
      <c r="CC26" s="159"/>
      <c r="CD26" s="159">
        <f t="shared" si="1"/>
        <v>0</v>
      </c>
      <c r="CE26" s="163"/>
      <c r="CF26" s="159"/>
      <c r="CG26" s="159"/>
      <c r="CH26" s="159"/>
      <c r="CI26" s="159"/>
      <c r="CJ26" s="159"/>
      <c r="CK26" s="159"/>
      <c r="CL26" s="159"/>
      <c r="CM26" s="159">
        <f t="shared" si="2"/>
        <v>0</v>
      </c>
      <c r="CN26" s="163"/>
      <c r="CO26" s="159"/>
      <c r="CP26" s="159"/>
      <c r="CQ26" s="159"/>
      <c r="CR26" s="159"/>
      <c r="CS26" s="159"/>
      <c r="CT26" s="159"/>
      <c r="CU26" s="159"/>
      <c r="CV26" s="159">
        <f t="shared" si="3"/>
        <v>0</v>
      </c>
      <c r="CW26" s="163"/>
      <c r="CX26" s="159"/>
      <c r="CY26" s="159"/>
      <c r="CZ26" s="159"/>
      <c r="DA26" s="159"/>
      <c r="DB26" s="159"/>
      <c r="DC26" s="159"/>
      <c r="DD26" s="159"/>
      <c r="DE26" s="159">
        <f t="shared" si="4"/>
        <v>0</v>
      </c>
      <c r="DF26" s="163"/>
      <c r="DG26" s="159"/>
      <c r="DH26" s="159"/>
      <c r="DI26" s="159"/>
      <c r="DJ26" s="159"/>
      <c r="DK26" s="159"/>
      <c r="DL26" s="159"/>
      <c r="DM26" s="159"/>
      <c r="DN26" s="159">
        <f t="shared" si="5"/>
        <v>0</v>
      </c>
      <c r="DO26" s="160">
        <f t="shared" si="6"/>
        <v>12</v>
      </c>
      <c r="DP26" s="167"/>
    </row>
    <row r="27" spans="2:120" ht="165" hidden="1" customHeight="1">
      <c r="B27" s="375" t="s">
        <v>103</v>
      </c>
      <c r="C27" s="369" t="s">
        <v>187</v>
      </c>
      <c r="D27" s="371" t="s">
        <v>188</v>
      </c>
      <c r="E27" s="372"/>
      <c r="F27" s="369" t="s">
        <v>198</v>
      </c>
      <c r="G27" s="347">
        <v>70</v>
      </c>
      <c r="H27" s="380" t="s">
        <v>199</v>
      </c>
      <c r="I27" s="381">
        <v>117</v>
      </c>
      <c r="J27" s="158" t="s">
        <v>72</v>
      </c>
      <c r="K27" s="357">
        <v>5</v>
      </c>
      <c r="L27" s="358"/>
      <c r="M27" s="358"/>
      <c r="N27" s="358"/>
      <c r="O27" s="358"/>
      <c r="P27" s="358"/>
      <c r="Q27" s="358"/>
      <c r="R27" s="359"/>
      <c r="S27" s="159">
        <f t="shared" si="7"/>
        <v>5</v>
      </c>
      <c r="T27" s="357">
        <v>5</v>
      </c>
      <c r="U27" s="358"/>
      <c r="V27" s="358"/>
      <c r="W27" s="358"/>
      <c r="X27" s="358"/>
      <c r="Y27" s="358"/>
      <c r="Z27" s="358"/>
      <c r="AA27" s="359"/>
      <c r="AB27" s="159">
        <f t="shared" si="8"/>
        <v>5</v>
      </c>
      <c r="AC27" s="357">
        <v>5</v>
      </c>
      <c r="AD27" s="358"/>
      <c r="AE27" s="358"/>
      <c r="AF27" s="358"/>
      <c r="AG27" s="358"/>
      <c r="AH27" s="358"/>
      <c r="AI27" s="358"/>
      <c r="AJ27" s="359"/>
      <c r="AK27" s="159">
        <f t="shared" si="12"/>
        <v>5</v>
      </c>
      <c r="AL27" s="357">
        <v>10</v>
      </c>
      <c r="AM27" s="358"/>
      <c r="AN27" s="358"/>
      <c r="AO27" s="358"/>
      <c r="AP27" s="358"/>
      <c r="AQ27" s="358"/>
      <c r="AR27" s="358"/>
      <c r="AS27" s="359"/>
      <c r="AT27" s="159">
        <f t="shared" si="9"/>
        <v>10</v>
      </c>
      <c r="AU27" s="357">
        <v>10</v>
      </c>
      <c r="AV27" s="358"/>
      <c r="AW27" s="358"/>
      <c r="AX27" s="358"/>
      <c r="AY27" s="358"/>
      <c r="AZ27" s="358"/>
      <c r="BA27" s="358"/>
      <c r="BB27" s="359"/>
      <c r="BC27" s="159">
        <f t="shared" si="10"/>
        <v>10</v>
      </c>
      <c r="BD27" s="252">
        <v>10</v>
      </c>
      <c r="BE27" s="253"/>
      <c r="BF27" s="253"/>
      <c r="BG27" s="253"/>
      <c r="BH27" s="253"/>
      <c r="BI27" s="253"/>
      <c r="BJ27" s="253"/>
      <c r="BK27" s="254"/>
      <c r="BL27" s="159">
        <f t="shared" si="11"/>
        <v>10</v>
      </c>
      <c r="BM27" s="357">
        <v>10</v>
      </c>
      <c r="BN27" s="358"/>
      <c r="BO27" s="358"/>
      <c r="BP27" s="358"/>
      <c r="BQ27" s="358"/>
      <c r="BR27" s="358"/>
      <c r="BS27" s="358"/>
      <c r="BT27" s="359"/>
      <c r="BU27" s="159">
        <f t="shared" si="0"/>
        <v>10</v>
      </c>
      <c r="BV27" s="357">
        <v>18</v>
      </c>
      <c r="BW27" s="358"/>
      <c r="BX27" s="358"/>
      <c r="BY27" s="358"/>
      <c r="BZ27" s="358"/>
      <c r="CA27" s="358"/>
      <c r="CB27" s="358"/>
      <c r="CC27" s="359"/>
      <c r="CD27" s="159">
        <f t="shared" si="1"/>
        <v>18</v>
      </c>
      <c r="CE27" s="357">
        <v>17</v>
      </c>
      <c r="CF27" s="358"/>
      <c r="CG27" s="358"/>
      <c r="CH27" s="358"/>
      <c r="CI27" s="358"/>
      <c r="CJ27" s="358"/>
      <c r="CK27" s="358"/>
      <c r="CL27" s="359"/>
      <c r="CM27" s="159">
        <f t="shared" si="2"/>
        <v>17</v>
      </c>
      <c r="CN27" s="357">
        <v>6</v>
      </c>
      <c r="CO27" s="358"/>
      <c r="CP27" s="358"/>
      <c r="CQ27" s="358"/>
      <c r="CR27" s="358"/>
      <c r="CS27" s="358"/>
      <c r="CT27" s="358"/>
      <c r="CU27" s="359"/>
      <c r="CV27" s="159">
        <f t="shared" si="3"/>
        <v>6</v>
      </c>
      <c r="CW27" s="357">
        <v>5</v>
      </c>
      <c r="CX27" s="358"/>
      <c r="CY27" s="358"/>
      <c r="CZ27" s="358"/>
      <c r="DA27" s="358"/>
      <c r="DB27" s="358"/>
      <c r="DC27" s="358"/>
      <c r="DD27" s="359"/>
      <c r="DE27" s="159">
        <f t="shared" si="4"/>
        <v>5</v>
      </c>
      <c r="DF27" s="357">
        <v>3</v>
      </c>
      <c r="DG27" s="358"/>
      <c r="DH27" s="358"/>
      <c r="DI27" s="358"/>
      <c r="DJ27" s="358"/>
      <c r="DK27" s="358"/>
      <c r="DL27" s="358"/>
      <c r="DM27" s="359"/>
      <c r="DN27" s="159">
        <f t="shared" si="5"/>
        <v>3</v>
      </c>
      <c r="DO27" s="160">
        <f>S27+AB27+AK27+AT27+BC27+BL27+BU27+CD27+CM27+CV27+DE27+DN27</f>
        <v>104</v>
      </c>
      <c r="DP27" s="161"/>
    </row>
    <row r="28" spans="2:120" ht="165" customHeight="1">
      <c r="B28" s="376"/>
      <c r="C28" s="370"/>
      <c r="D28" s="373"/>
      <c r="E28" s="374"/>
      <c r="F28" s="370"/>
      <c r="G28" s="346"/>
      <c r="H28" s="377" t="s">
        <v>200</v>
      </c>
      <c r="I28" s="379"/>
      <c r="J28" s="162" t="s">
        <v>73</v>
      </c>
      <c r="K28" s="163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f t="shared" si="7"/>
        <v>0</v>
      </c>
      <c r="T28" s="163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f t="shared" si="8"/>
        <v>0</v>
      </c>
      <c r="AC28" s="163">
        <v>0</v>
      </c>
      <c r="AD28" s="163">
        <v>0</v>
      </c>
      <c r="AE28" s="163">
        <v>0</v>
      </c>
      <c r="AF28" s="163">
        <v>0</v>
      </c>
      <c r="AG28" s="163">
        <v>0</v>
      </c>
      <c r="AH28" s="163">
        <v>0</v>
      </c>
      <c r="AI28" s="163">
        <v>0</v>
      </c>
      <c r="AJ28" s="163">
        <v>0</v>
      </c>
      <c r="AK28" s="159">
        <f>SUM(AC28:AJ28)</f>
        <v>0</v>
      </c>
      <c r="AL28" s="163">
        <v>0</v>
      </c>
      <c r="AM28" s="159">
        <v>0</v>
      </c>
      <c r="AN28" s="159">
        <v>0</v>
      </c>
      <c r="AO28" s="159">
        <v>0</v>
      </c>
      <c r="AP28" s="159">
        <v>0</v>
      </c>
      <c r="AQ28" s="159">
        <v>0</v>
      </c>
      <c r="AR28" s="159">
        <v>1</v>
      </c>
      <c r="AS28" s="159">
        <v>0</v>
      </c>
      <c r="AT28" s="159">
        <f>SUM(AL28:AS28)</f>
        <v>1</v>
      </c>
      <c r="AU28" s="163">
        <v>0</v>
      </c>
      <c r="AV28" s="159">
        <v>0</v>
      </c>
      <c r="AW28" s="159">
        <v>0</v>
      </c>
      <c r="AX28" s="159">
        <v>0</v>
      </c>
      <c r="AY28" s="159">
        <v>0</v>
      </c>
      <c r="AZ28" s="159">
        <v>0</v>
      </c>
      <c r="BA28" s="159">
        <v>13</v>
      </c>
      <c r="BB28" s="159">
        <v>2</v>
      </c>
      <c r="BC28" s="159">
        <f t="shared" si="10"/>
        <v>15</v>
      </c>
      <c r="BD28" s="163">
        <v>0</v>
      </c>
      <c r="BE28" s="159">
        <v>0</v>
      </c>
      <c r="BF28" s="159">
        <v>0</v>
      </c>
      <c r="BG28" s="159">
        <v>0</v>
      </c>
      <c r="BH28" s="159">
        <v>1</v>
      </c>
      <c r="BI28" s="159">
        <v>1</v>
      </c>
      <c r="BJ28" s="159">
        <v>2</v>
      </c>
      <c r="BK28" s="159">
        <v>1</v>
      </c>
      <c r="BL28" s="159">
        <f t="shared" si="11"/>
        <v>5</v>
      </c>
      <c r="BM28" s="163"/>
      <c r="BN28" s="159"/>
      <c r="BO28" s="159"/>
      <c r="BP28" s="159"/>
      <c r="BQ28" s="159"/>
      <c r="BR28" s="159"/>
      <c r="BS28" s="159"/>
      <c r="BT28" s="159"/>
      <c r="BU28" s="159">
        <f t="shared" si="0"/>
        <v>0</v>
      </c>
      <c r="BV28" s="163"/>
      <c r="BW28" s="159"/>
      <c r="BX28" s="159"/>
      <c r="BY28" s="159"/>
      <c r="BZ28" s="159"/>
      <c r="CA28" s="159"/>
      <c r="CB28" s="159"/>
      <c r="CC28" s="159"/>
      <c r="CD28" s="159">
        <f t="shared" si="1"/>
        <v>0</v>
      </c>
      <c r="CE28" s="163"/>
      <c r="CF28" s="159"/>
      <c r="CG28" s="159"/>
      <c r="CH28" s="159"/>
      <c r="CI28" s="159"/>
      <c r="CJ28" s="159"/>
      <c r="CK28" s="159"/>
      <c r="CL28" s="159"/>
      <c r="CM28" s="159">
        <f t="shared" si="2"/>
        <v>0</v>
      </c>
      <c r="CN28" s="163"/>
      <c r="CO28" s="159"/>
      <c r="CP28" s="159"/>
      <c r="CQ28" s="159"/>
      <c r="CR28" s="159"/>
      <c r="CS28" s="159"/>
      <c r="CT28" s="159"/>
      <c r="CU28" s="159"/>
      <c r="CV28" s="159">
        <f t="shared" si="3"/>
        <v>0</v>
      </c>
      <c r="CW28" s="163"/>
      <c r="CX28" s="159"/>
      <c r="CY28" s="159"/>
      <c r="CZ28" s="159"/>
      <c r="DA28" s="159"/>
      <c r="DB28" s="159"/>
      <c r="DC28" s="159"/>
      <c r="DD28" s="159"/>
      <c r="DE28" s="159">
        <f t="shared" si="4"/>
        <v>0</v>
      </c>
      <c r="DF28" s="163"/>
      <c r="DG28" s="159"/>
      <c r="DH28" s="159"/>
      <c r="DI28" s="159"/>
      <c r="DJ28" s="159"/>
      <c r="DK28" s="159"/>
      <c r="DL28" s="159"/>
      <c r="DM28" s="159"/>
      <c r="DN28" s="159">
        <f t="shared" si="5"/>
        <v>0</v>
      </c>
      <c r="DO28" s="160">
        <f t="shared" si="6"/>
        <v>21</v>
      </c>
      <c r="DP28" s="167"/>
    </row>
    <row r="29" spans="2:120" ht="165" hidden="1" customHeight="1">
      <c r="B29" s="375" t="s">
        <v>103</v>
      </c>
      <c r="C29" s="369" t="s">
        <v>187</v>
      </c>
      <c r="D29" s="371" t="s">
        <v>188</v>
      </c>
      <c r="E29" s="372"/>
      <c r="F29" s="369" t="s">
        <v>201</v>
      </c>
      <c r="G29" s="347">
        <v>26</v>
      </c>
      <c r="H29" s="380" t="s">
        <v>202</v>
      </c>
      <c r="I29" s="381">
        <v>59</v>
      </c>
      <c r="J29" s="158" t="s">
        <v>72</v>
      </c>
      <c r="K29" s="357">
        <v>1</v>
      </c>
      <c r="L29" s="358"/>
      <c r="M29" s="358"/>
      <c r="N29" s="358"/>
      <c r="O29" s="358"/>
      <c r="P29" s="358"/>
      <c r="Q29" s="358"/>
      <c r="R29" s="359"/>
      <c r="S29" s="159">
        <f t="shared" si="7"/>
        <v>1</v>
      </c>
      <c r="T29" s="357">
        <v>1</v>
      </c>
      <c r="U29" s="358"/>
      <c r="V29" s="358"/>
      <c r="W29" s="358"/>
      <c r="X29" s="358"/>
      <c r="Y29" s="358"/>
      <c r="Z29" s="358"/>
      <c r="AA29" s="359"/>
      <c r="AB29" s="159">
        <f t="shared" si="8"/>
        <v>1</v>
      </c>
      <c r="AC29" s="357">
        <v>1</v>
      </c>
      <c r="AD29" s="358"/>
      <c r="AE29" s="358"/>
      <c r="AF29" s="358"/>
      <c r="AG29" s="358"/>
      <c r="AH29" s="358"/>
      <c r="AI29" s="358"/>
      <c r="AJ29" s="359"/>
      <c r="AK29" s="159">
        <f t="shared" si="12"/>
        <v>1</v>
      </c>
      <c r="AL29" s="357">
        <v>2</v>
      </c>
      <c r="AM29" s="358"/>
      <c r="AN29" s="358"/>
      <c r="AO29" s="358"/>
      <c r="AP29" s="358"/>
      <c r="AQ29" s="358"/>
      <c r="AR29" s="358"/>
      <c r="AS29" s="359"/>
      <c r="AT29" s="159">
        <f t="shared" si="9"/>
        <v>2</v>
      </c>
      <c r="AU29" s="357">
        <v>2</v>
      </c>
      <c r="AV29" s="358"/>
      <c r="AW29" s="358"/>
      <c r="AX29" s="358"/>
      <c r="AY29" s="358"/>
      <c r="AZ29" s="358"/>
      <c r="BA29" s="358"/>
      <c r="BB29" s="359"/>
      <c r="BC29" s="159">
        <f t="shared" si="10"/>
        <v>2</v>
      </c>
      <c r="BD29" s="252">
        <v>5</v>
      </c>
      <c r="BE29" s="253"/>
      <c r="BF29" s="253"/>
      <c r="BG29" s="253"/>
      <c r="BH29" s="253"/>
      <c r="BI29" s="253"/>
      <c r="BJ29" s="253"/>
      <c r="BK29" s="254"/>
      <c r="BL29" s="159">
        <f t="shared" si="11"/>
        <v>5</v>
      </c>
      <c r="BM29" s="357">
        <v>6</v>
      </c>
      <c r="BN29" s="358"/>
      <c r="BO29" s="358"/>
      <c r="BP29" s="358"/>
      <c r="BQ29" s="358"/>
      <c r="BR29" s="358"/>
      <c r="BS29" s="358"/>
      <c r="BT29" s="359"/>
      <c r="BU29" s="159">
        <f t="shared" si="0"/>
        <v>6</v>
      </c>
      <c r="BV29" s="357">
        <v>8</v>
      </c>
      <c r="BW29" s="358"/>
      <c r="BX29" s="358"/>
      <c r="BY29" s="358"/>
      <c r="BZ29" s="358"/>
      <c r="CA29" s="358"/>
      <c r="CB29" s="358"/>
      <c r="CC29" s="359"/>
      <c r="CD29" s="159">
        <f t="shared" si="1"/>
        <v>8</v>
      </c>
      <c r="CE29" s="357">
        <v>8</v>
      </c>
      <c r="CF29" s="358"/>
      <c r="CG29" s="358"/>
      <c r="CH29" s="358"/>
      <c r="CI29" s="358"/>
      <c r="CJ29" s="358"/>
      <c r="CK29" s="358"/>
      <c r="CL29" s="359"/>
      <c r="CM29" s="159">
        <f t="shared" si="2"/>
        <v>8</v>
      </c>
      <c r="CN29" s="357">
        <v>8</v>
      </c>
      <c r="CO29" s="358"/>
      <c r="CP29" s="358"/>
      <c r="CQ29" s="358"/>
      <c r="CR29" s="358"/>
      <c r="CS29" s="358"/>
      <c r="CT29" s="358"/>
      <c r="CU29" s="359"/>
      <c r="CV29" s="159">
        <f t="shared" si="3"/>
        <v>8</v>
      </c>
      <c r="CW29" s="357">
        <v>8</v>
      </c>
      <c r="CX29" s="358"/>
      <c r="CY29" s="358"/>
      <c r="CZ29" s="358"/>
      <c r="DA29" s="358"/>
      <c r="DB29" s="358"/>
      <c r="DC29" s="358"/>
      <c r="DD29" s="359"/>
      <c r="DE29" s="159">
        <v>8</v>
      </c>
      <c r="DF29" s="357">
        <v>8</v>
      </c>
      <c r="DG29" s="358"/>
      <c r="DH29" s="358"/>
      <c r="DI29" s="358"/>
      <c r="DJ29" s="358"/>
      <c r="DK29" s="358"/>
      <c r="DL29" s="358"/>
      <c r="DM29" s="359"/>
      <c r="DN29" s="159">
        <f t="shared" si="5"/>
        <v>8</v>
      </c>
      <c r="DO29" s="160">
        <f t="shared" si="6"/>
        <v>58</v>
      </c>
      <c r="DP29" s="161"/>
    </row>
    <row r="30" spans="2:120" ht="165" customHeight="1">
      <c r="B30" s="376"/>
      <c r="C30" s="370"/>
      <c r="D30" s="373"/>
      <c r="E30" s="374"/>
      <c r="F30" s="370"/>
      <c r="G30" s="346"/>
      <c r="H30" s="377"/>
      <c r="I30" s="379"/>
      <c r="J30" s="162" t="s">
        <v>73</v>
      </c>
      <c r="K30" s="163">
        <v>0</v>
      </c>
      <c r="L30" s="159">
        <v>0</v>
      </c>
      <c r="M30" s="159">
        <v>0</v>
      </c>
      <c r="N30" s="159">
        <v>0</v>
      </c>
      <c r="O30" s="159">
        <v>0</v>
      </c>
      <c r="P30" s="159">
        <v>0</v>
      </c>
      <c r="Q30" s="159">
        <v>0</v>
      </c>
      <c r="R30" s="159">
        <v>0</v>
      </c>
      <c r="S30" s="159">
        <f t="shared" si="7"/>
        <v>0</v>
      </c>
      <c r="T30" s="163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f t="shared" si="8"/>
        <v>0</v>
      </c>
      <c r="AC30" s="163">
        <v>0</v>
      </c>
      <c r="AD30" s="159">
        <v>0</v>
      </c>
      <c r="AE30" s="159">
        <v>0</v>
      </c>
      <c r="AF30" s="159">
        <v>0</v>
      </c>
      <c r="AG30" s="159">
        <v>0</v>
      </c>
      <c r="AH30" s="159">
        <v>0</v>
      </c>
      <c r="AI30" s="159">
        <v>0</v>
      </c>
      <c r="AJ30" s="159">
        <v>0</v>
      </c>
      <c r="AK30" s="159">
        <f t="shared" si="12"/>
        <v>0</v>
      </c>
      <c r="AL30" s="163">
        <v>0</v>
      </c>
      <c r="AM30" s="159">
        <v>0</v>
      </c>
      <c r="AN30" s="159">
        <v>0</v>
      </c>
      <c r="AO30" s="159">
        <v>0</v>
      </c>
      <c r="AP30" s="159">
        <v>0</v>
      </c>
      <c r="AQ30" s="159">
        <v>0</v>
      </c>
      <c r="AR30" s="159">
        <v>0</v>
      </c>
      <c r="AS30" s="159">
        <v>0</v>
      </c>
      <c r="AT30" s="159">
        <f t="shared" si="9"/>
        <v>0</v>
      </c>
      <c r="AU30" s="163">
        <v>0</v>
      </c>
      <c r="AV30" s="159">
        <v>0</v>
      </c>
      <c r="AW30" s="159">
        <v>0</v>
      </c>
      <c r="AX30" s="159">
        <v>0</v>
      </c>
      <c r="AY30" s="159">
        <v>0</v>
      </c>
      <c r="AZ30" s="159">
        <v>0</v>
      </c>
      <c r="BA30" s="159">
        <v>10</v>
      </c>
      <c r="BB30" s="159">
        <v>2</v>
      </c>
      <c r="BC30" s="159">
        <f t="shared" si="10"/>
        <v>12</v>
      </c>
      <c r="BD30" s="163">
        <v>0</v>
      </c>
      <c r="BE30" s="159">
        <v>0</v>
      </c>
      <c r="BF30" s="159">
        <v>0</v>
      </c>
      <c r="BG30" s="159">
        <v>0</v>
      </c>
      <c r="BH30" s="159">
        <v>0</v>
      </c>
      <c r="BI30" s="159">
        <v>0</v>
      </c>
      <c r="BJ30" s="159">
        <v>4</v>
      </c>
      <c r="BK30" s="159">
        <v>4</v>
      </c>
      <c r="BL30" s="159">
        <f t="shared" si="11"/>
        <v>8</v>
      </c>
      <c r="BM30" s="163"/>
      <c r="BN30" s="159"/>
      <c r="BO30" s="159"/>
      <c r="BP30" s="159"/>
      <c r="BQ30" s="159"/>
      <c r="BR30" s="159"/>
      <c r="BS30" s="159"/>
      <c r="BT30" s="159"/>
      <c r="BU30" s="159">
        <f t="shared" si="0"/>
        <v>0</v>
      </c>
      <c r="BV30" s="163"/>
      <c r="BW30" s="159"/>
      <c r="BX30" s="159"/>
      <c r="BY30" s="159"/>
      <c r="BZ30" s="159"/>
      <c r="CA30" s="159"/>
      <c r="CB30" s="159"/>
      <c r="CC30" s="159"/>
      <c r="CD30" s="159">
        <f t="shared" si="1"/>
        <v>0</v>
      </c>
      <c r="CE30" s="163"/>
      <c r="CF30" s="159"/>
      <c r="CG30" s="159"/>
      <c r="CH30" s="159"/>
      <c r="CI30" s="159"/>
      <c r="CJ30" s="159"/>
      <c r="CK30" s="159"/>
      <c r="CL30" s="159"/>
      <c r="CM30" s="159">
        <f t="shared" si="2"/>
        <v>0</v>
      </c>
      <c r="CN30" s="163"/>
      <c r="CO30" s="159"/>
      <c r="CP30" s="159"/>
      <c r="CQ30" s="159"/>
      <c r="CR30" s="159"/>
      <c r="CS30" s="159"/>
      <c r="CT30" s="159"/>
      <c r="CU30" s="159"/>
      <c r="CV30" s="159">
        <f t="shared" si="3"/>
        <v>0</v>
      </c>
      <c r="CW30" s="163"/>
      <c r="CX30" s="159"/>
      <c r="CY30" s="159"/>
      <c r="CZ30" s="159"/>
      <c r="DA30" s="159"/>
      <c r="DB30" s="159"/>
      <c r="DC30" s="159"/>
      <c r="DD30" s="159"/>
      <c r="DE30" s="159">
        <f t="shared" si="4"/>
        <v>0</v>
      </c>
      <c r="DF30" s="163"/>
      <c r="DG30" s="159"/>
      <c r="DH30" s="159"/>
      <c r="DI30" s="159"/>
      <c r="DJ30" s="159"/>
      <c r="DK30" s="159"/>
      <c r="DL30" s="159"/>
      <c r="DM30" s="159"/>
      <c r="DN30" s="159">
        <f t="shared" si="5"/>
        <v>0</v>
      </c>
      <c r="DO30" s="160">
        <f t="shared" si="6"/>
        <v>20</v>
      </c>
      <c r="DP30" s="167"/>
    </row>
    <row r="31" spans="2:120" ht="251.25" hidden="1" customHeight="1">
      <c r="B31" s="346" t="s">
        <v>135</v>
      </c>
      <c r="C31" s="369" t="s">
        <v>7</v>
      </c>
      <c r="D31" s="371" t="s">
        <v>203</v>
      </c>
      <c r="E31" s="372"/>
      <c r="F31" s="369" t="s">
        <v>180</v>
      </c>
      <c r="G31" s="347">
        <v>1</v>
      </c>
      <c r="H31" s="369" t="s">
        <v>180</v>
      </c>
      <c r="I31" s="362">
        <v>1</v>
      </c>
      <c r="J31" s="158" t="s">
        <v>72</v>
      </c>
      <c r="K31" s="357">
        <v>0</v>
      </c>
      <c r="L31" s="358"/>
      <c r="M31" s="358"/>
      <c r="N31" s="358"/>
      <c r="O31" s="358"/>
      <c r="P31" s="358"/>
      <c r="Q31" s="358"/>
      <c r="R31" s="359"/>
      <c r="S31" s="159">
        <f t="shared" si="7"/>
        <v>0</v>
      </c>
      <c r="T31" s="357">
        <v>0</v>
      </c>
      <c r="U31" s="358"/>
      <c r="V31" s="358"/>
      <c r="W31" s="358"/>
      <c r="X31" s="358"/>
      <c r="Y31" s="358"/>
      <c r="Z31" s="358"/>
      <c r="AA31" s="359"/>
      <c r="AB31" s="159">
        <f t="shared" si="8"/>
        <v>0</v>
      </c>
      <c r="AC31" s="357">
        <v>0</v>
      </c>
      <c r="AD31" s="358"/>
      <c r="AE31" s="358"/>
      <c r="AF31" s="358"/>
      <c r="AG31" s="358"/>
      <c r="AH31" s="358"/>
      <c r="AI31" s="358"/>
      <c r="AJ31" s="359"/>
      <c r="AK31" s="159">
        <f t="shared" si="12"/>
        <v>0</v>
      </c>
      <c r="AL31" s="357">
        <v>0</v>
      </c>
      <c r="AM31" s="358"/>
      <c r="AN31" s="358"/>
      <c r="AO31" s="358"/>
      <c r="AP31" s="358"/>
      <c r="AQ31" s="358"/>
      <c r="AR31" s="358"/>
      <c r="AS31" s="359"/>
      <c r="AT31" s="159">
        <f t="shared" si="9"/>
        <v>0</v>
      </c>
      <c r="AU31" s="357">
        <v>0</v>
      </c>
      <c r="AV31" s="358"/>
      <c r="AW31" s="358"/>
      <c r="AX31" s="358"/>
      <c r="AY31" s="358"/>
      <c r="AZ31" s="358"/>
      <c r="BA31" s="358"/>
      <c r="BB31" s="359"/>
      <c r="BC31" s="159">
        <f t="shared" si="10"/>
        <v>0</v>
      </c>
      <c r="BD31" s="357">
        <v>0</v>
      </c>
      <c r="BE31" s="358"/>
      <c r="BF31" s="358"/>
      <c r="BG31" s="358"/>
      <c r="BH31" s="358"/>
      <c r="BI31" s="358"/>
      <c r="BJ31" s="358"/>
      <c r="BK31" s="359"/>
      <c r="BL31" s="159">
        <f t="shared" si="11"/>
        <v>0</v>
      </c>
      <c r="BM31" s="357">
        <v>0</v>
      </c>
      <c r="BN31" s="358"/>
      <c r="BO31" s="358"/>
      <c r="BP31" s="358"/>
      <c r="BQ31" s="358"/>
      <c r="BR31" s="358"/>
      <c r="BS31" s="358"/>
      <c r="BT31" s="359"/>
      <c r="BU31" s="159">
        <f t="shared" si="0"/>
        <v>0</v>
      </c>
      <c r="BV31" s="357">
        <v>0</v>
      </c>
      <c r="BW31" s="358"/>
      <c r="BX31" s="358"/>
      <c r="BY31" s="358"/>
      <c r="BZ31" s="358"/>
      <c r="CA31" s="358"/>
      <c r="CB31" s="358"/>
      <c r="CC31" s="359"/>
      <c r="CD31" s="159">
        <f t="shared" si="1"/>
        <v>0</v>
      </c>
      <c r="CE31" s="357">
        <v>1</v>
      </c>
      <c r="CF31" s="358"/>
      <c r="CG31" s="358"/>
      <c r="CH31" s="358"/>
      <c r="CI31" s="358"/>
      <c r="CJ31" s="358"/>
      <c r="CK31" s="358"/>
      <c r="CL31" s="359"/>
      <c r="CM31" s="159">
        <f t="shared" si="2"/>
        <v>1</v>
      </c>
      <c r="CN31" s="357">
        <v>0</v>
      </c>
      <c r="CO31" s="358"/>
      <c r="CP31" s="358"/>
      <c r="CQ31" s="358"/>
      <c r="CR31" s="358"/>
      <c r="CS31" s="358"/>
      <c r="CT31" s="358"/>
      <c r="CU31" s="359"/>
      <c r="CV31" s="159">
        <f t="shared" si="3"/>
        <v>0</v>
      </c>
      <c r="CW31" s="357">
        <v>0</v>
      </c>
      <c r="CX31" s="358"/>
      <c r="CY31" s="358"/>
      <c r="CZ31" s="358"/>
      <c r="DA31" s="358"/>
      <c r="DB31" s="358"/>
      <c r="DC31" s="358"/>
      <c r="DD31" s="359"/>
      <c r="DE31" s="159">
        <f t="shared" si="4"/>
        <v>0</v>
      </c>
      <c r="DF31" s="357">
        <v>0</v>
      </c>
      <c r="DG31" s="358"/>
      <c r="DH31" s="358"/>
      <c r="DI31" s="358"/>
      <c r="DJ31" s="358"/>
      <c r="DK31" s="358"/>
      <c r="DL31" s="358"/>
      <c r="DM31" s="359"/>
      <c r="DN31" s="159">
        <f t="shared" si="5"/>
        <v>0</v>
      </c>
      <c r="DO31" s="160">
        <f t="shared" si="6"/>
        <v>1</v>
      </c>
      <c r="DP31" s="161"/>
    </row>
    <row r="32" spans="2:120" ht="150" customHeight="1">
      <c r="B32" s="346"/>
      <c r="C32" s="370"/>
      <c r="D32" s="373"/>
      <c r="E32" s="374"/>
      <c r="F32" s="370"/>
      <c r="G32" s="346"/>
      <c r="H32" s="370"/>
      <c r="I32" s="362"/>
      <c r="J32" s="162" t="s">
        <v>73</v>
      </c>
      <c r="K32" s="357">
        <v>0</v>
      </c>
      <c r="L32" s="358"/>
      <c r="M32" s="358"/>
      <c r="N32" s="358"/>
      <c r="O32" s="358"/>
      <c r="P32" s="358"/>
      <c r="Q32" s="358"/>
      <c r="R32" s="359"/>
      <c r="S32" s="159">
        <f t="shared" si="7"/>
        <v>0</v>
      </c>
      <c r="T32" s="357">
        <v>0</v>
      </c>
      <c r="U32" s="358"/>
      <c r="V32" s="358"/>
      <c r="W32" s="358"/>
      <c r="X32" s="358"/>
      <c r="Y32" s="358"/>
      <c r="Z32" s="358"/>
      <c r="AA32" s="359"/>
      <c r="AB32" s="159">
        <f t="shared" si="8"/>
        <v>0</v>
      </c>
      <c r="AC32" s="357">
        <v>0</v>
      </c>
      <c r="AD32" s="358"/>
      <c r="AE32" s="358"/>
      <c r="AF32" s="358"/>
      <c r="AG32" s="358"/>
      <c r="AH32" s="358"/>
      <c r="AI32" s="358"/>
      <c r="AJ32" s="359"/>
      <c r="AK32" s="159">
        <f t="shared" si="12"/>
        <v>0</v>
      </c>
      <c r="AL32" s="357">
        <v>0</v>
      </c>
      <c r="AM32" s="358"/>
      <c r="AN32" s="358"/>
      <c r="AO32" s="358"/>
      <c r="AP32" s="358"/>
      <c r="AQ32" s="358"/>
      <c r="AR32" s="358"/>
      <c r="AS32" s="359"/>
      <c r="AT32" s="159">
        <f t="shared" si="9"/>
        <v>0</v>
      </c>
      <c r="AU32" s="357">
        <v>0</v>
      </c>
      <c r="AV32" s="358"/>
      <c r="AW32" s="358"/>
      <c r="AX32" s="358"/>
      <c r="AY32" s="358"/>
      <c r="AZ32" s="358"/>
      <c r="BA32" s="358"/>
      <c r="BB32" s="359"/>
      <c r="BC32" s="159">
        <f t="shared" si="10"/>
        <v>0</v>
      </c>
      <c r="BD32" s="357">
        <v>0</v>
      </c>
      <c r="BE32" s="358"/>
      <c r="BF32" s="358"/>
      <c r="BG32" s="358"/>
      <c r="BH32" s="358"/>
      <c r="BI32" s="358"/>
      <c r="BJ32" s="358"/>
      <c r="BK32" s="359"/>
      <c r="BL32" s="159">
        <f t="shared" si="11"/>
        <v>0</v>
      </c>
      <c r="BM32" s="357"/>
      <c r="BN32" s="358"/>
      <c r="BO32" s="358"/>
      <c r="BP32" s="358"/>
      <c r="BQ32" s="358"/>
      <c r="BR32" s="358"/>
      <c r="BS32" s="358"/>
      <c r="BT32" s="359"/>
      <c r="BU32" s="159">
        <f t="shared" si="0"/>
        <v>0</v>
      </c>
      <c r="BV32" s="357"/>
      <c r="BW32" s="358"/>
      <c r="BX32" s="358"/>
      <c r="BY32" s="358"/>
      <c r="BZ32" s="358"/>
      <c r="CA32" s="358"/>
      <c r="CB32" s="358"/>
      <c r="CC32" s="359"/>
      <c r="CD32" s="159">
        <f t="shared" si="1"/>
        <v>0</v>
      </c>
      <c r="CE32" s="357"/>
      <c r="CF32" s="358"/>
      <c r="CG32" s="358"/>
      <c r="CH32" s="358"/>
      <c r="CI32" s="358"/>
      <c r="CJ32" s="358"/>
      <c r="CK32" s="358"/>
      <c r="CL32" s="359"/>
      <c r="CM32" s="159">
        <f t="shared" si="2"/>
        <v>0</v>
      </c>
      <c r="CN32" s="357"/>
      <c r="CO32" s="358"/>
      <c r="CP32" s="358"/>
      <c r="CQ32" s="358"/>
      <c r="CR32" s="358"/>
      <c r="CS32" s="358"/>
      <c r="CT32" s="358"/>
      <c r="CU32" s="359"/>
      <c r="CV32" s="159">
        <f t="shared" si="3"/>
        <v>0</v>
      </c>
      <c r="CW32" s="357"/>
      <c r="CX32" s="358"/>
      <c r="CY32" s="358"/>
      <c r="CZ32" s="358"/>
      <c r="DA32" s="358"/>
      <c r="DB32" s="358"/>
      <c r="DC32" s="358"/>
      <c r="DD32" s="359"/>
      <c r="DE32" s="159">
        <f t="shared" si="4"/>
        <v>0</v>
      </c>
      <c r="DF32" s="357"/>
      <c r="DG32" s="358"/>
      <c r="DH32" s="358"/>
      <c r="DI32" s="358"/>
      <c r="DJ32" s="358"/>
      <c r="DK32" s="358"/>
      <c r="DL32" s="358"/>
      <c r="DM32" s="359"/>
      <c r="DN32" s="159">
        <f t="shared" si="5"/>
        <v>0</v>
      </c>
      <c r="DO32" s="160">
        <f t="shared" si="6"/>
        <v>0</v>
      </c>
      <c r="DP32" s="161"/>
    </row>
    <row r="33" spans="2:120" ht="150" hidden="1" customHeight="1">
      <c r="B33" s="369" t="s">
        <v>138</v>
      </c>
      <c r="C33" s="369" t="s">
        <v>5</v>
      </c>
      <c r="D33" s="371" t="s">
        <v>0</v>
      </c>
      <c r="E33" s="372"/>
      <c r="F33" s="369" t="s">
        <v>0</v>
      </c>
      <c r="G33" s="347">
        <v>1</v>
      </c>
      <c r="H33" s="346" t="s">
        <v>0</v>
      </c>
      <c r="I33" s="346">
        <v>1</v>
      </c>
      <c r="J33" s="158" t="s">
        <v>72</v>
      </c>
      <c r="K33" s="357">
        <v>0</v>
      </c>
      <c r="L33" s="358"/>
      <c r="M33" s="358"/>
      <c r="N33" s="358"/>
      <c r="O33" s="358"/>
      <c r="P33" s="358"/>
      <c r="Q33" s="358"/>
      <c r="R33" s="359"/>
      <c r="S33" s="159">
        <f t="shared" si="7"/>
        <v>0</v>
      </c>
      <c r="T33" s="357">
        <v>0</v>
      </c>
      <c r="U33" s="358"/>
      <c r="V33" s="358"/>
      <c r="W33" s="358"/>
      <c r="X33" s="358"/>
      <c r="Y33" s="358"/>
      <c r="Z33" s="358"/>
      <c r="AA33" s="359"/>
      <c r="AB33" s="159">
        <f t="shared" si="8"/>
        <v>0</v>
      </c>
      <c r="AC33" s="357">
        <v>0</v>
      </c>
      <c r="AD33" s="358"/>
      <c r="AE33" s="358"/>
      <c r="AF33" s="358"/>
      <c r="AG33" s="358"/>
      <c r="AH33" s="358"/>
      <c r="AI33" s="358"/>
      <c r="AJ33" s="359"/>
      <c r="AK33" s="159">
        <f t="shared" si="12"/>
        <v>0</v>
      </c>
      <c r="AL33" s="357">
        <v>0</v>
      </c>
      <c r="AM33" s="358"/>
      <c r="AN33" s="358"/>
      <c r="AO33" s="358"/>
      <c r="AP33" s="358"/>
      <c r="AQ33" s="358"/>
      <c r="AR33" s="358"/>
      <c r="AS33" s="359"/>
      <c r="AT33" s="159">
        <f t="shared" si="9"/>
        <v>0</v>
      </c>
      <c r="AU33" s="357">
        <v>0</v>
      </c>
      <c r="AV33" s="358"/>
      <c r="AW33" s="358"/>
      <c r="AX33" s="358"/>
      <c r="AY33" s="358"/>
      <c r="AZ33" s="358"/>
      <c r="BA33" s="358"/>
      <c r="BB33" s="359"/>
      <c r="BC33" s="159">
        <f t="shared" si="10"/>
        <v>0</v>
      </c>
      <c r="BD33" s="357">
        <v>0</v>
      </c>
      <c r="BE33" s="358"/>
      <c r="BF33" s="358"/>
      <c r="BG33" s="358"/>
      <c r="BH33" s="358"/>
      <c r="BI33" s="358"/>
      <c r="BJ33" s="358"/>
      <c r="BK33" s="359"/>
      <c r="BL33" s="159">
        <f t="shared" si="11"/>
        <v>0</v>
      </c>
      <c r="BM33" s="357">
        <v>0</v>
      </c>
      <c r="BN33" s="358"/>
      <c r="BO33" s="358"/>
      <c r="BP33" s="358"/>
      <c r="BQ33" s="358"/>
      <c r="BR33" s="358"/>
      <c r="BS33" s="358"/>
      <c r="BT33" s="359"/>
      <c r="BU33" s="159">
        <f t="shared" si="0"/>
        <v>0</v>
      </c>
      <c r="BV33" s="357">
        <v>0</v>
      </c>
      <c r="BW33" s="358"/>
      <c r="BX33" s="358"/>
      <c r="BY33" s="358"/>
      <c r="BZ33" s="358"/>
      <c r="CA33" s="358"/>
      <c r="CB33" s="358"/>
      <c r="CC33" s="359"/>
      <c r="CD33" s="159">
        <f t="shared" si="1"/>
        <v>0</v>
      </c>
      <c r="CE33" s="357">
        <v>1</v>
      </c>
      <c r="CF33" s="358"/>
      <c r="CG33" s="358"/>
      <c r="CH33" s="358"/>
      <c r="CI33" s="358"/>
      <c r="CJ33" s="358"/>
      <c r="CK33" s="358"/>
      <c r="CL33" s="359"/>
      <c r="CM33" s="159">
        <f t="shared" si="2"/>
        <v>1</v>
      </c>
      <c r="CN33" s="357">
        <v>0</v>
      </c>
      <c r="CO33" s="358"/>
      <c r="CP33" s="358"/>
      <c r="CQ33" s="358"/>
      <c r="CR33" s="358"/>
      <c r="CS33" s="358"/>
      <c r="CT33" s="358"/>
      <c r="CU33" s="359"/>
      <c r="CV33" s="159">
        <f t="shared" si="3"/>
        <v>0</v>
      </c>
      <c r="CW33" s="357">
        <v>0</v>
      </c>
      <c r="CX33" s="358"/>
      <c r="CY33" s="358"/>
      <c r="CZ33" s="358"/>
      <c r="DA33" s="358"/>
      <c r="DB33" s="358"/>
      <c r="DC33" s="358"/>
      <c r="DD33" s="359"/>
      <c r="DE33" s="159">
        <f t="shared" si="4"/>
        <v>0</v>
      </c>
      <c r="DF33" s="357">
        <v>0</v>
      </c>
      <c r="DG33" s="358"/>
      <c r="DH33" s="358"/>
      <c r="DI33" s="358"/>
      <c r="DJ33" s="358"/>
      <c r="DK33" s="358"/>
      <c r="DL33" s="358"/>
      <c r="DM33" s="359"/>
      <c r="DN33" s="159">
        <f t="shared" si="5"/>
        <v>0</v>
      </c>
      <c r="DO33" s="160">
        <f t="shared" si="6"/>
        <v>1</v>
      </c>
      <c r="DP33" s="161"/>
    </row>
    <row r="34" spans="2:120" ht="150" customHeight="1">
      <c r="B34" s="370"/>
      <c r="C34" s="370"/>
      <c r="D34" s="373"/>
      <c r="E34" s="374"/>
      <c r="F34" s="370"/>
      <c r="G34" s="346"/>
      <c r="H34" s="346"/>
      <c r="I34" s="346"/>
      <c r="J34" s="162" t="s">
        <v>73</v>
      </c>
      <c r="K34" s="357">
        <v>0</v>
      </c>
      <c r="L34" s="358"/>
      <c r="M34" s="358"/>
      <c r="N34" s="358"/>
      <c r="O34" s="358"/>
      <c r="P34" s="358"/>
      <c r="Q34" s="358"/>
      <c r="R34" s="359"/>
      <c r="S34" s="159">
        <f>SUM(K34)</f>
        <v>0</v>
      </c>
      <c r="T34" s="357">
        <v>0</v>
      </c>
      <c r="U34" s="358"/>
      <c r="V34" s="358"/>
      <c r="W34" s="358"/>
      <c r="X34" s="358"/>
      <c r="Y34" s="358"/>
      <c r="Z34" s="358"/>
      <c r="AA34" s="358"/>
      <c r="AB34" s="67">
        <f>SUM(T34)</f>
        <v>0</v>
      </c>
      <c r="AC34" s="383">
        <v>0</v>
      </c>
      <c r="AD34" s="358"/>
      <c r="AE34" s="358"/>
      <c r="AF34" s="358"/>
      <c r="AG34" s="358"/>
      <c r="AH34" s="358"/>
      <c r="AI34" s="358"/>
      <c r="AJ34" s="359"/>
      <c r="AK34" s="159">
        <f t="shared" si="12"/>
        <v>0</v>
      </c>
      <c r="AL34" s="357">
        <v>0</v>
      </c>
      <c r="AM34" s="358"/>
      <c r="AN34" s="358"/>
      <c r="AO34" s="358"/>
      <c r="AP34" s="358"/>
      <c r="AQ34" s="358"/>
      <c r="AR34" s="358"/>
      <c r="AS34" s="359"/>
      <c r="AT34" s="159">
        <f t="shared" si="9"/>
        <v>0</v>
      </c>
      <c r="AU34" s="357">
        <v>0</v>
      </c>
      <c r="AV34" s="358"/>
      <c r="AW34" s="358"/>
      <c r="AX34" s="358"/>
      <c r="AY34" s="358"/>
      <c r="AZ34" s="358"/>
      <c r="BA34" s="358"/>
      <c r="BB34" s="359"/>
      <c r="BC34" s="159">
        <f t="shared" si="10"/>
        <v>0</v>
      </c>
      <c r="BD34" s="384">
        <v>0</v>
      </c>
      <c r="BE34" s="385"/>
      <c r="BF34" s="385"/>
      <c r="BG34" s="385"/>
      <c r="BH34" s="385"/>
      <c r="BI34" s="385"/>
      <c r="BJ34" s="385"/>
      <c r="BK34" s="386"/>
      <c r="BL34" s="159">
        <f t="shared" si="11"/>
        <v>0</v>
      </c>
      <c r="BM34" s="384"/>
      <c r="BN34" s="385"/>
      <c r="BO34" s="385"/>
      <c r="BP34" s="385"/>
      <c r="BQ34" s="385"/>
      <c r="BR34" s="385"/>
      <c r="BS34" s="385"/>
      <c r="BT34" s="386"/>
      <c r="BU34" s="168">
        <f t="shared" si="0"/>
        <v>0</v>
      </c>
      <c r="BV34" s="384"/>
      <c r="BW34" s="385"/>
      <c r="BX34" s="385"/>
      <c r="BY34" s="385"/>
      <c r="BZ34" s="385"/>
      <c r="CA34" s="385"/>
      <c r="CB34" s="385"/>
      <c r="CC34" s="386"/>
      <c r="CD34" s="168">
        <f t="shared" si="1"/>
        <v>0</v>
      </c>
      <c r="CE34" s="384"/>
      <c r="CF34" s="385"/>
      <c r="CG34" s="385"/>
      <c r="CH34" s="385"/>
      <c r="CI34" s="385"/>
      <c r="CJ34" s="385"/>
      <c r="CK34" s="385"/>
      <c r="CL34" s="386"/>
      <c r="CM34" s="168">
        <f t="shared" si="2"/>
        <v>0</v>
      </c>
      <c r="CN34" s="384"/>
      <c r="CO34" s="385"/>
      <c r="CP34" s="385"/>
      <c r="CQ34" s="385"/>
      <c r="CR34" s="385"/>
      <c r="CS34" s="385"/>
      <c r="CT34" s="385"/>
      <c r="CU34" s="386"/>
      <c r="CV34" s="168">
        <f t="shared" si="3"/>
        <v>0</v>
      </c>
      <c r="CW34" s="384"/>
      <c r="CX34" s="385"/>
      <c r="CY34" s="385"/>
      <c r="CZ34" s="385"/>
      <c r="DA34" s="385"/>
      <c r="DB34" s="385"/>
      <c r="DC34" s="385"/>
      <c r="DD34" s="386"/>
      <c r="DE34" s="168">
        <f t="shared" si="4"/>
        <v>0</v>
      </c>
      <c r="DF34" s="384"/>
      <c r="DG34" s="385"/>
      <c r="DH34" s="385"/>
      <c r="DI34" s="385"/>
      <c r="DJ34" s="385"/>
      <c r="DK34" s="385"/>
      <c r="DL34" s="385"/>
      <c r="DM34" s="386"/>
      <c r="DN34" s="169">
        <f t="shared" si="5"/>
        <v>0</v>
      </c>
      <c r="DO34" s="170">
        <f t="shared" si="6"/>
        <v>0</v>
      </c>
      <c r="DP34" s="171"/>
    </row>
    <row r="35" spans="2:120" ht="132" customHeight="1">
      <c r="B35" s="387" t="s">
        <v>204</v>
      </c>
      <c r="C35" s="387"/>
      <c r="G35" s="388" t="s">
        <v>205</v>
      </c>
      <c r="H35" s="388"/>
      <c r="I35" s="388"/>
      <c r="J35" s="388"/>
      <c r="CW35" s="75"/>
    </row>
    <row r="36" spans="2:120" ht="232.5" customHeight="1">
      <c r="B36" s="382" t="s">
        <v>92</v>
      </c>
      <c r="C36" s="382"/>
      <c r="G36" s="382" t="s">
        <v>93</v>
      </c>
      <c r="H36" s="382"/>
      <c r="I36" s="382"/>
      <c r="J36" s="382"/>
    </row>
  </sheetData>
  <mergeCells count="246">
    <mergeCell ref="CW32:DD32"/>
    <mergeCell ref="DF32:DM32"/>
    <mergeCell ref="CN34:CU34"/>
    <mergeCell ref="CW34:DD34"/>
    <mergeCell ref="DF34:DM34"/>
    <mergeCell ref="B35:C35"/>
    <mergeCell ref="G35:J35"/>
    <mergeCell ref="B31:B32"/>
    <mergeCell ref="C31:C32"/>
    <mergeCell ref="D31:E32"/>
    <mergeCell ref="F31:F32"/>
    <mergeCell ref="G31:G32"/>
    <mergeCell ref="BM31:BT31"/>
    <mergeCell ref="BV31:CC31"/>
    <mergeCell ref="CE31:CL31"/>
    <mergeCell ref="CN31:CU31"/>
    <mergeCell ref="H31:H32"/>
    <mergeCell ref="I31:I32"/>
    <mergeCell ref="CE32:CL32"/>
    <mergeCell ref="CN32:CU32"/>
    <mergeCell ref="B36:C36"/>
    <mergeCell ref="G36:J36"/>
    <mergeCell ref="DF33:DM33"/>
    <mergeCell ref="K34:R34"/>
    <mergeCell ref="T34:AA34"/>
    <mergeCell ref="AC34:AJ34"/>
    <mergeCell ref="AL34:AS34"/>
    <mergeCell ref="AU34:BB34"/>
    <mergeCell ref="BD34:BK34"/>
    <mergeCell ref="BM34:BT34"/>
    <mergeCell ref="BV34:CC34"/>
    <mergeCell ref="CE34:CL34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BV29:CC29"/>
    <mergeCell ref="CE29:CL29"/>
    <mergeCell ref="CN29:CU29"/>
    <mergeCell ref="CW29:DD29"/>
    <mergeCell ref="DF29:DM29"/>
    <mergeCell ref="BM29:BT29"/>
    <mergeCell ref="B33:B34"/>
    <mergeCell ref="C33:C34"/>
    <mergeCell ref="D33:E34"/>
    <mergeCell ref="F33:F34"/>
    <mergeCell ref="G33:G34"/>
    <mergeCell ref="H33:H34"/>
    <mergeCell ref="CW31:DD31"/>
    <mergeCell ref="DF31:DM31"/>
    <mergeCell ref="K32:R32"/>
    <mergeCell ref="T32:AA32"/>
    <mergeCell ref="AC32:AJ32"/>
    <mergeCell ref="AL32:AS32"/>
    <mergeCell ref="AU32:BB32"/>
    <mergeCell ref="BD32:BK32"/>
    <mergeCell ref="BM32:BT32"/>
    <mergeCell ref="BV32:CC32"/>
    <mergeCell ref="AU31:BB31"/>
    <mergeCell ref="BD31:BK31"/>
    <mergeCell ref="T29:AA29"/>
    <mergeCell ref="AC29:AJ29"/>
    <mergeCell ref="AL29:AS29"/>
    <mergeCell ref="AU29:BB29"/>
    <mergeCell ref="K31:R31"/>
    <mergeCell ref="T31:AA31"/>
    <mergeCell ref="AC31:AJ31"/>
    <mergeCell ref="AL31:AS31"/>
    <mergeCell ref="B29:B30"/>
    <mergeCell ref="C29:C30"/>
    <mergeCell ref="D29:E30"/>
    <mergeCell ref="F29:F30"/>
    <mergeCell ref="G29:G30"/>
    <mergeCell ref="H29:H30"/>
    <mergeCell ref="I29:I30"/>
    <mergeCell ref="K29:R29"/>
    <mergeCell ref="AU27:BB27"/>
    <mergeCell ref="H27:H28"/>
    <mergeCell ref="I27:I28"/>
    <mergeCell ref="K27:R27"/>
    <mergeCell ref="T27:AA27"/>
    <mergeCell ref="AC27:AJ27"/>
    <mergeCell ref="AL27:AS27"/>
    <mergeCell ref="BV25:CC25"/>
    <mergeCell ref="CE25:CL25"/>
    <mergeCell ref="H25:H26"/>
    <mergeCell ref="I25:I26"/>
    <mergeCell ref="K25:R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T25:AA25"/>
    <mergeCell ref="AC25:AJ25"/>
    <mergeCell ref="AL25:AS25"/>
    <mergeCell ref="AU25:BB25"/>
    <mergeCell ref="BM25:BT25"/>
    <mergeCell ref="CW27:DD27"/>
    <mergeCell ref="DF27:DM27"/>
    <mergeCell ref="BM27:BT27"/>
    <mergeCell ref="BV27:CC27"/>
    <mergeCell ref="CE27:CL27"/>
    <mergeCell ref="CN27:CU27"/>
    <mergeCell ref="B25:B26"/>
    <mergeCell ref="C25:C26"/>
    <mergeCell ref="D25:E26"/>
    <mergeCell ref="F25:F26"/>
    <mergeCell ref="G25:G26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H21:H22"/>
    <mergeCell ref="I21:I22"/>
    <mergeCell ref="K21:R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M21:BT21"/>
    <mergeCell ref="CW23:DD23"/>
    <mergeCell ref="DF23:DM23"/>
    <mergeCell ref="BM23:BT23"/>
    <mergeCell ref="BV23:CC23"/>
    <mergeCell ref="CE23:CL23"/>
    <mergeCell ref="CN23:CU23"/>
    <mergeCell ref="B21:B22"/>
    <mergeCell ref="C21:C22"/>
    <mergeCell ref="D21:E22"/>
    <mergeCell ref="F21:F22"/>
    <mergeCell ref="G21:G22"/>
    <mergeCell ref="AU23:BB23"/>
    <mergeCell ref="H19:H20"/>
    <mergeCell ref="I19:I20"/>
    <mergeCell ref="K19:R19"/>
    <mergeCell ref="T19:AA19"/>
    <mergeCell ref="AC19:AJ19"/>
    <mergeCell ref="AL19:AS19"/>
    <mergeCell ref="BV17:CC17"/>
    <mergeCell ref="CE17:CL17"/>
    <mergeCell ref="CN21:CU21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M19:BT19"/>
    <mergeCell ref="BV19:CC19"/>
    <mergeCell ref="CE19:CL19"/>
    <mergeCell ref="CN19:CU19"/>
    <mergeCell ref="B17:B18"/>
    <mergeCell ref="C17:C18"/>
    <mergeCell ref="D17:E18"/>
    <mergeCell ref="F17:F18"/>
    <mergeCell ref="AU19:BB19"/>
    <mergeCell ref="G17:G18"/>
    <mergeCell ref="H17:H18"/>
    <mergeCell ref="I17:I18"/>
    <mergeCell ref="K17:R17"/>
    <mergeCell ref="AU15:BB15"/>
    <mergeCell ref="DF11:DN13"/>
    <mergeCell ref="DO11:DO14"/>
    <mergeCell ref="DP11:DP14"/>
    <mergeCell ref="J13:J14"/>
    <mergeCell ref="CE11:CM13"/>
    <mergeCell ref="CN11:CV13"/>
    <mergeCell ref="CW15:DD15"/>
    <mergeCell ref="DF15:DM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CN17:CU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D15:BK15"/>
    <mergeCell ref="B2:CX3"/>
    <mergeCell ref="B4:E4"/>
    <mergeCell ref="B5:E5"/>
    <mergeCell ref="B6:E6"/>
    <mergeCell ref="G6:G7"/>
    <mergeCell ref="H6:H7"/>
    <mergeCell ref="B7:E7"/>
    <mergeCell ref="B8:E8"/>
    <mergeCell ref="B9:E9"/>
    <mergeCell ref="K9:CX10"/>
    <mergeCell ref="B10:B14"/>
    <mergeCell ref="C10:C14"/>
    <mergeCell ref="D10:E14"/>
    <mergeCell ref="F10:F14"/>
    <mergeCell ref="G10:G14"/>
    <mergeCell ref="H10:I10"/>
    <mergeCell ref="J10:J12"/>
    <mergeCell ref="CW11:DE13"/>
  </mergeCells>
  <pageMargins left="0.25" right="0.25" top="0.34" bottom="0.34" header="0.3" footer="0.3"/>
  <pageSetup paperSize="5" scale="10" orientation="landscape" r:id="rId1"/>
  <headerFooter>
    <oddFooter>&amp;R&amp;10F-PEM-07-00 
DIF Guadalajara
Pág.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P58"/>
  <sheetViews>
    <sheetView view="pageBreakPreview" topLeftCell="D3" zoomScale="17" zoomScaleNormal="90" zoomScaleSheetLayoutView="17" workbookViewId="0">
      <selection activeCell="BD30" sqref="BD30:BK30"/>
    </sheetView>
  </sheetViews>
  <sheetFormatPr baseColWidth="10" defaultColWidth="10.7109375" defaultRowHeight="15"/>
  <cols>
    <col min="1" max="1" width="6.5703125" style="172" customWidth="1"/>
    <col min="2" max="2" width="131.28515625" style="173" customWidth="1"/>
    <col min="3" max="3" width="69.42578125" style="173" customWidth="1"/>
    <col min="4" max="4" width="34.7109375" style="173" customWidth="1"/>
    <col min="5" max="5" width="34.5703125" style="173" customWidth="1"/>
    <col min="6" max="6" width="60.140625" style="173" customWidth="1"/>
    <col min="7" max="7" width="51.7109375" style="173" customWidth="1"/>
    <col min="8" max="8" width="87.5703125" style="173" customWidth="1"/>
    <col min="9" max="9" width="69" style="173" customWidth="1"/>
    <col min="10" max="10" width="66" style="173" customWidth="1"/>
    <col min="11" max="12" width="30.7109375" style="174" hidden="1" customWidth="1"/>
    <col min="13" max="19" width="30.7109375" style="175" hidden="1" customWidth="1"/>
    <col min="20" max="36" width="30.7109375" style="172" hidden="1" customWidth="1"/>
    <col min="37" max="37" width="19.5703125" style="172" hidden="1" customWidth="1"/>
    <col min="38" max="55" width="30.7109375" style="172" hidden="1" customWidth="1"/>
    <col min="56" max="63" width="30.7109375" style="172" customWidth="1"/>
    <col min="64" max="64" width="42" style="172" customWidth="1"/>
    <col min="65" max="118" width="30.7109375" style="172" hidden="1" customWidth="1"/>
    <col min="119" max="119" width="60.7109375" style="172" customWidth="1"/>
    <col min="120" max="120" width="92.7109375" style="172" customWidth="1"/>
    <col min="121" max="16384" width="10.7109375" style="172"/>
  </cols>
  <sheetData>
    <row r="2" spans="2:120" ht="15" customHeight="1">
      <c r="B2" s="389" t="s">
        <v>206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389"/>
      <c r="BF2" s="389"/>
      <c r="BG2" s="389"/>
      <c r="BH2" s="389"/>
      <c r="BI2" s="389"/>
      <c r="BJ2" s="389"/>
      <c r="BK2" s="389"/>
      <c r="BL2" s="389"/>
      <c r="BM2" s="389"/>
      <c r="BN2" s="389"/>
      <c r="BO2" s="389"/>
      <c r="BP2" s="389"/>
      <c r="BQ2" s="389"/>
      <c r="BR2" s="389"/>
      <c r="BS2" s="389"/>
      <c r="BT2" s="389"/>
      <c r="BU2" s="389"/>
      <c r="BV2" s="389"/>
      <c r="BW2" s="389"/>
      <c r="BX2" s="389"/>
      <c r="BY2" s="389"/>
      <c r="BZ2" s="389"/>
      <c r="CA2" s="389"/>
      <c r="CB2" s="389"/>
      <c r="CC2" s="389"/>
      <c r="CD2" s="389"/>
      <c r="CE2" s="389"/>
      <c r="CF2" s="389"/>
      <c r="CG2" s="389"/>
      <c r="CH2" s="389"/>
      <c r="CI2" s="389"/>
      <c r="CJ2" s="389"/>
      <c r="CK2" s="389"/>
      <c r="CL2" s="389"/>
      <c r="CM2" s="389"/>
      <c r="CN2" s="389"/>
      <c r="CO2" s="389"/>
      <c r="CP2" s="389"/>
      <c r="CQ2" s="389"/>
      <c r="CR2" s="389"/>
      <c r="CS2" s="389"/>
      <c r="CT2" s="389"/>
      <c r="CU2" s="389"/>
      <c r="CV2" s="389"/>
      <c r="CW2" s="389"/>
      <c r="CX2" s="389"/>
      <c r="CY2" s="389"/>
      <c r="CZ2" s="389"/>
      <c r="DA2" s="389"/>
      <c r="DB2" s="389"/>
      <c r="DC2" s="389"/>
      <c r="DD2" s="389"/>
      <c r="DE2" s="389"/>
      <c r="DF2" s="389"/>
      <c r="DG2" s="389"/>
      <c r="DH2" s="389"/>
      <c r="DI2" s="389"/>
      <c r="DJ2" s="389"/>
      <c r="DK2" s="389"/>
      <c r="DL2" s="389"/>
      <c r="DM2" s="389"/>
      <c r="DN2" s="389"/>
      <c r="DO2" s="389"/>
      <c r="DP2" s="389"/>
    </row>
    <row r="3" spans="2:120" ht="115.5" customHeigh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389"/>
      <c r="BD3" s="389"/>
      <c r="BE3" s="389"/>
      <c r="BF3" s="389"/>
      <c r="BG3" s="389"/>
      <c r="BH3" s="389"/>
      <c r="BI3" s="389"/>
      <c r="BJ3" s="389"/>
      <c r="BK3" s="389"/>
      <c r="BL3" s="389"/>
      <c r="BM3" s="389"/>
      <c r="BN3" s="389"/>
      <c r="BO3" s="389"/>
      <c r="BP3" s="389"/>
      <c r="BQ3" s="389"/>
      <c r="BR3" s="389"/>
      <c r="BS3" s="389"/>
      <c r="BT3" s="389"/>
      <c r="BU3" s="389"/>
      <c r="BV3" s="389"/>
      <c r="BW3" s="389"/>
      <c r="BX3" s="389"/>
      <c r="BY3" s="389"/>
      <c r="BZ3" s="389"/>
      <c r="CA3" s="389"/>
      <c r="CB3" s="389"/>
      <c r="CC3" s="389"/>
      <c r="CD3" s="389"/>
      <c r="CE3" s="389"/>
      <c r="CF3" s="389"/>
      <c r="CG3" s="389"/>
      <c r="CH3" s="389"/>
      <c r="CI3" s="389"/>
      <c r="CJ3" s="389"/>
      <c r="CK3" s="389"/>
      <c r="CL3" s="389"/>
      <c r="CM3" s="389"/>
      <c r="CN3" s="389"/>
      <c r="CO3" s="389"/>
      <c r="CP3" s="389"/>
      <c r="CQ3" s="389"/>
      <c r="CR3" s="389"/>
      <c r="CS3" s="389"/>
      <c r="CT3" s="389"/>
      <c r="CU3" s="389"/>
      <c r="CV3" s="389"/>
      <c r="CW3" s="389"/>
      <c r="CX3" s="389"/>
      <c r="CY3" s="389"/>
      <c r="CZ3" s="389"/>
      <c r="DA3" s="389"/>
      <c r="DB3" s="389"/>
      <c r="DC3" s="389"/>
      <c r="DD3" s="389"/>
      <c r="DE3" s="389"/>
      <c r="DF3" s="389"/>
      <c r="DG3" s="389"/>
      <c r="DH3" s="389"/>
      <c r="DI3" s="389"/>
      <c r="DJ3" s="389"/>
      <c r="DK3" s="389"/>
      <c r="DL3" s="389"/>
      <c r="DM3" s="389"/>
      <c r="DN3" s="389"/>
      <c r="DO3" s="389"/>
      <c r="DP3" s="389"/>
    </row>
    <row r="4" spans="2:120" ht="127.5" customHeight="1">
      <c r="B4" s="390" t="s">
        <v>169</v>
      </c>
      <c r="C4" s="390"/>
      <c r="D4" s="390"/>
      <c r="E4" s="390"/>
      <c r="F4" s="124"/>
    </row>
    <row r="5" spans="2:120" ht="70.150000000000006" customHeight="1">
      <c r="B5" s="391" t="s">
        <v>30</v>
      </c>
      <c r="C5" s="391"/>
      <c r="D5" s="391"/>
      <c r="E5" s="391"/>
      <c r="F5" s="129"/>
      <c r="H5" s="392" t="s">
        <v>23</v>
      </c>
      <c r="I5" s="176" t="s">
        <v>24</v>
      </c>
      <c r="J5" s="177"/>
      <c r="K5" s="178"/>
      <c r="L5" s="178"/>
      <c r="P5" s="179"/>
      <c r="Q5" s="179"/>
      <c r="R5" s="179"/>
      <c r="S5" s="179"/>
      <c r="T5" s="180"/>
      <c r="U5" s="180"/>
    </row>
    <row r="6" spans="2:120" ht="87" customHeight="1">
      <c r="B6" s="393" t="s">
        <v>19</v>
      </c>
      <c r="C6" s="393"/>
      <c r="D6" s="393"/>
      <c r="E6" s="393"/>
      <c r="F6" s="124"/>
      <c r="G6" s="173" t="s">
        <v>207</v>
      </c>
      <c r="H6" s="392"/>
      <c r="I6" s="181" t="s">
        <v>26</v>
      </c>
      <c r="J6" s="182"/>
      <c r="P6" s="179"/>
      <c r="Q6" s="179"/>
      <c r="R6" s="179"/>
      <c r="S6" s="179"/>
      <c r="T6" s="183"/>
      <c r="U6" s="183"/>
    </row>
    <row r="7" spans="2:120" ht="76.900000000000006" customHeight="1">
      <c r="B7" s="391" t="s">
        <v>31</v>
      </c>
      <c r="C7" s="391"/>
      <c r="D7" s="391"/>
      <c r="E7" s="391"/>
      <c r="F7" s="129"/>
      <c r="I7" s="184"/>
      <c r="P7" s="179"/>
      <c r="Q7" s="179"/>
      <c r="R7" s="179"/>
      <c r="S7" s="179"/>
      <c r="T7" s="180"/>
      <c r="U7" s="180"/>
    </row>
    <row r="8" spans="2:120" ht="77.650000000000006" customHeight="1">
      <c r="B8" s="393" t="s">
        <v>32</v>
      </c>
      <c r="C8" s="393"/>
      <c r="D8" s="393"/>
      <c r="E8" s="393"/>
      <c r="F8" s="124"/>
      <c r="P8" s="179"/>
      <c r="Q8" s="179"/>
      <c r="R8" s="179"/>
      <c r="S8" s="179"/>
      <c r="T8" s="180"/>
      <c r="U8" s="180"/>
    </row>
    <row r="9" spans="2:120" ht="60">
      <c r="B9" s="391" t="s">
        <v>33</v>
      </c>
      <c r="C9" s="391"/>
      <c r="D9" s="391"/>
      <c r="E9" s="391"/>
      <c r="F9" s="129"/>
      <c r="K9" s="394" t="s">
        <v>208</v>
      </c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4"/>
      <c r="AY9" s="394"/>
      <c r="AZ9" s="394"/>
      <c r="BA9" s="394"/>
      <c r="BB9" s="394"/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394"/>
      <c r="BT9" s="394"/>
      <c r="BU9" s="394"/>
      <c r="BV9" s="394"/>
      <c r="BW9" s="394"/>
      <c r="BX9" s="394"/>
      <c r="BY9" s="394"/>
      <c r="BZ9" s="394"/>
      <c r="CA9" s="394"/>
      <c r="CB9" s="394"/>
      <c r="CC9" s="394"/>
      <c r="CD9" s="394"/>
      <c r="CE9" s="394"/>
      <c r="CF9" s="394"/>
      <c r="CG9" s="394"/>
      <c r="CH9" s="394"/>
      <c r="CI9" s="394"/>
      <c r="CJ9" s="394"/>
      <c r="CK9" s="394"/>
      <c r="CL9" s="394"/>
      <c r="CM9" s="394"/>
      <c r="CN9" s="394"/>
      <c r="CO9" s="394"/>
      <c r="CP9" s="394"/>
      <c r="CQ9" s="394"/>
      <c r="CR9" s="394"/>
      <c r="CS9" s="394"/>
      <c r="CT9" s="394"/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394"/>
      <c r="DF9" s="394"/>
      <c r="DG9" s="394"/>
      <c r="DH9" s="394"/>
      <c r="DI9" s="394"/>
      <c r="DJ9" s="394"/>
      <c r="DK9" s="394"/>
      <c r="DL9" s="394"/>
      <c r="DM9" s="394"/>
      <c r="DN9" s="394"/>
      <c r="DO9" s="394"/>
      <c r="DP9" s="394"/>
    </row>
    <row r="10" spans="2:120" ht="70.5" customHeight="1">
      <c r="B10" s="272" t="s">
        <v>35</v>
      </c>
      <c r="C10" s="272" t="s">
        <v>36</v>
      </c>
      <c r="D10" s="396" t="s">
        <v>37</v>
      </c>
      <c r="E10" s="397"/>
      <c r="F10" s="272" t="s">
        <v>38</v>
      </c>
      <c r="G10" s="272" t="s">
        <v>39</v>
      </c>
      <c r="H10" s="402" t="s">
        <v>40</v>
      </c>
      <c r="I10" s="402"/>
      <c r="J10" s="403" t="s">
        <v>41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</row>
    <row r="11" spans="2:120" ht="14.65" customHeight="1">
      <c r="B11" s="273"/>
      <c r="C11" s="273"/>
      <c r="D11" s="398"/>
      <c r="E11" s="399"/>
      <c r="F11" s="273"/>
      <c r="G11" s="273"/>
      <c r="H11" s="411" t="s">
        <v>42</v>
      </c>
      <c r="I11" s="411" t="s">
        <v>43</v>
      </c>
      <c r="J11" s="404"/>
      <c r="K11" s="289" t="s">
        <v>44</v>
      </c>
      <c r="L11" s="290"/>
      <c r="M11" s="290"/>
      <c r="N11" s="290"/>
      <c r="O11" s="290"/>
      <c r="P11" s="290"/>
      <c r="Q11" s="290"/>
      <c r="R11" s="290"/>
      <c r="S11" s="291"/>
      <c r="T11" s="289" t="s">
        <v>45</v>
      </c>
      <c r="U11" s="290"/>
      <c r="V11" s="290"/>
      <c r="W11" s="290"/>
      <c r="X11" s="290"/>
      <c r="Y11" s="290"/>
      <c r="Z11" s="290"/>
      <c r="AA11" s="290"/>
      <c r="AB11" s="291"/>
      <c r="AC11" s="289" t="s">
        <v>46</v>
      </c>
      <c r="AD11" s="290"/>
      <c r="AE11" s="290"/>
      <c r="AF11" s="290"/>
      <c r="AG11" s="290"/>
      <c r="AH11" s="290"/>
      <c r="AI11" s="290"/>
      <c r="AJ11" s="290"/>
      <c r="AK11" s="291"/>
      <c r="AL11" s="289" t="s">
        <v>47</v>
      </c>
      <c r="AM11" s="290"/>
      <c r="AN11" s="290"/>
      <c r="AO11" s="290"/>
      <c r="AP11" s="290"/>
      <c r="AQ11" s="290"/>
      <c r="AR11" s="290"/>
      <c r="AS11" s="290"/>
      <c r="AT11" s="291"/>
      <c r="AU11" s="289" t="s">
        <v>48</v>
      </c>
      <c r="AV11" s="290"/>
      <c r="AW11" s="290"/>
      <c r="AX11" s="290"/>
      <c r="AY11" s="290"/>
      <c r="AZ11" s="290"/>
      <c r="BA11" s="290"/>
      <c r="BB11" s="290"/>
      <c r="BC11" s="291"/>
      <c r="BD11" s="289" t="s">
        <v>49</v>
      </c>
      <c r="BE11" s="290"/>
      <c r="BF11" s="290"/>
      <c r="BG11" s="290"/>
      <c r="BH11" s="290"/>
      <c r="BI11" s="290"/>
      <c r="BJ11" s="290"/>
      <c r="BK11" s="290"/>
      <c r="BL11" s="291"/>
      <c r="BM11" s="289" t="s">
        <v>50</v>
      </c>
      <c r="BN11" s="290"/>
      <c r="BO11" s="290"/>
      <c r="BP11" s="290"/>
      <c r="BQ11" s="290"/>
      <c r="BR11" s="290"/>
      <c r="BS11" s="290"/>
      <c r="BT11" s="290"/>
      <c r="BU11" s="291"/>
      <c r="BV11" s="289" t="s">
        <v>51</v>
      </c>
      <c r="BW11" s="290"/>
      <c r="BX11" s="290"/>
      <c r="BY11" s="290"/>
      <c r="BZ11" s="290"/>
      <c r="CA11" s="290"/>
      <c r="CB11" s="290"/>
      <c r="CC11" s="290"/>
      <c r="CD11" s="291"/>
      <c r="CE11" s="289" t="s">
        <v>52</v>
      </c>
      <c r="CF11" s="290"/>
      <c r="CG11" s="290"/>
      <c r="CH11" s="290"/>
      <c r="CI11" s="290"/>
      <c r="CJ11" s="290"/>
      <c r="CK11" s="290"/>
      <c r="CL11" s="290"/>
      <c r="CM11" s="291"/>
      <c r="CN11" s="289" t="s">
        <v>53</v>
      </c>
      <c r="CO11" s="290"/>
      <c r="CP11" s="290"/>
      <c r="CQ11" s="290"/>
      <c r="CR11" s="290"/>
      <c r="CS11" s="290"/>
      <c r="CT11" s="290"/>
      <c r="CU11" s="290"/>
      <c r="CV11" s="291"/>
      <c r="CW11" s="289" t="s">
        <v>54</v>
      </c>
      <c r="CX11" s="290"/>
      <c r="CY11" s="290"/>
      <c r="CZ11" s="290"/>
      <c r="DA11" s="290"/>
      <c r="DB11" s="290"/>
      <c r="DC11" s="290"/>
      <c r="DD11" s="290"/>
      <c r="DE11" s="291"/>
      <c r="DF11" s="289" t="s">
        <v>55</v>
      </c>
      <c r="DG11" s="290"/>
      <c r="DH11" s="290"/>
      <c r="DI11" s="290"/>
      <c r="DJ11" s="290"/>
      <c r="DK11" s="290"/>
      <c r="DL11" s="290"/>
      <c r="DM11" s="290"/>
      <c r="DN11" s="291"/>
      <c r="DO11" s="406" t="s">
        <v>56</v>
      </c>
      <c r="DP11" s="304" t="s">
        <v>57</v>
      </c>
    </row>
    <row r="12" spans="2:120" ht="85.15" customHeight="1">
      <c r="B12" s="273"/>
      <c r="C12" s="273"/>
      <c r="D12" s="398"/>
      <c r="E12" s="399"/>
      <c r="F12" s="273"/>
      <c r="G12" s="273"/>
      <c r="H12" s="411"/>
      <c r="I12" s="411"/>
      <c r="J12" s="405"/>
      <c r="K12" s="292"/>
      <c r="L12" s="293"/>
      <c r="M12" s="293"/>
      <c r="N12" s="293"/>
      <c r="O12" s="293"/>
      <c r="P12" s="293"/>
      <c r="Q12" s="293"/>
      <c r="R12" s="293"/>
      <c r="S12" s="294"/>
      <c r="T12" s="292"/>
      <c r="U12" s="293"/>
      <c r="V12" s="293"/>
      <c r="W12" s="293"/>
      <c r="X12" s="293"/>
      <c r="Y12" s="293"/>
      <c r="Z12" s="293"/>
      <c r="AA12" s="293"/>
      <c r="AB12" s="294"/>
      <c r="AC12" s="292"/>
      <c r="AD12" s="293"/>
      <c r="AE12" s="293"/>
      <c r="AF12" s="293"/>
      <c r="AG12" s="293"/>
      <c r="AH12" s="293"/>
      <c r="AI12" s="293"/>
      <c r="AJ12" s="293"/>
      <c r="AK12" s="294"/>
      <c r="AL12" s="292"/>
      <c r="AM12" s="293"/>
      <c r="AN12" s="293"/>
      <c r="AO12" s="293"/>
      <c r="AP12" s="293"/>
      <c r="AQ12" s="293"/>
      <c r="AR12" s="293"/>
      <c r="AS12" s="293"/>
      <c r="AT12" s="294"/>
      <c r="AU12" s="292"/>
      <c r="AV12" s="293"/>
      <c r="AW12" s="293"/>
      <c r="AX12" s="293"/>
      <c r="AY12" s="293"/>
      <c r="AZ12" s="293"/>
      <c r="BA12" s="293"/>
      <c r="BB12" s="293"/>
      <c r="BC12" s="294"/>
      <c r="BD12" s="292"/>
      <c r="BE12" s="293"/>
      <c r="BF12" s="293"/>
      <c r="BG12" s="293"/>
      <c r="BH12" s="293"/>
      <c r="BI12" s="293"/>
      <c r="BJ12" s="293"/>
      <c r="BK12" s="293"/>
      <c r="BL12" s="294"/>
      <c r="BM12" s="292"/>
      <c r="BN12" s="293"/>
      <c r="BO12" s="293"/>
      <c r="BP12" s="293"/>
      <c r="BQ12" s="293"/>
      <c r="BR12" s="293"/>
      <c r="BS12" s="293"/>
      <c r="BT12" s="293"/>
      <c r="BU12" s="294"/>
      <c r="BV12" s="292"/>
      <c r="BW12" s="293"/>
      <c r="BX12" s="293"/>
      <c r="BY12" s="293"/>
      <c r="BZ12" s="293"/>
      <c r="CA12" s="293"/>
      <c r="CB12" s="293"/>
      <c r="CC12" s="293"/>
      <c r="CD12" s="294"/>
      <c r="CE12" s="292"/>
      <c r="CF12" s="293"/>
      <c r="CG12" s="293"/>
      <c r="CH12" s="293"/>
      <c r="CI12" s="293"/>
      <c r="CJ12" s="293"/>
      <c r="CK12" s="293"/>
      <c r="CL12" s="293"/>
      <c r="CM12" s="294"/>
      <c r="CN12" s="292"/>
      <c r="CO12" s="293"/>
      <c r="CP12" s="293"/>
      <c r="CQ12" s="293"/>
      <c r="CR12" s="293"/>
      <c r="CS12" s="293"/>
      <c r="CT12" s="293"/>
      <c r="CU12" s="293"/>
      <c r="CV12" s="294"/>
      <c r="CW12" s="292"/>
      <c r="CX12" s="293"/>
      <c r="CY12" s="293"/>
      <c r="CZ12" s="293"/>
      <c r="DA12" s="293"/>
      <c r="DB12" s="293"/>
      <c r="DC12" s="293"/>
      <c r="DD12" s="293"/>
      <c r="DE12" s="294"/>
      <c r="DF12" s="292"/>
      <c r="DG12" s="293"/>
      <c r="DH12" s="293"/>
      <c r="DI12" s="293"/>
      <c r="DJ12" s="293"/>
      <c r="DK12" s="293"/>
      <c r="DL12" s="293"/>
      <c r="DM12" s="293"/>
      <c r="DN12" s="294"/>
      <c r="DO12" s="407"/>
      <c r="DP12" s="305"/>
    </row>
    <row r="13" spans="2:120" ht="78" customHeight="1">
      <c r="B13" s="273"/>
      <c r="C13" s="273"/>
      <c r="D13" s="398"/>
      <c r="E13" s="399"/>
      <c r="F13" s="273"/>
      <c r="G13" s="273"/>
      <c r="H13" s="411"/>
      <c r="I13" s="411"/>
      <c r="J13" s="282" t="s">
        <v>58</v>
      </c>
      <c r="K13" s="295"/>
      <c r="L13" s="296"/>
      <c r="M13" s="296"/>
      <c r="N13" s="296"/>
      <c r="O13" s="296"/>
      <c r="P13" s="296"/>
      <c r="Q13" s="296"/>
      <c r="R13" s="296"/>
      <c r="S13" s="297"/>
      <c r="T13" s="295"/>
      <c r="U13" s="296"/>
      <c r="V13" s="296"/>
      <c r="W13" s="296"/>
      <c r="X13" s="296"/>
      <c r="Y13" s="296"/>
      <c r="Z13" s="296"/>
      <c r="AA13" s="296"/>
      <c r="AB13" s="297"/>
      <c r="AC13" s="295"/>
      <c r="AD13" s="296"/>
      <c r="AE13" s="296"/>
      <c r="AF13" s="296"/>
      <c r="AG13" s="296"/>
      <c r="AH13" s="296"/>
      <c r="AI13" s="296"/>
      <c r="AJ13" s="296"/>
      <c r="AK13" s="297"/>
      <c r="AL13" s="295"/>
      <c r="AM13" s="296"/>
      <c r="AN13" s="296"/>
      <c r="AO13" s="296"/>
      <c r="AP13" s="296"/>
      <c r="AQ13" s="296"/>
      <c r="AR13" s="296"/>
      <c r="AS13" s="296"/>
      <c r="AT13" s="297"/>
      <c r="AU13" s="295"/>
      <c r="AV13" s="296"/>
      <c r="AW13" s="296"/>
      <c r="AX13" s="296"/>
      <c r="AY13" s="296"/>
      <c r="AZ13" s="296"/>
      <c r="BA13" s="296"/>
      <c r="BB13" s="296"/>
      <c r="BC13" s="297"/>
      <c r="BD13" s="295"/>
      <c r="BE13" s="296"/>
      <c r="BF13" s="296"/>
      <c r="BG13" s="296"/>
      <c r="BH13" s="296"/>
      <c r="BI13" s="296"/>
      <c r="BJ13" s="296"/>
      <c r="BK13" s="296"/>
      <c r="BL13" s="297"/>
      <c r="BM13" s="295"/>
      <c r="BN13" s="296"/>
      <c r="BO13" s="296"/>
      <c r="BP13" s="296"/>
      <c r="BQ13" s="296"/>
      <c r="BR13" s="296"/>
      <c r="BS13" s="296"/>
      <c r="BT13" s="296"/>
      <c r="BU13" s="297"/>
      <c r="BV13" s="295"/>
      <c r="BW13" s="296"/>
      <c r="BX13" s="296"/>
      <c r="BY13" s="296"/>
      <c r="BZ13" s="296"/>
      <c r="CA13" s="296"/>
      <c r="CB13" s="296"/>
      <c r="CC13" s="296"/>
      <c r="CD13" s="297"/>
      <c r="CE13" s="295"/>
      <c r="CF13" s="296"/>
      <c r="CG13" s="296"/>
      <c r="CH13" s="296"/>
      <c r="CI13" s="296"/>
      <c r="CJ13" s="296"/>
      <c r="CK13" s="296"/>
      <c r="CL13" s="296"/>
      <c r="CM13" s="297"/>
      <c r="CN13" s="295"/>
      <c r="CO13" s="296"/>
      <c r="CP13" s="296"/>
      <c r="CQ13" s="296"/>
      <c r="CR13" s="296"/>
      <c r="CS13" s="296"/>
      <c r="CT13" s="296"/>
      <c r="CU13" s="296"/>
      <c r="CV13" s="297"/>
      <c r="CW13" s="295"/>
      <c r="CX13" s="296"/>
      <c r="CY13" s="296"/>
      <c r="CZ13" s="296"/>
      <c r="DA13" s="296"/>
      <c r="DB13" s="296"/>
      <c r="DC13" s="296"/>
      <c r="DD13" s="296"/>
      <c r="DE13" s="297"/>
      <c r="DF13" s="295"/>
      <c r="DG13" s="296"/>
      <c r="DH13" s="296"/>
      <c r="DI13" s="296"/>
      <c r="DJ13" s="296"/>
      <c r="DK13" s="296"/>
      <c r="DL13" s="296"/>
      <c r="DM13" s="296"/>
      <c r="DN13" s="297"/>
      <c r="DO13" s="407"/>
      <c r="DP13" s="305"/>
    </row>
    <row r="14" spans="2:120" ht="135.6" customHeight="1">
      <c r="B14" s="273"/>
      <c r="C14" s="273"/>
      <c r="D14" s="400"/>
      <c r="E14" s="401"/>
      <c r="F14" s="273"/>
      <c r="G14" s="273"/>
      <c r="H14" s="412"/>
      <c r="I14" s="412"/>
      <c r="J14" s="283"/>
      <c r="K14" s="185" t="s">
        <v>59</v>
      </c>
      <c r="L14" s="185" t="s">
        <v>60</v>
      </c>
      <c r="M14" s="185" t="s">
        <v>61</v>
      </c>
      <c r="N14" s="185" t="s">
        <v>62</v>
      </c>
      <c r="O14" s="185" t="s">
        <v>63</v>
      </c>
      <c r="P14" s="185" t="s">
        <v>64</v>
      </c>
      <c r="Q14" s="185" t="s">
        <v>65</v>
      </c>
      <c r="R14" s="185" t="s">
        <v>66</v>
      </c>
      <c r="S14" s="185" t="s">
        <v>67</v>
      </c>
      <c r="T14" s="185" t="s">
        <v>59</v>
      </c>
      <c r="U14" s="185" t="s">
        <v>60</v>
      </c>
      <c r="V14" s="185" t="s">
        <v>61</v>
      </c>
      <c r="W14" s="185" t="s">
        <v>62</v>
      </c>
      <c r="X14" s="185" t="s">
        <v>63</v>
      </c>
      <c r="Y14" s="185" t="s">
        <v>64</v>
      </c>
      <c r="Z14" s="185" t="s">
        <v>65</v>
      </c>
      <c r="AA14" s="185" t="s">
        <v>66</v>
      </c>
      <c r="AB14" s="185" t="s">
        <v>67</v>
      </c>
      <c r="AC14" s="185" t="s">
        <v>59</v>
      </c>
      <c r="AD14" s="185" t="s">
        <v>60</v>
      </c>
      <c r="AE14" s="185" t="s">
        <v>61</v>
      </c>
      <c r="AF14" s="185" t="s">
        <v>62</v>
      </c>
      <c r="AG14" s="185" t="s">
        <v>63</v>
      </c>
      <c r="AH14" s="185" t="s">
        <v>64</v>
      </c>
      <c r="AI14" s="185" t="s">
        <v>65</v>
      </c>
      <c r="AJ14" s="185" t="s">
        <v>66</v>
      </c>
      <c r="AK14" s="185" t="s">
        <v>67</v>
      </c>
      <c r="AL14" s="185" t="s">
        <v>59</v>
      </c>
      <c r="AM14" s="185" t="s">
        <v>60</v>
      </c>
      <c r="AN14" s="185" t="s">
        <v>61</v>
      </c>
      <c r="AO14" s="185" t="s">
        <v>62</v>
      </c>
      <c r="AP14" s="185" t="s">
        <v>63</v>
      </c>
      <c r="AQ14" s="185" t="s">
        <v>64</v>
      </c>
      <c r="AR14" s="185" t="s">
        <v>65</v>
      </c>
      <c r="AS14" s="185" t="s">
        <v>66</v>
      </c>
      <c r="AT14" s="185" t="s">
        <v>67</v>
      </c>
      <c r="AU14" s="185" t="s">
        <v>59</v>
      </c>
      <c r="AV14" s="185" t="s">
        <v>60</v>
      </c>
      <c r="AW14" s="185" t="s">
        <v>61</v>
      </c>
      <c r="AX14" s="185" t="s">
        <v>62</v>
      </c>
      <c r="AY14" s="185" t="s">
        <v>63</v>
      </c>
      <c r="AZ14" s="185" t="s">
        <v>64</v>
      </c>
      <c r="BA14" s="185" t="s">
        <v>65</v>
      </c>
      <c r="BB14" s="185" t="s">
        <v>66</v>
      </c>
      <c r="BC14" s="185" t="s">
        <v>67</v>
      </c>
      <c r="BD14" s="185" t="s">
        <v>59</v>
      </c>
      <c r="BE14" s="185" t="s">
        <v>60</v>
      </c>
      <c r="BF14" s="185" t="s">
        <v>61</v>
      </c>
      <c r="BG14" s="185" t="s">
        <v>62</v>
      </c>
      <c r="BH14" s="185" t="s">
        <v>63</v>
      </c>
      <c r="BI14" s="185" t="s">
        <v>64</v>
      </c>
      <c r="BJ14" s="185" t="s">
        <v>65</v>
      </c>
      <c r="BK14" s="185" t="s">
        <v>66</v>
      </c>
      <c r="BL14" s="185" t="s">
        <v>67</v>
      </c>
      <c r="BM14" s="185" t="s">
        <v>59</v>
      </c>
      <c r="BN14" s="185" t="s">
        <v>60</v>
      </c>
      <c r="BO14" s="185" t="s">
        <v>61</v>
      </c>
      <c r="BP14" s="185" t="s">
        <v>62</v>
      </c>
      <c r="BQ14" s="185" t="s">
        <v>63</v>
      </c>
      <c r="BR14" s="185" t="s">
        <v>64</v>
      </c>
      <c r="BS14" s="185" t="s">
        <v>65</v>
      </c>
      <c r="BT14" s="185" t="s">
        <v>66</v>
      </c>
      <c r="BU14" s="185" t="s">
        <v>67</v>
      </c>
      <c r="BV14" s="185" t="s">
        <v>59</v>
      </c>
      <c r="BW14" s="185" t="s">
        <v>60</v>
      </c>
      <c r="BX14" s="185" t="s">
        <v>61</v>
      </c>
      <c r="BY14" s="185" t="s">
        <v>62</v>
      </c>
      <c r="BZ14" s="185" t="s">
        <v>63</v>
      </c>
      <c r="CA14" s="185" t="s">
        <v>64</v>
      </c>
      <c r="CB14" s="185" t="s">
        <v>65</v>
      </c>
      <c r="CC14" s="185" t="s">
        <v>66</v>
      </c>
      <c r="CD14" s="185" t="s">
        <v>67</v>
      </c>
      <c r="CE14" s="185" t="s">
        <v>59</v>
      </c>
      <c r="CF14" s="185" t="s">
        <v>60</v>
      </c>
      <c r="CG14" s="185" t="s">
        <v>61</v>
      </c>
      <c r="CH14" s="185" t="s">
        <v>62</v>
      </c>
      <c r="CI14" s="185" t="s">
        <v>63</v>
      </c>
      <c r="CJ14" s="185" t="s">
        <v>64</v>
      </c>
      <c r="CK14" s="185" t="s">
        <v>65</v>
      </c>
      <c r="CL14" s="185" t="s">
        <v>66</v>
      </c>
      <c r="CM14" s="185" t="s">
        <v>67</v>
      </c>
      <c r="CN14" s="185" t="s">
        <v>59</v>
      </c>
      <c r="CO14" s="185" t="s">
        <v>60</v>
      </c>
      <c r="CP14" s="185" t="s">
        <v>61</v>
      </c>
      <c r="CQ14" s="185" t="s">
        <v>62</v>
      </c>
      <c r="CR14" s="185" t="s">
        <v>63</v>
      </c>
      <c r="CS14" s="185" t="s">
        <v>64</v>
      </c>
      <c r="CT14" s="185" t="s">
        <v>65</v>
      </c>
      <c r="CU14" s="185" t="s">
        <v>66</v>
      </c>
      <c r="CV14" s="185" t="s">
        <v>67</v>
      </c>
      <c r="CW14" s="185" t="s">
        <v>59</v>
      </c>
      <c r="CX14" s="185" t="s">
        <v>60</v>
      </c>
      <c r="CY14" s="185" t="s">
        <v>61</v>
      </c>
      <c r="CZ14" s="185" t="s">
        <v>62</v>
      </c>
      <c r="DA14" s="185" t="s">
        <v>63</v>
      </c>
      <c r="DB14" s="185" t="s">
        <v>64</v>
      </c>
      <c r="DC14" s="185" t="s">
        <v>65</v>
      </c>
      <c r="DD14" s="185" t="s">
        <v>66</v>
      </c>
      <c r="DE14" s="185" t="s">
        <v>67</v>
      </c>
      <c r="DF14" s="185" t="s">
        <v>59</v>
      </c>
      <c r="DG14" s="185" t="s">
        <v>60</v>
      </c>
      <c r="DH14" s="185" t="s">
        <v>61</v>
      </c>
      <c r="DI14" s="185" t="s">
        <v>62</v>
      </c>
      <c r="DJ14" s="185" t="s">
        <v>63</v>
      </c>
      <c r="DK14" s="185" t="s">
        <v>64</v>
      </c>
      <c r="DL14" s="185" t="s">
        <v>65</v>
      </c>
      <c r="DM14" s="185" t="s">
        <v>66</v>
      </c>
      <c r="DN14" s="185" t="s">
        <v>67</v>
      </c>
      <c r="DO14" s="408"/>
      <c r="DP14" s="306"/>
    </row>
    <row r="15" spans="2:120" ht="147.6" hidden="1" customHeight="1">
      <c r="B15" s="409" t="s">
        <v>68</v>
      </c>
      <c r="C15" s="409" t="s">
        <v>69</v>
      </c>
      <c r="D15" s="409" t="s">
        <v>2</v>
      </c>
      <c r="E15" s="409"/>
      <c r="F15" s="409" t="s">
        <v>13</v>
      </c>
      <c r="G15" s="410">
        <v>91</v>
      </c>
      <c r="H15" s="425" t="s">
        <v>209</v>
      </c>
      <c r="I15" s="423">
        <v>30</v>
      </c>
      <c r="J15" s="186" t="s">
        <v>72</v>
      </c>
      <c r="K15" s="413">
        <v>5</v>
      </c>
      <c r="L15" s="414"/>
      <c r="M15" s="414"/>
      <c r="N15" s="414"/>
      <c r="O15" s="414"/>
      <c r="P15" s="414"/>
      <c r="Q15" s="414"/>
      <c r="R15" s="415"/>
      <c r="S15" s="187">
        <f>SUM(K15)</f>
        <v>5</v>
      </c>
      <c r="T15" s="413">
        <v>2</v>
      </c>
      <c r="U15" s="414"/>
      <c r="V15" s="414"/>
      <c r="W15" s="414"/>
      <c r="X15" s="414"/>
      <c r="Y15" s="414"/>
      <c r="Z15" s="414"/>
      <c r="AA15" s="415"/>
      <c r="AB15" s="188">
        <f>SUM(T15)</f>
        <v>2</v>
      </c>
      <c r="AC15" s="413">
        <v>2</v>
      </c>
      <c r="AD15" s="414"/>
      <c r="AE15" s="414"/>
      <c r="AF15" s="414"/>
      <c r="AG15" s="414"/>
      <c r="AH15" s="414"/>
      <c r="AI15" s="414"/>
      <c r="AJ15" s="415"/>
      <c r="AK15" s="188">
        <f>SUM(AC15)</f>
        <v>2</v>
      </c>
      <c r="AL15" s="413">
        <v>2</v>
      </c>
      <c r="AM15" s="414"/>
      <c r="AN15" s="414"/>
      <c r="AO15" s="414"/>
      <c r="AP15" s="414"/>
      <c r="AQ15" s="414"/>
      <c r="AR15" s="414"/>
      <c r="AS15" s="415"/>
      <c r="AT15" s="188">
        <f>SUM(AL15)</f>
        <v>2</v>
      </c>
      <c r="AU15" s="413">
        <v>2</v>
      </c>
      <c r="AV15" s="414"/>
      <c r="AW15" s="414"/>
      <c r="AX15" s="414"/>
      <c r="AY15" s="414"/>
      <c r="AZ15" s="414"/>
      <c r="BA15" s="414"/>
      <c r="BB15" s="415"/>
      <c r="BC15" s="188">
        <f>SUM(AU15)</f>
        <v>2</v>
      </c>
      <c r="BD15" s="413">
        <v>2</v>
      </c>
      <c r="BE15" s="414"/>
      <c r="BF15" s="414"/>
      <c r="BG15" s="414"/>
      <c r="BH15" s="414"/>
      <c r="BI15" s="414"/>
      <c r="BJ15" s="414"/>
      <c r="BK15" s="415"/>
      <c r="BL15" s="188">
        <f>SUM(BD15)</f>
        <v>2</v>
      </c>
      <c r="BM15" s="413">
        <v>2</v>
      </c>
      <c r="BN15" s="414"/>
      <c r="BO15" s="414"/>
      <c r="BP15" s="414"/>
      <c r="BQ15" s="414"/>
      <c r="BR15" s="414"/>
      <c r="BS15" s="414"/>
      <c r="BT15" s="415"/>
      <c r="BU15" s="188">
        <f>SUM(BM15)</f>
        <v>2</v>
      </c>
      <c r="BV15" s="413">
        <v>2</v>
      </c>
      <c r="BW15" s="414"/>
      <c r="BX15" s="414"/>
      <c r="BY15" s="414"/>
      <c r="BZ15" s="414"/>
      <c r="CA15" s="414"/>
      <c r="CB15" s="414"/>
      <c r="CC15" s="415"/>
      <c r="CD15" s="188">
        <f>SUM(BV15)</f>
        <v>2</v>
      </c>
      <c r="CE15" s="413">
        <v>2</v>
      </c>
      <c r="CF15" s="414"/>
      <c r="CG15" s="414"/>
      <c r="CH15" s="414"/>
      <c r="CI15" s="414"/>
      <c r="CJ15" s="414"/>
      <c r="CK15" s="414"/>
      <c r="CL15" s="415"/>
      <c r="CM15" s="188">
        <f>SUM(CE15)</f>
        <v>2</v>
      </c>
      <c r="CN15" s="413">
        <v>3</v>
      </c>
      <c r="CO15" s="414"/>
      <c r="CP15" s="414"/>
      <c r="CQ15" s="414"/>
      <c r="CR15" s="414"/>
      <c r="CS15" s="414"/>
      <c r="CT15" s="414"/>
      <c r="CU15" s="415"/>
      <c r="CV15" s="188">
        <f>SUM(CN15)</f>
        <v>3</v>
      </c>
      <c r="CW15" s="413">
        <v>3</v>
      </c>
      <c r="CX15" s="414"/>
      <c r="CY15" s="414"/>
      <c r="CZ15" s="414"/>
      <c r="DA15" s="414"/>
      <c r="DB15" s="414"/>
      <c r="DC15" s="414"/>
      <c r="DD15" s="415"/>
      <c r="DE15" s="188">
        <f>SUM(CW15)</f>
        <v>3</v>
      </c>
      <c r="DF15" s="413">
        <v>3</v>
      </c>
      <c r="DG15" s="414"/>
      <c r="DH15" s="414"/>
      <c r="DI15" s="414"/>
      <c r="DJ15" s="414"/>
      <c r="DK15" s="414"/>
      <c r="DL15" s="414"/>
      <c r="DM15" s="415"/>
      <c r="DN15" s="188">
        <f>SUM(DF15)</f>
        <v>3</v>
      </c>
      <c r="DO15" s="189">
        <f>SUM(K15)</f>
        <v>5</v>
      </c>
      <c r="DP15" s="21"/>
    </row>
    <row r="16" spans="2:120" ht="212.25" customHeight="1">
      <c r="B16" s="409"/>
      <c r="C16" s="409"/>
      <c r="D16" s="409"/>
      <c r="E16" s="409"/>
      <c r="F16" s="409"/>
      <c r="G16" s="409"/>
      <c r="H16" s="425"/>
      <c r="I16" s="424"/>
      <c r="J16" s="190" t="s">
        <v>73</v>
      </c>
      <c r="K16" s="37">
        <v>10</v>
      </c>
      <c r="L16" s="37">
        <v>5</v>
      </c>
      <c r="M16" s="37">
        <v>0</v>
      </c>
      <c r="N16" s="37">
        <v>0</v>
      </c>
      <c r="O16" s="37">
        <v>7</v>
      </c>
      <c r="P16" s="37">
        <v>0</v>
      </c>
      <c r="Q16" s="37">
        <v>0</v>
      </c>
      <c r="R16" s="37">
        <v>0</v>
      </c>
      <c r="S16" s="187">
        <f>SUM(K16:R16)</f>
        <v>22</v>
      </c>
      <c r="T16" s="37">
        <v>0</v>
      </c>
      <c r="U16" s="37">
        <v>2</v>
      </c>
      <c r="V16" s="37">
        <v>1</v>
      </c>
      <c r="W16" s="37">
        <v>0</v>
      </c>
      <c r="X16" s="37">
        <v>1</v>
      </c>
      <c r="Y16" s="37">
        <v>0</v>
      </c>
      <c r="Z16" s="37">
        <v>0</v>
      </c>
      <c r="AA16" s="37">
        <v>0</v>
      </c>
      <c r="AB16" s="37">
        <f>SUM(T16)+U16+V16+W16+X16+Y16+Z16+AA16</f>
        <v>4</v>
      </c>
      <c r="AC16" s="37">
        <v>1</v>
      </c>
      <c r="AD16" s="37">
        <v>2</v>
      </c>
      <c r="AE16" s="37">
        <v>3</v>
      </c>
      <c r="AF16" s="37">
        <v>1</v>
      </c>
      <c r="AG16" s="37">
        <v>2</v>
      </c>
      <c r="AH16" s="37">
        <v>0</v>
      </c>
      <c r="AI16" s="37">
        <v>0</v>
      </c>
      <c r="AJ16" s="37">
        <v>0</v>
      </c>
      <c r="AK16" s="37">
        <f>SUM(AC16:AJ16)</f>
        <v>9</v>
      </c>
      <c r="AL16" s="37">
        <v>4</v>
      </c>
      <c r="AM16" s="37">
        <v>4</v>
      </c>
      <c r="AN16" s="37">
        <v>0</v>
      </c>
      <c r="AO16" s="37">
        <v>2</v>
      </c>
      <c r="AP16" s="37">
        <v>3</v>
      </c>
      <c r="AQ16" s="37">
        <v>0</v>
      </c>
      <c r="AR16" s="37">
        <v>0</v>
      </c>
      <c r="AS16" s="37">
        <v>0</v>
      </c>
      <c r="AT16" s="37">
        <f>SUM(AL16:AS16)</f>
        <v>13</v>
      </c>
      <c r="AU16" s="37">
        <v>0</v>
      </c>
      <c r="AV16" s="37">
        <v>1</v>
      </c>
      <c r="AW16" s="37">
        <v>0</v>
      </c>
      <c r="AX16" s="37">
        <v>0</v>
      </c>
      <c r="AY16" s="37">
        <v>1</v>
      </c>
      <c r="AZ16" s="37">
        <v>0</v>
      </c>
      <c r="BA16" s="37">
        <v>0</v>
      </c>
      <c r="BB16" s="37">
        <v>0</v>
      </c>
      <c r="BC16" s="37">
        <f>SUM(AU16:BB16)</f>
        <v>2</v>
      </c>
      <c r="BD16" s="37">
        <v>1</v>
      </c>
      <c r="BE16" s="37">
        <v>5</v>
      </c>
      <c r="BF16" s="37">
        <v>1</v>
      </c>
      <c r="BG16" s="37">
        <v>0</v>
      </c>
      <c r="BH16" s="37">
        <v>3</v>
      </c>
      <c r="BI16" s="37">
        <v>0</v>
      </c>
      <c r="BJ16" s="37">
        <v>0</v>
      </c>
      <c r="BK16" s="37">
        <v>0</v>
      </c>
      <c r="BL16" s="37">
        <f>SUM(BD16:BK16)</f>
        <v>10</v>
      </c>
      <c r="BM16" s="37"/>
      <c r="BN16" s="37"/>
      <c r="BO16" s="37"/>
      <c r="BP16" s="37"/>
      <c r="BQ16" s="37"/>
      <c r="BR16" s="37"/>
      <c r="BS16" s="37"/>
      <c r="BT16" s="37"/>
      <c r="BU16" s="37">
        <f t="shared" ref="BU16:BU30" si="0">SUM(BM16)</f>
        <v>0</v>
      </c>
      <c r="BV16" s="37"/>
      <c r="BW16" s="37"/>
      <c r="BX16" s="37"/>
      <c r="BY16" s="37"/>
      <c r="BZ16" s="37"/>
      <c r="CA16" s="37"/>
      <c r="CB16" s="37"/>
      <c r="CC16" s="37"/>
      <c r="CD16" s="37">
        <f t="shared" ref="CD16:CD30" si="1">SUM(BV16)</f>
        <v>0</v>
      </c>
      <c r="CE16" s="37"/>
      <c r="CF16" s="37"/>
      <c r="CG16" s="37"/>
      <c r="CH16" s="37"/>
      <c r="CI16" s="37"/>
      <c r="CJ16" s="37"/>
      <c r="CK16" s="37"/>
      <c r="CL16" s="37"/>
      <c r="CM16" s="37">
        <f t="shared" ref="CM16:CM30" si="2">SUM(CE16)</f>
        <v>0</v>
      </c>
      <c r="CN16" s="37"/>
      <c r="CO16" s="37"/>
      <c r="CP16" s="37"/>
      <c r="CQ16" s="37"/>
      <c r="CR16" s="37"/>
      <c r="CS16" s="37"/>
      <c r="CT16" s="37"/>
      <c r="CU16" s="37"/>
      <c r="CV16" s="37">
        <f t="shared" ref="CV16:CV30" si="3">SUM(CN16)</f>
        <v>0</v>
      </c>
      <c r="CW16" s="37"/>
      <c r="CX16" s="37"/>
      <c r="CY16" s="37"/>
      <c r="CZ16" s="37"/>
      <c r="DA16" s="37"/>
      <c r="DB16" s="37"/>
      <c r="DC16" s="37"/>
      <c r="DD16" s="37"/>
      <c r="DE16" s="37">
        <f t="shared" ref="DE16:DE30" si="4">SUM(CW16)</f>
        <v>0</v>
      </c>
      <c r="DF16" s="37"/>
      <c r="DG16" s="37"/>
      <c r="DH16" s="37"/>
      <c r="DI16" s="37"/>
      <c r="DJ16" s="37"/>
      <c r="DK16" s="37"/>
      <c r="DL16" s="37"/>
      <c r="DM16" s="37"/>
      <c r="DN16" s="37">
        <f t="shared" ref="DN16:DN30" si="5">SUM(DF16)</f>
        <v>0</v>
      </c>
      <c r="DO16" s="189">
        <f t="shared" ref="DO16:DO22" si="6">S16+AB16+AK16+AT16+BC16+BL16+BU16+CD16++CM16+CV16+DE16+DN16</f>
        <v>60</v>
      </c>
      <c r="DP16" s="191" t="s">
        <v>210</v>
      </c>
    </row>
    <row r="17" spans="2:120" ht="234.75" hidden="1" customHeight="1">
      <c r="B17" s="416" t="s">
        <v>74</v>
      </c>
      <c r="C17" s="416" t="s">
        <v>171</v>
      </c>
      <c r="D17" s="418" t="s">
        <v>2</v>
      </c>
      <c r="E17" s="419"/>
      <c r="F17" s="416" t="s">
        <v>12</v>
      </c>
      <c r="G17" s="410">
        <v>91</v>
      </c>
      <c r="H17" s="422" t="s">
        <v>211</v>
      </c>
      <c r="I17" s="423">
        <v>30</v>
      </c>
      <c r="J17" s="186" t="s">
        <v>72</v>
      </c>
      <c r="K17" s="413">
        <v>5</v>
      </c>
      <c r="L17" s="414"/>
      <c r="M17" s="414"/>
      <c r="N17" s="414"/>
      <c r="O17" s="414"/>
      <c r="P17" s="414"/>
      <c r="Q17" s="414"/>
      <c r="R17" s="415"/>
      <c r="S17" s="187">
        <f t="shared" ref="S17:S30" si="7">SUM(K17:R17)</f>
        <v>5</v>
      </c>
      <c r="T17" s="413">
        <v>2</v>
      </c>
      <c r="U17" s="414"/>
      <c r="V17" s="414"/>
      <c r="W17" s="414"/>
      <c r="X17" s="414"/>
      <c r="Y17" s="414"/>
      <c r="Z17" s="414"/>
      <c r="AA17" s="415"/>
      <c r="AB17" s="188">
        <f t="shared" ref="AB17:AB31" si="8">SUM(T17)</f>
        <v>2</v>
      </c>
      <c r="AC17" s="413">
        <v>2</v>
      </c>
      <c r="AD17" s="414"/>
      <c r="AE17" s="414"/>
      <c r="AF17" s="414"/>
      <c r="AG17" s="414"/>
      <c r="AH17" s="414"/>
      <c r="AI17" s="414"/>
      <c r="AJ17" s="415"/>
      <c r="AK17" s="188">
        <f>SUM(AC17)</f>
        <v>2</v>
      </c>
      <c r="AL17" s="413">
        <v>2</v>
      </c>
      <c r="AM17" s="414"/>
      <c r="AN17" s="414"/>
      <c r="AO17" s="414"/>
      <c r="AP17" s="414"/>
      <c r="AQ17" s="414"/>
      <c r="AR17" s="414"/>
      <c r="AS17" s="415"/>
      <c r="AT17" s="37">
        <f t="shared" ref="AT17:AT30" si="9">SUM(AL17:AS17)</f>
        <v>2</v>
      </c>
      <c r="AU17" s="413">
        <v>2</v>
      </c>
      <c r="AV17" s="414"/>
      <c r="AW17" s="414"/>
      <c r="AX17" s="414"/>
      <c r="AY17" s="414"/>
      <c r="AZ17" s="414"/>
      <c r="BA17" s="414"/>
      <c r="BB17" s="415"/>
      <c r="BC17" s="37">
        <f t="shared" ref="BC17:BC26" si="10">SUM(AU17:BB17)</f>
        <v>2</v>
      </c>
      <c r="BD17" s="413">
        <v>2</v>
      </c>
      <c r="BE17" s="414"/>
      <c r="BF17" s="414"/>
      <c r="BG17" s="414"/>
      <c r="BH17" s="414"/>
      <c r="BI17" s="414"/>
      <c r="BJ17" s="414"/>
      <c r="BK17" s="415"/>
      <c r="BL17" s="37">
        <f t="shared" ref="BL17:BL30" si="11">SUM(BD17:BK17)</f>
        <v>2</v>
      </c>
      <c r="BM17" s="413">
        <v>2</v>
      </c>
      <c r="BN17" s="414"/>
      <c r="BO17" s="414"/>
      <c r="BP17" s="414"/>
      <c r="BQ17" s="414"/>
      <c r="BR17" s="414"/>
      <c r="BS17" s="414"/>
      <c r="BT17" s="415"/>
      <c r="BU17" s="188">
        <f t="shared" si="0"/>
        <v>2</v>
      </c>
      <c r="BV17" s="413">
        <v>2</v>
      </c>
      <c r="BW17" s="414"/>
      <c r="BX17" s="414"/>
      <c r="BY17" s="414"/>
      <c r="BZ17" s="414"/>
      <c r="CA17" s="414"/>
      <c r="CB17" s="414"/>
      <c r="CC17" s="415"/>
      <c r="CD17" s="188">
        <f t="shared" si="1"/>
        <v>2</v>
      </c>
      <c r="CE17" s="413">
        <v>2</v>
      </c>
      <c r="CF17" s="414"/>
      <c r="CG17" s="414"/>
      <c r="CH17" s="414"/>
      <c r="CI17" s="414"/>
      <c r="CJ17" s="414"/>
      <c r="CK17" s="414"/>
      <c r="CL17" s="415"/>
      <c r="CM17" s="188">
        <f t="shared" si="2"/>
        <v>2</v>
      </c>
      <c r="CN17" s="413">
        <v>3</v>
      </c>
      <c r="CO17" s="414"/>
      <c r="CP17" s="414"/>
      <c r="CQ17" s="414"/>
      <c r="CR17" s="414"/>
      <c r="CS17" s="414"/>
      <c r="CT17" s="414"/>
      <c r="CU17" s="415"/>
      <c r="CV17" s="188">
        <f t="shared" si="3"/>
        <v>3</v>
      </c>
      <c r="CW17" s="413">
        <v>3</v>
      </c>
      <c r="CX17" s="414"/>
      <c r="CY17" s="414"/>
      <c r="CZ17" s="414"/>
      <c r="DA17" s="414"/>
      <c r="DB17" s="414"/>
      <c r="DC17" s="414"/>
      <c r="DD17" s="415"/>
      <c r="DE17" s="188">
        <f t="shared" si="4"/>
        <v>3</v>
      </c>
      <c r="DF17" s="413">
        <v>3</v>
      </c>
      <c r="DG17" s="414"/>
      <c r="DH17" s="414"/>
      <c r="DI17" s="414"/>
      <c r="DJ17" s="414"/>
      <c r="DK17" s="414"/>
      <c r="DL17" s="414"/>
      <c r="DM17" s="415"/>
      <c r="DN17" s="188">
        <f t="shared" si="5"/>
        <v>3</v>
      </c>
      <c r="DO17" s="189">
        <f t="shared" si="6"/>
        <v>30</v>
      </c>
      <c r="DP17" s="35"/>
    </row>
    <row r="18" spans="2:120" ht="171" customHeight="1">
      <c r="B18" s="417"/>
      <c r="C18" s="417"/>
      <c r="D18" s="420"/>
      <c r="E18" s="421"/>
      <c r="F18" s="417"/>
      <c r="G18" s="409"/>
      <c r="H18" s="422"/>
      <c r="I18" s="424"/>
      <c r="J18" s="190" t="s">
        <v>73</v>
      </c>
      <c r="K18" s="37">
        <v>10</v>
      </c>
      <c r="L18" s="37">
        <v>5</v>
      </c>
      <c r="M18" s="37">
        <v>0</v>
      </c>
      <c r="N18" s="37">
        <v>0</v>
      </c>
      <c r="O18" s="37">
        <v>7</v>
      </c>
      <c r="P18" s="37">
        <v>0</v>
      </c>
      <c r="Q18" s="37">
        <v>0</v>
      </c>
      <c r="R18" s="37">
        <v>0</v>
      </c>
      <c r="S18" s="187">
        <f t="shared" si="7"/>
        <v>22</v>
      </c>
      <c r="T18" s="37">
        <v>0</v>
      </c>
      <c r="U18" s="37">
        <v>2</v>
      </c>
      <c r="V18" s="37">
        <v>1</v>
      </c>
      <c r="W18" s="37">
        <v>0</v>
      </c>
      <c r="X18" s="37">
        <v>1</v>
      </c>
      <c r="Y18" s="37">
        <v>0</v>
      </c>
      <c r="Z18" s="37">
        <v>0</v>
      </c>
      <c r="AA18" s="37">
        <v>0</v>
      </c>
      <c r="AB18" s="37">
        <f>SUM(T18)+U18+V18+W18+X18+Y18+Z18+AA18</f>
        <v>4</v>
      </c>
      <c r="AC18" s="37">
        <v>1</v>
      </c>
      <c r="AD18" s="37">
        <v>2</v>
      </c>
      <c r="AE18" s="37">
        <v>3</v>
      </c>
      <c r="AF18" s="37">
        <v>1</v>
      </c>
      <c r="AG18" s="37">
        <v>2</v>
      </c>
      <c r="AH18" s="37">
        <v>0</v>
      </c>
      <c r="AI18" s="37">
        <v>0</v>
      </c>
      <c r="AJ18" s="37">
        <v>0</v>
      </c>
      <c r="AK18" s="37">
        <f>SUM(AC18:AJ18)</f>
        <v>9</v>
      </c>
      <c r="AL18" s="37">
        <v>4</v>
      </c>
      <c r="AM18" s="37">
        <v>4</v>
      </c>
      <c r="AN18" s="37">
        <v>0</v>
      </c>
      <c r="AO18" s="37">
        <v>2</v>
      </c>
      <c r="AP18" s="37">
        <v>3</v>
      </c>
      <c r="AQ18" s="37">
        <v>0</v>
      </c>
      <c r="AR18" s="37">
        <v>0</v>
      </c>
      <c r="AS18" s="37">
        <v>0</v>
      </c>
      <c r="AT18" s="37">
        <f t="shared" si="9"/>
        <v>13</v>
      </c>
      <c r="AU18" s="37">
        <v>0</v>
      </c>
      <c r="AV18" s="37">
        <v>1</v>
      </c>
      <c r="AW18" s="37">
        <v>0</v>
      </c>
      <c r="AX18" s="37">
        <v>0</v>
      </c>
      <c r="AY18" s="37">
        <v>1</v>
      </c>
      <c r="AZ18" s="37">
        <v>0</v>
      </c>
      <c r="BA18" s="37">
        <v>0</v>
      </c>
      <c r="BB18" s="37">
        <v>0</v>
      </c>
      <c r="BC18" s="37">
        <f t="shared" si="10"/>
        <v>2</v>
      </c>
      <c r="BD18" s="37">
        <v>1</v>
      </c>
      <c r="BE18" s="37">
        <v>5</v>
      </c>
      <c r="BF18" s="37">
        <v>1</v>
      </c>
      <c r="BG18" s="37">
        <v>0</v>
      </c>
      <c r="BH18" s="37">
        <v>3</v>
      </c>
      <c r="BI18" s="37">
        <v>0</v>
      </c>
      <c r="BJ18" s="37">
        <v>0</v>
      </c>
      <c r="BK18" s="37">
        <v>0</v>
      </c>
      <c r="BL18" s="37">
        <f t="shared" si="11"/>
        <v>10</v>
      </c>
      <c r="BM18" s="37"/>
      <c r="BN18" s="37"/>
      <c r="BO18" s="37"/>
      <c r="BP18" s="37"/>
      <c r="BQ18" s="37"/>
      <c r="BR18" s="37"/>
      <c r="BS18" s="37"/>
      <c r="BT18" s="37"/>
      <c r="BU18" s="37">
        <f t="shared" si="0"/>
        <v>0</v>
      </c>
      <c r="BV18" s="37"/>
      <c r="BW18" s="37"/>
      <c r="BX18" s="37"/>
      <c r="BY18" s="37"/>
      <c r="BZ18" s="37"/>
      <c r="CA18" s="37"/>
      <c r="CB18" s="37"/>
      <c r="CC18" s="37"/>
      <c r="CD18" s="37">
        <f t="shared" si="1"/>
        <v>0</v>
      </c>
      <c r="CE18" s="37"/>
      <c r="CF18" s="37"/>
      <c r="CG18" s="37"/>
      <c r="CH18" s="37"/>
      <c r="CI18" s="37"/>
      <c r="CJ18" s="37"/>
      <c r="CK18" s="37"/>
      <c r="CL18" s="37"/>
      <c r="CM18" s="37">
        <f t="shared" si="2"/>
        <v>0</v>
      </c>
      <c r="CN18" s="37"/>
      <c r="CO18" s="37"/>
      <c r="CP18" s="37"/>
      <c r="CQ18" s="37"/>
      <c r="CR18" s="37"/>
      <c r="CS18" s="37"/>
      <c r="CT18" s="37"/>
      <c r="CU18" s="37"/>
      <c r="CV18" s="37">
        <f t="shared" si="3"/>
        <v>0</v>
      </c>
      <c r="CW18" s="37"/>
      <c r="CX18" s="37"/>
      <c r="CY18" s="37"/>
      <c r="CZ18" s="37"/>
      <c r="DA18" s="37"/>
      <c r="DB18" s="37"/>
      <c r="DC18" s="37"/>
      <c r="DD18" s="37"/>
      <c r="DE18" s="37">
        <f t="shared" si="4"/>
        <v>0</v>
      </c>
      <c r="DF18" s="37"/>
      <c r="DG18" s="37"/>
      <c r="DH18" s="37"/>
      <c r="DI18" s="37"/>
      <c r="DJ18" s="37"/>
      <c r="DK18" s="37"/>
      <c r="DL18" s="37"/>
      <c r="DM18" s="37"/>
      <c r="DN18" s="37">
        <f t="shared" si="5"/>
        <v>0</v>
      </c>
      <c r="DO18" s="189">
        <f t="shared" si="6"/>
        <v>60</v>
      </c>
      <c r="DP18" s="191" t="s">
        <v>210</v>
      </c>
    </row>
    <row r="19" spans="2:120" ht="234.75" hidden="1" customHeight="1">
      <c r="B19" s="409" t="s">
        <v>68</v>
      </c>
      <c r="C19" s="416" t="s">
        <v>77</v>
      </c>
      <c r="D19" s="418" t="s">
        <v>78</v>
      </c>
      <c r="E19" s="419"/>
      <c r="F19" s="416" t="s">
        <v>13</v>
      </c>
      <c r="G19" s="410">
        <v>30639</v>
      </c>
      <c r="H19" s="426" t="s">
        <v>212</v>
      </c>
      <c r="I19" s="427">
        <v>27554</v>
      </c>
      <c r="J19" s="186" t="s">
        <v>72</v>
      </c>
      <c r="K19" s="413">
        <v>2100</v>
      </c>
      <c r="L19" s="414"/>
      <c r="M19" s="414"/>
      <c r="N19" s="414"/>
      <c r="O19" s="414"/>
      <c r="P19" s="414"/>
      <c r="Q19" s="414"/>
      <c r="R19" s="415"/>
      <c r="S19" s="187">
        <f t="shared" si="7"/>
        <v>2100</v>
      </c>
      <c r="T19" s="413">
        <v>2200</v>
      </c>
      <c r="U19" s="414"/>
      <c r="V19" s="414"/>
      <c r="W19" s="414"/>
      <c r="X19" s="414"/>
      <c r="Y19" s="414"/>
      <c r="Z19" s="414"/>
      <c r="AA19" s="415"/>
      <c r="AB19" s="188">
        <f t="shared" si="8"/>
        <v>2200</v>
      </c>
      <c r="AC19" s="413">
        <v>2200</v>
      </c>
      <c r="AD19" s="414"/>
      <c r="AE19" s="414"/>
      <c r="AF19" s="414"/>
      <c r="AG19" s="414"/>
      <c r="AH19" s="414"/>
      <c r="AI19" s="414"/>
      <c r="AJ19" s="415"/>
      <c r="AK19" s="37">
        <f t="shared" ref="AK19:AK30" si="12">SUM(AC19:AJ19)</f>
        <v>2200</v>
      </c>
      <c r="AL19" s="413">
        <v>2050</v>
      </c>
      <c r="AM19" s="414"/>
      <c r="AN19" s="414"/>
      <c r="AO19" s="414"/>
      <c r="AP19" s="414"/>
      <c r="AQ19" s="414"/>
      <c r="AR19" s="414"/>
      <c r="AS19" s="415"/>
      <c r="AT19" s="37">
        <f t="shared" si="9"/>
        <v>2050</v>
      </c>
      <c r="AU19" s="413">
        <v>2054</v>
      </c>
      <c r="AV19" s="414"/>
      <c r="AW19" s="414"/>
      <c r="AX19" s="414"/>
      <c r="AY19" s="414"/>
      <c r="AZ19" s="414"/>
      <c r="BA19" s="414"/>
      <c r="BB19" s="415"/>
      <c r="BC19" s="37">
        <f t="shared" si="10"/>
        <v>2054</v>
      </c>
      <c r="BD19" s="413">
        <v>2400</v>
      </c>
      <c r="BE19" s="414"/>
      <c r="BF19" s="414"/>
      <c r="BG19" s="414"/>
      <c r="BH19" s="414"/>
      <c r="BI19" s="414"/>
      <c r="BJ19" s="414"/>
      <c r="BK19" s="415"/>
      <c r="BL19" s="37">
        <f t="shared" si="11"/>
        <v>2400</v>
      </c>
      <c r="BM19" s="413">
        <v>2500</v>
      </c>
      <c r="BN19" s="414"/>
      <c r="BO19" s="414"/>
      <c r="BP19" s="414"/>
      <c r="BQ19" s="414"/>
      <c r="BR19" s="414"/>
      <c r="BS19" s="414"/>
      <c r="BT19" s="415"/>
      <c r="BU19" s="188">
        <f t="shared" si="0"/>
        <v>2500</v>
      </c>
      <c r="BV19" s="413">
        <v>2400</v>
      </c>
      <c r="BW19" s="414"/>
      <c r="BX19" s="414"/>
      <c r="BY19" s="414"/>
      <c r="BZ19" s="414"/>
      <c r="CA19" s="414"/>
      <c r="CB19" s="414"/>
      <c r="CC19" s="415"/>
      <c r="CD19" s="188">
        <f t="shared" si="1"/>
        <v>2400</v>
      </c>
      <c r="CE19" s="413">
        <v>2250</v>
      </c>
      <c r="CF19" s="414"/>
      <c r="CG19" s="414"/>
      <c r="CH19" s="414"/>
      <c r="CI19" s="414"/>
      <c r="CJ19" s="414"/>
      <c r="CK19" s="414"/>
      <c r="CL19" s="415"/>
      <c r="CM19" s="188">
        <f t="shared" si="2"/>
        <v>2250</v>
      </c>
      <c r="CN19" s="413">
        <v>2300</v>
      </c>
      <c r="CO19" s="414"/>
      <c r="CP19" s="414"/>
      <c r="CQ19" s="414"/>
      <c r="CR19" s="414"/>
      <c r="CS19" s="414"/>
      <c r="CT19" s="414"/>
      <c r="CU19" s="415"/>
      <c r="CV19" s="188">
        <f t="shared" si="3"/>
        <v>2300</v>
      </c>
      <c r="CW19" s="413">
        <v>2400</v>
      </c>
      <c r="CX19" s="414"/>
      <c r="CY19" s="414"/>
      <c r="CZ19" s="414"/>
      <c r="DA19" s="414"/>
      <c r="DB19" s="414"/>
      <c r="DC19" s="414"/>
      <c r="DD19" s="415"/>
      <c r="DE19" s="188">
        <f t="shared" si="4"/>
        <v>2400</v>
      </c>
      <c r="DF19" s="413">
        <v>2700</v>
      </c>
      <c r="DG19" s="414"/>
      <c r="DH19" s="414"/>
      <c r="DI19" s="414"/>
      <c r="DJ19" s="414"/>
      <c r="DK19" s="414"/>
      <c r="DL19" s="414"/>
      <c r="DM19" s="415"/>
      <c r="DN19" s="188">
        <f t="shared" si="5"/>
        <v>2700</v>
      </c>
      <c r="DO19" s="189">
        <f t="shared" si="6"/>
        <v>27554</v>
      </c>
      <c r="DP19" s="35"/>
    </row>
    <row r="20" spans="2:120" ht="234.75" customHeight="1">
      <c r="B20" s="409"/>
      <c r="C20" s="417"/>
      <c r="D20" s="420"/>
      <c r="E20" s="421"/>
      <c r="F20" s="417"/>
      <c r="G20" s="409"/>
      <c r="H20" s="425"/>
      <c r="I20" s="424"/>
      <c r="J20" s="190" t="s">
        <v>73</v>
      </c>
      <c r="K20" s="37">
        <v>963</v>
      </c>
      <c r="L20" s="37">
        <v>600</v>
      </c>
      <c r="M20" s="37">
        <v>0</v>
      </c>
      <c r="N20" s="37">
        <v>0</v>
      </c>
      <c r="O20" s="37">
        <v>849</v>
      </c>
      <c r="P20" s="37">
        <v>0</v>
      </c>
      <c r="Q20" s="37">
        <v>0</v>
      </c>
      <c r="R20" s="37">
        <v>0</v>
      </c>
      <c r="S20" s="187">
        <f t="shared" si="7"/>
        <v>2412</v>
      </c>
      <c r="T20" s="37">
        <v>1055</v>
      </c>
      <c r="U20" s="37">
        <v>681</v>
      </c>
      <c r="V20" s="37">
        <v>78</v>
      </c>
      <c r="W20" s="37">
        <v>0</v>
      </c>
      <c r="X20" s="37">
        <v>773</v>
      </c>
      <c r="Y20" s="37">
        <v>0</v>
      </c>
      <c r="Z20" s="37">
        <v>0</v>
      </c>
      <c r="AA20" s="37">
        <v>0</v>
      </c>
      <c r="AB20" s="37">
        <f>SUM(T20)+U20+V20+W20+X20+Y20+Z20+AA20</f>
        <v>2587</v>
      </c>
      <c r="AC20" s="37">
        <v>839</v>
      </c>
      <c r="AD20" s="37">
        <v>600</v>
      </c>
      <c r="AE20" s="37">
        <v>224</v>
      </c>
      <c r="AF20" s="37">
        <v>60</v>
      </c>
      <c r="AG20" s="37">
        <v>589</v>
      </c>
      <c r="AH20" s="37">
        <v>0</v>
      </c>
      <c r="AI20" s="37">
        <v>0</v>
      </c>
      <c r="AJ20" s="37">
        <v>0</v>
      </c>
      <c r="AK20" s="37">
        <f t="shared" si="12"/>
        <v>2312</v>
      </c>
      <c r="AL20" s="37">
        <v>920</v>
      </c>
      <c r="AM20" s="37">
        <v>900</v>
      </c>
      <c r="AN20" s="37">
        <v>110</v>
      </c>
      <c r="AO20" s="37">
        <v>160</v>
      </c>
      <c r="AP20" s="37">
        <v>616</v>
      </c>
      <c r="AQ20" s="37">
        <v>0</v>
      </c>
      <c r="AR20" s="37">
        <v>0</v>
      </c>
      <c r="AS20" s="37">
        <v>0</v>
      </c>
      <c r="AT20" s="37">
        <f t="shared" si="9"/>
        <v>2706</v>
      </c>
      <c r="AU20" s="37">
        <v>672</v>
      </c>
      <c r="AV20" s="37">
        <v>934</v>
      </c>
      <c r="AW20" s="37">
        <v>160</v>
      </c>
      <c r="AX20" s="37">
        <v>270</v>
      </c>
      <c r="AY20" s="37">
        <v>874</v>
      </c>
      <c r="AZ20" s="37">
        <v>0</v>
      </c>
      <c r="BA20" s="37">
        <v>0</v>
      </c>
      <c r="BB20" s="37">
        <v>0</v>
      </c>
      <c r="BC20" s="37">
        <f t="shared" si="10"/>
        <v>2910</v>
      </c>
      <c r="BD20" s="37">
        <v>472</v>
      </c>
      <c r="BE20" s="37">
        <v>1167</v>
      </c>
      <c r="BF20" s="37">
        <v>170</v>
      </c>
      <c r="BG20" s="37">
        <v>142</v>
      </c>
      <c r="BH20" s="37">
        <v>715</v>
      </c>
      <c r="BI20" s="37">
        <v>0</v>
      </c>
      <c r="BJ20" s="37">
        <v>0</v>
      </c>
      <c r="BK20" s="37">
        <v>0</v>
      </c>
      <c r="BL20" s="37">
        <f t="shared" si="11"/>
        <v>2666</v>
      </c>
      <c r="BM20" s="37"/>
      <c r="BN20" s="37"/>
      <c r="BO20" s="37"/>
      <c r="BP20" s="37"/>
      <c r="BQ20" s="37"/>
      <c r="BR20" s="37"/>
      <c r="BS20" s="37"/>
      <c r="BT20" s="37"/>
      <c r="BU20" s="37">
        <f t="shared" si="0"/>
        <v>0</v>
      </c>
      <c r="BV20" s="37"/>
      <c r="BW20" s="37"/>
      <c r="BX20" s="37"/>
      <c r="BY20" s="37"/>
      <c r="BZ20" s="37"/>
      <c r="CA20" s="37"/>
      <c r="CB20" s="37"/>
      <c r="CC20" s="37"/>
      <c r="CD20" s="37">
        <f t="shared" si="1"/>
        <v>0</v>
      </c>
      <c r="CE20" s="37"/>
      <c r="CF20" s="37"/>
      <c r="CG20" s="37"/>
      <c r="CH20" s="37"/>
      <c r="CI20" s="37"/>
      <c r="CJ20" s="37"/>
      <c r="CK20" s="37"/>
      <c r="CL20" s="37"/>
      <c r="CM20" s="37">
        <f t="shared" si="2"/>
        <v>0</v>
      </c>
      <c r="CN20" s="37"/>
      <c r="CO20" s="37"/>
      <c r="CP20" s="37"/>
      <c r="CQ20" s="37"/>
      <c r="CR20" s="37"/>
      <c r="CS20" s="37"/>
      <c r="CT20" s="37"/>
      <c r="CU20" s="37"/>
      <c r="CV20" s="37">
        <f t="shared" si="3"/>
        <v>0</v>
      </c>
      <c r="CW20" s="37"/>
      <c r="CX20" s="37"/>
      <c r="CY20" s="37"/>
      <c r="CZ20" s="37"/>
      <c r="DA20" s="37"/>
      <c r="DB20" s="37"/>
      <c r="DC20" s="37"/>
      <c r="DD20" s="37"/>
      <c r="DE20" s="37">
        <f t="shared" si="4"/>
        <v>0</v>
      </c>
      <c r="DF20" s="37"/>
      <c r="DG20" s="37"/>
      <c r="DH20" s="37"/>
      <c r="DI20" s="37"/>
      <c r="DJ20" s="37"/>
      <c r="DK20" s="37"/>
      <c r="DL20" s="37"/>
      <c r="DM20" s="37"/>
      <c r="DN20" s="37">
        <f t="shared" si="5"/>
        <v>0</v>
      </c>
      <c r="DO20" s="189">
        <f t="shared" si="6"/>
        <v>15593</v>
      </c>
      <c r="DP20" s="191" t="s">
        <v>213</v>
      </c>
    </row>
    <row r="21" spans="2:120" ht="243.75" hidden="1" customHeight="1">
      <c r="B21" s="416" t="s">
        <v>74</v>
      </c>
      <c r="C21" s="416" t="s">
        <v>75</v>
      </c>
      <c r="D21" s="418" t="s">
        <v>80</v>
      </c>
      <c r="E21" s="419"/>
      <c r="F21" s="416" t="s">
        <v>12</v>
      </c>
      <c r="G21" s="410">
        <v>5573</v>
      </c>
      <c r="H21" s="422" t="s">
        <v>214</v>
      </c>
      <c r="I21" s="410">
        <v>3492</v>
      </c>
      <c r="J21" s="186" t="s">
        <v>72</v>
      </c>
      <c r="K21" s="413">
        <v>270</v>
      </c>
      <c r="L21" s="414"/>
      <c r="M21" s="414"/>
      <c r="N21" s="414"/>
      <c r="O21" s="414"/>
      <c r="P21" s="414"/>
      <c r="Q21" s="414"/>
      <c r="R21" s="415"/>
      <c r="S21" s="187">
        <f t="shared" si="7"/>
        <v>270</v>
      </c>
      <c r="T21" s="413">
        <v>280</v>
      </c>
      <c r="U21" s="414"/>
      <c r="V21" s="414"/>
      <c r="W21" s="414"/>
      <c r="X21" s="414"/>
      <c r="Y21" s="414"/>
      <c r="Z21" s="414"/>
      <c r="AA21" s="415"/>
      <c r="AB21" s="188">
        <f t="shared" si="8"/>
        <v>280</v>
      </c>
      <c r="AC21" s="413">
        <v>310</v>
      </c>
      <c r="AD21" s="414"/>
      <c r="AE21" s="414"/>
      <c r="AF21" s="414"/>
      <c r="AG21" s="414"/>
      <c r="AH21" s="414"/>
      <c r="AI21" s="414"/>
      <c r="AJ21" s="415"/>
      <c r="AK21" s="37">
        <f t="shared" si="12"/>
        <v>310</v>
      </c>
      <c r="AL21" s="413">
        <v>280</v>
      </c>
      <c r="AM21" s="414"/>
      <c r="AN21" s="414"/>
      <c r="AO21" s="414"/>
      <c r="AP21" s="414"/>
      <c r="AQ21" s="414"/>
      <c r="AR21" s="414"/>
      <c r="AS21" s="415"/>
      <c r="AT21" s="37">
        <f t="shared" si="9"/>
        <v>280</v>
      </c>
      <c r="AU21" s="413">
        <v>300</v>
      </c>
      <c r="AV21" s="414"/>
      <c r="AW21" s="414"/>
      <c r="AX21" s="414"/>
      <c r="AY21" s="414"/>
      <c r="AZ21" s="414"/>
      <c r="BA21" s="414"/>
      <c r="BB21" s="415"/>
      <c r="BC21" s="37">
        <f t="shared" si="10"/>
        <v>300</v>
      </c>
      <c r="BD21" s="413">
        <v>300</v>
      </c>
      <c r="BE21" s="414"/>
      <c r="BF21" s="414"/>
      <c r="BG21" s="414"/>
      <c r="BH21" s="414"/>
      <c r="BI21" s="414"/>
      <c r="BJ21" s="414"/>
      <c r="BK21" s="415"/>
      <c r="BL21" s="37">
        <f t="shared" si="11"/>
        <v>300</v>
      </c>
      <c r="BM21" s="413">
        <v>320</v>
      </c>
      <c r="BN21" s="414"/>
      <c r="BO21" s="414"/>
      <c r="BP21" s="414"/>
      <c r="BQ21" s="414"/>
      <c r="BR21" s="414"/>
      <c r="BS21" s="414"/>
      <c r="BT21" s="415"/>
      <c r="BU21" s="188">
        <f t="shared" si="0"/>
        <v>320</v>
      </c>
      <c r="BV21" s="413">
        <v>320</v>
      </c>
      <c r="BW21" s="414"/>
      <c r="BX21" s="414"/>
      <c r="BY21" s="414"/>
      <c r="BZ21" s="414"/>
      <c r="CA21" s="414"/>
      <c r="CB21" s="414"/>
      <c r="CC21" s="415"/>
      <c r="CD21" s="188">
        <f t="shared" si="1"/>
        <v>320</v>
      </c>
      <c r="CE21" s="413">
        <v>320</v>
      </c>
      <c r="CF21" s="414"/>
      <c r="CG21" s="414"/>
      <c r="CH21" s="414"/>
      <c r="CI21" s="414"/>
      <c r="CJ21" s="414"/>
      <c r="CK21" s="414"/>
      <c r="CL21" s="415"/>
      <c r="CM21" s="188">
        <f t="shared" si="2"/>
        <v>320</v>
      </c>
      <c r="CN21" s="413">
        <v>270</v>
      </c>
      <c r="CO21" s="414"/>
      <c r="CP21" s="414"/>
      <c r="CQ21" s="414"/>
      <c r="CR21" s="414"/>
      <c r="CS21" s="414"/>
      <c r="CT21" s="414"/>
      <c r="CU21" s="415"/>
      <c r="CV21" s="188">
        <f t="shared" si="3"/>
        <v>270</v>
      </c>
      <c r="CW21" s="413">
        <v>270</v>
      </c>
      <c r="CX21" s="414"/>
      <c r="CY21" s="414"/>
      <c r="CZ21" s="414"/>
      <c r="DA21" s="414"/>
      <c r="DB21" s="414"/>
      <c r="DC21" s="414"/>
      <c r="DD21" s="415"/>
      <c r="DE21" s="188">
        <f t="shared" si="4"/>
        <v>270</v>
      </c>
      <c r="DF21" s="413">
        <v>252</v>
      </c>
      <c r="DG21" s="414"/>
      <c r="DH21" s="414"/>
      <c r="DI21" s="414"/>
      <c r="DJ21" s="414"/>
      <c r="DK21" s="414"/>
      <c r="DL21" s="414"/>
      <c r="DM21" s="415"/>
      <c r="DN21" s="188">
        <f t="shared" si="5"/>
        <v>252</v>
      </c>
      <c r="DO21" s="189">
        <f t="shared" si="6"/>
        <v>3492</v>
      </c>
      <c r="DP21" s="35"/>
    </row>
    <row r="22" spans="2:120" ht="182.25" customHeight="1">
      <c r="B22" s="417"/>
      <c r="C22" s="417"/>
      <c r="D22" s="420"/>
      <c r="E22" s="421"/>
      <c r="F22" s="417"/>
      <c r="G22" s="409"/>
      <c r="H22" s="422"/>
      <c r="I22" s="409"/>
      <c r="J22" s="190" t="s">
        <v>73</v>
      </c>
      <c r="K22" s="37">
        <v>134</v>
      </c>
      <c r="L22" s="37">
        <v>108</v>
      </c>
      <c r="M22" s="37">
        <v>0</v>
      </c>
      <c r="N22" s="37">
        <v>0</v>
      </c>
      <c r="O22" s="37">
        <v>231</v>
      </c>
      <c r="P22" s="37">
        <v>0</v>
      </c>
      <c r="Q22" s="37">
        <v>0</v>
      </c>
      <c r="R22" s="37">
        <v>0</v>
      </c>
      <c r="S22" s="187">
        <f t="shared" si="7"/>
        <v>473</v>
      </c>
      <c r="T22" s="37">
        <v>192</v>
      </c>
      <c r="U22" s="37">
        <v>147</v>
      </c>
      <c r="V22" s="37">
        <v>14</v>
      </c>
      <c r="W22" s="37">
        <v>0</v>
      </c>
      <c r="X22" s="37">
        <v>370</v>
      </c>
      <c r="Y22" s="37">
        <v>0</v>
      </c>
      <c r="Z22" s="37">
        <v>0</v>
      </c>
      <c r="AA22" s="37">
        <v>0</v>
      </c>
      <c r="AB22" s="37">
        <f>SUM(T22)+U22+V22+W22+X22+Y22+Z22+AA22</f>
        <v>723</v>
      </c>
      <c r="AC22" s="37">
        <v>173</v>
      </c>
      <c r="AD22" s="37">
        <v>145</v>
      </c>
      <c r="AE22" s="37">
        <v>62</v>
      </c>
      <c r="AF22" s="37">
        <v>9</v>
      </c>
      <c r="AG22" s="37">
        <v>263</v>
      </c>
      <c r="AH22" s="37">
        <v>0</v>
      </c>
      <c r="AI22" s="37">
        <v>0</v>
      </c>
      <c r="AJ22" s="37">
        <v>0</v>
      </c>
      <c r="AK22" s="37">
        <f t="shared" si="12"/>
        <v>652</v>
      </c>
      <c r="AL22" s="37">
        <v>133</v>
      </c>
      <c r="AM22" s="37">
        <v>128</v>
      </c>
      <c r="AN22" s="37">
        <v>36</v>
      </c>
      <c r="AO22" s="37">
        <v>12</v>
      </c>
      <c r="AP22" s="37">
        <v>269</v>
      </c>
      <c r="AQ22" s="37">
        <v>0</v>
      </c>
      <c r="AR22" s="37">
        <v>0</v>
      </c>
      <c r="AS22" s="37">
        <v>0</v>
      </c>
      <c r="AT22" s="37">
        <f t="shared" si="9"/>
        <v>578</v>
      </c>
      <c r="AU22" s="37">
        <v>96</v>
      </c>
      <c r="AV22" s="37">
        <v>163</v>
      </c>
      <c r="AW22" s="37">
        <v>33</v>
      </c>
      <c r="AX22" s="37">
        <v>20</v>
      </c>
      <c r="AY22" s="37">
        <v>256</v>
      </c>
      <c r="AZ22" s="37">
        <v>0</v>
      </c>
      <c r="BA22" s="37">
        <v>0</v>
      </c>
      <c r="BB22" s="37">
        <v>0</v>
      </c>
      <c r="BC22" s="37">
        <f t="shared" si="10"/>
        <v>568</v>
      </c>
      <c r="BD22" s="37">
        <v>73</v>
      </c>
      <c r="BE22" s="37">
        <v>178</v>
      </c>
      <c r="BF22" s="37">
        <v>65</v>
      </c>
      <c r="BG22" s="37">
        <v>6</v>
      </c>
      <c r="BH22" s="37">
        <v>373</v>
      </c>
      <c r="BI22" s="37">
        <v>0</v>
      </c>
      <c r="BJ22" s="37">
        <v>0</v>
      </c>
      <c r="BK22" s="37">
        <v>0</v>
      </c>
      <c r="BL22" s="37">
        <f t="shared" si="11"/>
        <v>695</v>
      </c>
      <c r="BM22" s="37"/>
      <c r="BN22" s="37"/>
      <c r="BO22" s="37"/>
      <c r="BP22" s="37"/>
      <c r="BQ22" s="37"/>
      <c r="BR22" s="37"/>
      <c r="BS22" s="37"/>
      <c r="BT22" s="37"/>
      <c r="BU22" s="37">
        <f t="shared" si="0"/>
        <v>0</v>
      </c>
      <c r="BV22" s="37"/>
      <c r="BW22" s="37"/>
      <c r="BX22" s="37"/>
      <c r="BY22" s="37"/>
      <c r="BZ22" s="37"/>
      <c r="CA22" s="37"/>
      <c r="CB22" s="37"/>
      <c r="CC22" s="37"/>
      <c r="CD22" s="37">
        <f t="shared" si="1"/>
        <v>0</v>
      </c>
      <c r="CE22" s="37"/>
      <c r="CF22" s="37"/>
      <c r="CG22" s="37"/>
      <c r="CH22" s="37"/>
      <c r="CI22" s="37"/>
      <c r="CJ22" s="37"/>
      <c r="CK22" s="37"/>
      <c r="CL22" s="37"/>
      <c r="CM22" s="37">
        <f t="shared" si="2"/>
        <v>0</v>
      </c>
      <c r="CN22" s="37"/>
      <c r="CO22" s="37"/>
      <c r="CP22" s="37"/>
      <c r="CQ22" s="37"/>
      <c r="CR22" s="37"/>
      <c r="CS22" s="37"/>
      <c r="CT22" s="37"/>
      <c r="CU22" s="37"/>
      <c r="CV22" s="37">
        <f t="shared" si="3"/>
        <v>0</v>
      </c>
      <c r="CW22" s="37"/>
      <c r="CX22" s="37"/>
      <c r="CY22" s="37"/>
      <c r="CZ22" s="37"/>
      <c r="DA22" s="37"/>
      <c r="DB22" s="37"/>
      <c r="DC22" s="37"/>
      <c r="DD22" s="37"/>
      <c r="DE22" s="37">
        <f t="shared" si="4"/>
        <v>0</v>
      </c>
      <c r="DF22" s="37"/>
      <c r="DG22" s="37"/>
      <c r="DH22" s="37"/>
      <c r="DI22" s="37"/>
      <c r="DJ22" s="37"/>
      <c r="DK22" s="37"/>
      <c r="DL22" s="37"/>
      <c r="DM22" s="37"/>
      <c r="DN22" s="37">
        <f t="shared" si="5"/>
        <v>0</v>
      </c>
      <c r="DO22" s="189">
        <f t="shared" si="6"/>
        <v>3689</v>
      </c>
      <c r="DP22" s="191" t="s">
        <v>215</v>
      </c>
    </row>
    <row r="23" spans="2:120" ht="195" hidden="1" customHeight="1">
      <c r="B23" s="416" t="s">
        <v>74</v>
      </c>
      <c r="C23" s="416" t="s">
        <v>75</v>
      </c>
      <c r="D23" s="418" t="s">
        <v>80</v>
      </c>
      <c r="E23" s="419"/>
      <c r="F23" s="416" t="s">
        <v>12</v>
      </c>
      <c r="G23" s="410">
        <v>4889</v>
      </c>
      <c r="H23" s="422" t="s">
        <v>216</v>
      </c>
      <c r="I23" s="427">
        <v>1883</v>
      </c>
      <c r="J23" s="186" t="s">
        <v>72</v>
      </c>
      <c r="K23" s="413">
        <v>100</v>
      </c>
      <c r="L23" s="414"/>
      <c r="M23" s="414"/>
      <c r="N23" s="414"/>
      <c r="O23" s="414"/>
      <c r="P23" s="414"/>
      <c r="Q23" s="414"/>
      <c r="R23" s="415"/>
      <c r="S23" s="187">
        <f t="shared" si="7"/>
        <v>100</v>
      </c>
      <c r="T23" s="413">
        <v>130</v>
      </c>
      <c r="U23" s="414"/>
      <c r="V23" s="414"/>
      <c r="W23" s="414"/>
      <c r="X23" s="414"/>
      <c r="Y23" s="414"/>
      <c r="Z23" s="414"/>
      <c r="AA23" s="415"/>
      <c r="AB23" s="188">
        <f t="shared" si="8"/>
        <v>130</v>
      </c>
      <c r="AC23" s="413">
        <v>213</v>
      </c>
      <c r="AD23" s="414"/>
      <c r="AE23" s="414"/>
      <c r="AF23" s="414"/>
      <c r="AG23" s="414"/>
      <c r="AH23" s="414"/>
      <c r="AI23" s="414"/>
      <c r="AJ23" s="415"/>
      <c r="AK23" s="37">
        <f t="shared" si="12"/>
        <v>213</v>
      </c>
      <c r="AL23" s="413">
        <v>160</v>
      </c>
      <c r="AM23" s="414"/>
      <c r="AN23" s="414"/>
      <c r="AO23" s="414"/>
      <c r="AP23" s="414"/>
      <c r="AQ23" s="414"/>
      <c r="AR23" s="414"/>
      <c r="AS23" s="415"/>
      <c r="AT23" s="37">
        <f t="shared" si="9"/>
        <v>160</v>
      </c>
      <c r="AU23" s="413">
        <v>110</v>
      </c>
      <c r="AV23" s="414"/>
      <c r="AW23" s="414"/>
      <c r="AX23" s="414"/>
      <c r="AY23" s="414"/>
      <c r="AZ23" s="414"/>
      <c r="BA23" s="414"/>
      <c r="BB23" s="415"/>
      <c r="BC23" s="37">
        <f t="shared" si="10"/>
        <v>110</v>
      </c>
      <c r="BD23" s="413">
        <v>200</v>
      </c>
      <c r="BE23" s="414"/>
      <c r="BF23" s="414"/>
      <c r="BG23" s="414"/>
      <c r="BH23" s="414"/>
      <c r="BI23" s="414"/>
      <c r="BJ23" s="414"/>
      <c r="BK23" s="415"/>
      <c r="BL23" s="37">
        <f t="shared" si="11"/>
        <v>200</v>
      </c>
      <c r="BM23" s="413">
        <v>200</v>
      </c>
      <c r="BN23" s="414"/>
      <c r="BO23" s="414"/>
      <c r="BP23" s="414"/>
      <c r="BQ23" s="414"/>
      <c r="BR23" s="414"/>
      <c r="BS23" s="414"/>
      <c r="BT23" s="415"/>
      <c r="BU23" s="188">
        <f t="shared" si="0"/>
        <v>200</v>
      </c>
      <c r="BV23" s="413">
        <v>150</v>
      </c>
      <c r="BW23" s="414"/>
      <c r="BX23" s="414"/>
      <c r="BY23" s="414"/>
      <c r="BZ23" s="414"/>
      <c r="CA23" s="414"/>
      <c r="CB23" s="414"/>
      <c r="CC23" s="415"/>
      <c r="CD23" s="188">
        <f t="shared" si="1"/>
        <v>150</v>
      </c>
      <c r="CE23" s="413">
        <v>140</v>
      </c>
      <c r="CF23" s="414"/>
      <c r="CG23" s="414"/>
      <c r="CH23" s="414"/>
      <c r="CI23" s="414"/>
      <c r="CJ23" s="414"/>
      <c r="CK23" s="414"/>
      <c r="CL23" s="415"/>
      <c r="CM23" s="188">
        <f t="shared" si="2"/>
        <v>140</v>
      </c>
      <c r="CN23" s="413">
        <v>140</v>
      </c>
      <c r="CO23" s="414"/>
      <c r="CP23" s="414"/>
      <c r="CQ23" s="414"/>
      <c r="CR23" s="414"/>
      <c r="CS23" s="414"/>
      <c r="CT23" s="414"/>
      <c r="CU23" s="415"/>
      <c r="CV23" s="188">
        <f t="shared" si="3"/>
        <v>140</v>
      </c>
      <c r="CW23" s="413">
        <v>140</v>
      </c>
      <c r="CX23" s="414"/>
      <c r="CY23" s="414"/>
      <c r="CZ23" s="414"/>
      <c r="DA23" s="414"/>
      <c r="DB23" s="414"/>
      <c r="DC23" s="414"/>
      <c r="DD23" s="415"/>
      <c r="DE23" s="188">
        <f t="shared" si="4"/>
        <v>140</v>
      </c>
      <c r="DF23" s="413">
        <v>200</v>
      </c>
      <c r="DG23" s="414"/>
      <c r="DH23" s="414"/>
      <c r="DI23" s="414"/>
      <c r="DJ23" s="414"/>
      <c r="DK23" s="414"/>
      <c r="DL23" s="414"/>
      <c r="DM23" s="415"/>
      <c r="DN23" s="188">
        <f t="shared" si="5"/>
        <v>200</v>
      </c>
      <c r="DO23" s="189">
        <f t="shared" ref="DO23:DO30" si="13">S23+AB23+AK23+AT23+BC23+BL23+BU23+CD23+CM23+CV23+DE23+DN23</f>
        <v>1883</v>
      </c>
      <c r="DP23" s="35"/>
    </row>
    <row r="24" spans="2:120" ht="202.5" customHeight="1">
      <c r="B24" s="417"/>
      <c r="C24" s="417"/>
      <c r="D24" s="420"/>
      <c r="E24" s="421"/>
      <c r="F24" s="417"/>
      <c r="G24" s="409"/>
      <c r="H24" s="422"/>
      <c r="I24" s="423"/>
      <c r="J24" s="190" t="s">
        <v>73</v>
      </c>
      <c r="K24" s="37">
        <v>201</v>
      </c>
      <c r="L24" s="37">
        <v>128</v>
      </c>
      <c r="M24" s="37">
        <v>0</v>
      </c>
      <c r="N24" s="37">
        <v>0</v>
      </c>
      <c r="O24" s="37">
        <v>205</v>
      </c>
      <c r="P24" s="37">
        <v>0</v>
      </c>
      <c r="Q24" s="37">
        <v>0</v>
      </c>
      <c r="R24" s="37">
        <v>0</v>
      </c>
      <c r="S24" s="187">
        <f t="shared" si="7"/>
        <v>534</v>
      </c>
      <c r="T24" s="37">
        <v>164</v>
      </c>
      <c r="U24" s="37">
        <v>97</v>
      </c>
      <c r="V24" s="37">
        <v>6</v>
      </c>
      <c r="W24" s="37">
        <v>0</v>
      </c>
      <c r="X24" s="37">
        <v>194</v>
      </c>
      <c r="Y24" s="37">
        <v>0</v>
      </c>
      <c r="Z24" s="37">
        <v>0</v>
      </c>
      <c r="AA24" s="37">
        <v>0</v>
      </c>
      <c r="AB24" s="37">
        <f>SUM(T24)+U24+V24+W24+X24+Y24+Z24+AA24</f>
        <v>461</v>
      </c>
      <c r="AC24" s="37">
        <v>172</v>
      </c>
      <c r="AD24" s="37">
        <v>82</v>
      </c>
      <c r="AE24" s="37">
        <v>42</v>
      </c>
      <c r="AF24" s="37">
        <v>50</v>
      </c>
      <c r="AG24" s="37">
        <v>156</v>
      </c>
      <c r="AH24" s="37">
        <v>0</v>
      </c>
      <c r="AI24" s="37">
        <v>0</v>
      </c>
      <c r="AJ24" s="37">
        <v>0</v>
      </c>
      <c r="AK24" s="37">
        <f t="shared" si="12"/>
        <v>502</v>
      </c>
      <c r="AL24" s="37">
        <v>137</v>
      </c>
      <c r="AM24" s="37">
        <v>60</v>
      </c>
      <c r="AN24" s="37">
        <v>22</v>
      </c>
      <c r="AO24" s="37">
        <v>38</v>
      </c>
      <c r="AP24" s="37">
        <v>130</v>
      </c>
      <c r="AQ24" s="37">
        <v>0</v>
      </c>
      <c r="AR24" s="37">
        <v>0</v>
      </c>
      <c r="AS24" s="37">
        <v>0</v>
      </c>
      <c r="AT24" s="37">
        <f t="shared" si="9"/>
        <v>387</v>
      </c>
      <c r="AU24" s="37">
        <v>98</v>
      </c>
      <c r="AV24" s="37">
        <v>133</v>
      </c>
      <c r="AW24" s="37">
        <v>27</v>
      </c>
      <c r="AX24" s="37">
        <v>63</v>
      </c>
      <c r="AY24" s="37">
        <v>160</v>
      </c>
      <c r="AZ24" s="37">
        <v>0</v>
      </c>
      <c r="BA24" s="37">
        <v>0</v>
      </c>
      <c r="BB24" s="37">
        <v>0</v>
      </c>
      <c r="BC24" s="37">
        <f t="shared" si="10"/>
        <v>481</v>
      </c>
      <c r="BD24" s="37">
        <v>85</v>
      </c>
      <c r="BE24" s="37">
        <v>206</v>
      </c>
      <c r="BF24" s="37">
        <v>24</v>
      </c>
      <c r="BG24" s="37">
        <v>18</v>
      </c>
      <c r="BH24" s="37">
        <v>162</v>
      </c>
      <c r="BI24" s="37">
        <v>0</v>
      </c>
      <c r="BJ24" s="37">
        <v>0</v>
      </c>
      <c r="BK24" s="37">
        <v>0</v>
      </c>
      <c r="BL24" s="37">
        <f t="shared" si="11"/>
        <v>495</v>
      </c>
      <c r="BM24" s="37"/>
      <c r="BN24" s="37"/>
      <c r="BO24" s="37"/>
      <c r="BP24" s="37"/>
      <c r="BQ24" s="37"/>
      <c r="BR24" s="37"/>
      <c r="BS24" s="37"/>
      <c r="BT24" s="37"/>
      <c r="BU24" s="37">
        <f t="shared" si="0"/>
        <v>0</v>
      </c>
      <c r="BV24" s="37"/>
      <c r="BW24" s="37"/>
      <c r="BX24" s="37"/>
      <c r="BY24" s="37"/>
      <c r="BZ24" s="37"/>
      <c r="CA24" s="37"/>
      <c r="CB24" s="37"/>
      <c r="CC24" s="37"/>
      <c r="CD24" s="37">
        <f t="shared" si="1"/>
        <v>0</v>
      </c>
      <c r="CE24" s="37"/>
      <c r="CF24" s="37"/>
      <c r="CG24" s="37"/>
      <c r="CH24" s="37"/>
      <c r="CI24" s="37"/>
      <c r="CJ24" s="37"/>
      <c r="CK24" s="37"/>
      <c r="CL24" s="37"/>
      <c r="CM24" s="37">
        <f t="shared" si="2"/>
        <v>0</v>
      </c>
      <c r="CN24" s="37"/>
      <c r="CO24" s="37"/>
      <c r="CP24" s="37"/>
      <c r="CQ24" s="37"/>
      <c r="CR24" s="37"/>
      <c r="CS24" s="37"/>
      <c r="CT24" s="37"/>
      <c r="CU24" s="37"/>
      <c r="CV24" s="37">
        <f t="shared" si="3"/>
        <v>0</v>
      </c>
      <c r="CW24" s="37"/>
      <c r="CX24" s="37"/>
      <c r="CY24" s="37"/>
      <c r="CZ24" s="37"/>
      <c r="DA24" s="37"/>
      <c r="DB24" s="37"/>
      <c r="DC24" s="37"/>
      <c r="DD24" s="37"/>
      <c r="DE24" s="37">
        <f t="shared" si="4"/>
        <v>0</v>
      </c>
      <c r="DF24" s="37"/>
      <c r="DG24" s="37"/>
      <c r="DH24" s="37"/>
      <c r="DI24" s="37"/>
      <c r="DJ24" s="37"/>
      <c r="DK24" s="37"/>
      <c r="DL24" s="37"/>
      <c r="DM24" s="37"/>
      <c r="DN24" s="37">
        <f t="shared" si="5"/>
        <v>0</v>
      </c>
      <c r="DO24" s="189">
        <f t="shared" si="13"/>
        <v>2860</v>
      </c>
      <c r="DP24" s="191" t="s">
        <v>217</v>
      </c>
    </row>
    <row r="25" spans="2:120" ht="165" hidden="1" customHeight="1">
      <c r="B25" s="416" t="s">
        <v>74</v>
      </c>
      <c r="C25" s="416" t="s">
        <v>75</v>
      </c>
      <c r="D25" s="418" t="s">
        <v>80</v>
      </c>
      <c r="E25" s="419"/>
      <c r="F25" s="416" t="s">
        <v>12</v>
      </c>
      <c r="G25" s="410">
        <v>13050</v>
      </c>
      <c r="H25" s="431" t="s">
        <v>218</v>
      </c>
      <c r="I25" s="433">
        <v>9160</v>
      </c>
      <c r="J25" s="186" t="s">
        <v>72</v>
      </c>
      <c r="K25" s="413">
        <v>730</v>
      </c>
      <c r="L25" s="414"/>
      <c r="M25" s="414"/>
      <c r="N25" s="414"/>
      <c r="O25" s="414"/>
      <c r="P25" s="414"/>
      <c r="Q25" s="414"/>
      <c r="R25" s="415"/>
      <c r="S25" s="187">
        <f t="shared" si="7"/>
        <v>730</v>
      </c>
      <c r="T25" s="413">
        <v>720</v>
      </c>
      <c r="U25" s="414"/>
      <c r="V25" s="414"/>
      <c r="W25" s="414"/>
      <c r="X25" s="414"/>
      <c r="Y25" s="414"/>
      <c r="Z25" s="414"/>
      <c r="AA25" s="415"/>
      <c r="AB25" s="188">
        <f t="shared" si="8"/>
        <v>720</v>
      </c>
      <c r="AC25" s="413">
        <v>750</v>
      </c>
      <c r="AD25" s="414"/>
      <c r="AE25" s="414"/>
      <c r="AF25" s="414"/>
      <c r="AG25" s="414"/>
      <c r="AH25" s="414"/>
      <c r="AI25" s="414"/>
      <c r="AJ25" s="415"/>
      <c r="AK25" s="37">
        <f t="shared" si="12"/>
        <v>750</v>
      </c>
      <c r="AL25" s="413">
        <v>750</v>
      </c>
      <c r="AM25" s="414"/>
      <c r="AN25" s="414"/>
      <c r="AO25" s="414"/>
      <c r="AP25" s="414"/>
      <c r="AQ25" s="414"/>
      <c r="AR25" s="414"/>
      <c r="AS25" s="415"/>
      <c r="AT25" s="37">
        <f t="shared" si="9"/>
        <v>750</v>
      </c>
      <c r="AU25" s="428">
        <v>760</v>
      </c>
      <c r="AV25" s="429"/>
      <c r="AW25" s="429"/>
      <c r="AX25" s="429"/>
      <c r="AY25" s="429"/>
      <c r="AZ25" s="429"/>
      <c r="BA25" s="429"/>
      <c r="BB25" s="430"/>
      <c r="BC25" s="37">
        <f t="shared" si="10"/>
        <v>760</v>
      </c>
      <c r="BD25" s="428">
        <v>800</v>
      </c>
      <c r="BE25" s="429"/>
      <c r="BF25" s="429"/>
      <c r="BG25" s="429"/>
      <c r="BH25" s="429"/>
      <c r="BI25" s="429"/>
      <c r="BJ25" s="429"/>
      <c r="BK25" s="430"/>
      <c r="BL25" s="37">
        <f t="shared" si="11"/>
        <v>800</v>
      </c>
      <c r="BM25" s="428">
        <v>770</v>
      </c>
      <c r="BN25" s="429"/>
      <c r="BO25" s="429"/>
      <c r="BP25" s="429"/>
      <c r="BQ25" s="429"/>
      <c r="BR25" s="429"/>
      <c r="BS25" s="429"/>
      <c r="BT25" s="430"/>
      <c r="BU25" s="192">
        <f t="shared" si="0"/>
        <v>770</v>
      </c>
      <c r="BV25" s="428">
        <v>770</v>
      </c>
      <c r="BW25" s="429"/>
      <c r="BX25" s="429"/>
      <c r="BY25" s="429"/>
      <c r="BZ25" s="429"/>
      <c r="CA25" s="429"/>
      <c r="CB25" s="429"/>
      <c r="CC25" s="430"/>
      <c r="CD25" s="192">
        <f t="shared" si="1"/>
        <v>770</v>
      </c>
      <c r="CE25" s="428">
        <v>770</v>
      </c>
      <c r="CF25" s="429"/>
      <c r="CG25" s="429"/>
      <c r="CH25" s="429"/>
      <c r="CI25" s="429"/>
      <c r="CJ25" s="429"/>
      <c r="CK25" s="429"/>
      <c r="CL25" s="430"/>
      <c r="CM25" s="192">
        <f t="shared" si="2"/>
        <v>770</v>
      </c>
      <c r="CN25" s="428">
        <v>770</v>
      </c>
      <c r="CO25" s="429"/>
      <c r="CP25" s="429"/>
      <c r="CQ25" s="429"/>
      <c r="CR25" s="429"/>
      <c r="CS25" s="429"/>
      <c r="CT25" s="429"/>
      <c r="CU25" s="430"/>
      <c r="CV25" s="192">
        <f t="shared" si="3"/>
        <v>770</v>
      </c>
      <c r="CW25" s="428">
        <v>770</v>
      </c>
      <c r="CX25" s="429"/>
      <c r="CY25" s="429"/>
      <c r="CZ25" s="429"/>
      <c r="DA25" s="429"/>
      <c r="DB25" s="429"/>
      <c r="DC25" s="429"/>
      <c r="DD25" s="430"/>
      <c r="DE25" s="192">
        <f t="shared" si="4"/>
        <v>770</v>
      </c>
      <c r="DF25" s="428">
        <v>800</v>
      </c>
      <c r="DG25" s="429"/>
      <c r="DH25" s="429"/>
      <c r="DI25" s="429"/>
      <c r="DJ25" s="429"/>
      <c r="DK25" s="429"/>
      <c r="DL25" s="429"/>
      <c r="DM25" s="430"/>
      <c r="DN25" s="192">
        <f t="shared" si="5"/>
        <v>800</v>
      </c>
      <c r="DO25" s="193">
        <f t="shared" si="13"/>
        <v>9160</v>
      </c>
      <c r="DP25" s="194"/>
    </row>
    <row r="26" spans="2:120" ht="243.6" customHeight="1">
      <c r="B26" s="417"/>
      <c r="C26" s="417"/>
      <c r="D26" s="420"/>
      <c r="E26" s="421"/>
      <c r="F26" s="417"/>
      <c r="G26" s="409"/>
      <c r="H26" s="432"/>
      <c r="I26" s="427"/>
      <c r="J26" s="190" t="s">
        <v>73</v>
      </c>
      <c r="K26" s="37">
        <v>223</v>
      </c>
      <c r="L26" s="37">
        <v>169</v>
      </c>
      <c r="M26" s="37">
        <v>0</v>
      </c>
      <c r="N26" s="37">
        <v>0</v>
      </c>
      <c r="O26" s="37">
        <v>297</v>
      </c>
      <c r="P26" s="37">
        <v>0</v>
      </c>
      <c r="Q26" s="37">
        <v>0</v>
      </c>
      <c r="R26" s="37">
        <v>0</v>
      </c>
      <c r="S26" s="187">
        <f t="shared" si="7"/>
        <v>689</v>
      </c>
      <c r="T26" s="37">
        <v>199</v>
      </c>
      <c r="U26" s="37">
        <v>377</v>
      </c>
      <c r="V26" s="37">
        <v>26</v>
      </c>
      <c r="W26" s="37">
        <v>0</v>
      </c>
      <c r="X26" s="37">
        <v>663</v>
      </c>
      <c r="Y26" s="37">
        <v>0</v>
      </c>
      <c r="Z26" s="37">
        <v>0</v>
      </c>
      <c r="AA26" s="37">
        <v>0</v>
      </c>
      <c r="AB26" s="37">
        <f>SUM(T26)+U26+V26+W26+X26+Y26+Z26+AA26</f>
        <v>1265</v>
      </c>
      <c r="AC26" s="37">
        <v>302</v>
      </c>
      <c r="AD26" s="37">
        <v>251</v>
      </c>
      <c r="AE26" s="37">
        <v>138</v>
      </c>
      <c r="AF26" s="37">
        <v>85</v>
      </c>
      <c r="AG26" s="37">
        <v>528</v>
      </c>
      <c r="AH26" s="37">
        <v>0</v>
      </c>
      <c r="AI26" s="37">
        <v>0</v>
      </c>
      <c r="AJ26" s="37">
        <v>0</v>
      </c>
      <c r="AK26" s="37">
        <f t="shared" si="12"/>
        <v>1304</v>
      </c>
      <c r="AL26" s="37">
        <v>365</v>
      </c>
      <c r="AM26" s="37">
        <v>358</v>
      </c>
      <c r="AN26" s="37">
        <v>98</v>
      </c>
      <c r="AO26" s="37">
        <v>74</v>
      </c>
      <c r="AP26" s="37">
        <v>374</v>
      </c>
      <c r="AQ26" s="37">
        <v>0</v>
      </c>
      <c r="AR26" s="37">
        <v>0</v>
      </c>
      <c r="AS26" s="37">
        <v>0</v>
      </c>
      <c r="AT26" s="195">
        <f t="shared" si="9"/>
        <v>1269</v>
      </c>
      <c r="AU26" s="24">
        <v>225</v>
      </c>
      <c r="AV26" s="24">
        <v>362</v>
      </c>
      <c r="AW26" s="24">
        <v>88</v>
      </c>
      <c r="AX26" s="24">
        <v>86</v>
      </c>
      <c r="AY26" s="24">
        <v>372</v>
      </c>
      <c r="AZ26" s="24">
        <v>0</v>
      </c>
      <c r="BA26" s="24">
        <v>0</v>
      </c>
      <c r="BB26" s="24">
        <v>0</v>
      </c>
      <c r="BC26" s="37">
        <f t="shared" si="10"/>
        <v>1133</v>
      </c>
      <c r="BD26" s="24">
        <v>205</v>
      </c>
      <c r="BE26" s="24">
        <v>450</v>
      </c>
      <c r="BF26" s="24">
        <v>99</v>
      </c>
      <c r="BG26" s="24">
        <v>46</v>
      </c>
      <c r="BH26" s="24">
        <v>446</v>
      </c>
      <c r="BI26" s="24">
        <v>0</v>
      </c>
      <c r="BJ26" s="24">
        <v>0</v>
      </c>
      <c r="BK26" s="24">
        <v>0</v>
      </c>
      <c r="BL26" s="37">
        <f t="shared" si="11"/>
        <v>1246</v>
      </c>
      <c r="BM26" s="24"/>
      <c r="BN26" s="24"/>
      <c r="BO26" s="24"/>
      <c r="BP26" s="24"/>
      <c r="BQ26" s="24"/>
      <c r="BR26" s="24"/>
      <c r="BS26" s="24"/>
      <c r="BT26" s="24"/>
      <c r="BU26" s="24">
        <f t="shared" si="0"/>
        <v>0</v>
      </c>
      <c r="BV26" s="24"/>
      <c r="BW26" s="24"/>
      <c r="BX26" s="24"/>
      <c r="BY26" s="24"/>
      <c r="BZ26" s="24"/>
      <c r="CA26" s="24"/>
      <c r="CB26" s="24"/>
      <c r="CC26" s="24"/>
      <c r="CD26" s="24">
        <f t="shared" si="1"/>
        <v>0</v>
      </c>
      <c r="CE26" s="24"/>
      <c r="CF26" s="24"/>
      <c r="CG26" s="24"/>
      <c r="CH26" s="24"/>
      <c r="CI26" s="24"/>
      <c r="CJ26" s="24"/>
      <c r="CK26" s="24"/>
      <c r="CL26" s="24"/>
      <c r="CM26" s="24">
        <f t="shared" si="2"/>
        <v>0</v>
      </c>
      <c r="CN26" s="24"/>
      <c r="CO26" s="24"/>
      <c r="CP26" s="24"/>
      <c r="CQ26" s="24"/>
      <c r="CR26" s="24"/>
      <c r="CS26" s="24"/>
      <c r="CT26" s="24"/>
      <c r="CU26" s="24"/>
      <c r="CV26" s="24">
        <f t="shared" si="3"/>
        <v>0</v>
      </c>
      <c r="CW26" s="24"/>
      <c r="CX26" s="24"/>
      <c r="CY26" s="24"/>
      <c r="CZ26" s="24"/>
      <c r="DA26" s="24"/>
      <c r="DB26" s="24"/>
      <c r="DC26" s="24"/>
      <c r="DD26" s="24"/>
      <c r="DE26" s="24">
        <f t="shared" si="4"/>
        <v>0</v>
      </c>
      <c r="DF26" s="24"/>
      <c r="DG26" s="24"/>
      <c r="DH26" s="24"/>
      <c r="DI26" s="24"/>
      <c r="DJ26" s="24"/>
      <c r="DK26" s="24"/>
      <c r="DL26" s="24"/>
      <c r="DM26" s="24"/>
      <c r="DN26" s="24">
        <f t="shared" si="5"/>
        <v>0</v>
      </c>
      <c r="DO26" s="196">
        <f t="shared" si="13"/>
        <v>6906</v>
      </c>
      <c r="DP26" s="191" t="s">
        <v>219</v>
      </c>
    </row>
    <row r="27" spans="2:120" ht="165" hidden="1" customHeight="1">
      <c r="B27" s="416" t="s">
        <v>83</v>
      </c>
      <c r="C27" s="416" t="s">
        <v>5</v>
      </c>
      <c r="D27" s="418" t="s">
        <v>0</v>
      </c>
      <c r="E27" s="419"/>
      <c r="F27" s="416" t="s">
        <v>0</v>
      </c>
      <c r="G27" s="416">
        <v>0</v>
      </c>
      <c r="H27" s="416" t="s">
        <v>0</v>
      </c>
      <c r="I27" s="433">
        <v>1</v>
      </c>
      <c r="J27" s="186" t="s">
        <v>72</v>
      </c>
      <c r="K27" s="413"/>
      <c r="L27" s="414"/>
      <c r="M27" s="414"/>
      <c r="N27" s="414"/>
      <c r="O27" s="414"/>
      <c r="P27" s="414"/>
      <c r="Q27" s="414"/>
      <c r="R27" s="415"/>
      <c r="S27" s="187">
        <f t="shared" si="7"/>
        <v>0</v>
      </c>
      <c r="T27" s="413"/>
      <c r="U27" s="414"/>
      <c r="V27" s="414"/>
      <c r="W27" s="414"/>
      <c r="X27" s="414"/>
      <c r="Y27" s="414"/>
      <c r="Z27" s="414"/>
      <c r="AA27" s="415"/>
      <c r="AB27" s="188">
        <f t="shared" si="8"/>
        <v>0</v>
      </c>
      <c r="AC27" s="413"/>
      <c r="AD27" s="414"/>
      <c r="AE27" s="414"/>
      <c r="AF27" s="414"/>
      <c r="AG27" s="414"/>
      <c r="AH27" s="414"/>
      <c r="AI27" s="414"/>
      <c r="AJ27" s="415"/>
      <c r="AK27" s="37">
        <f t="shared" si="12"/>
        <v>0</v>
      </c>
      <c r="AL27" s="413"/>
      <c r="AM27" s="414"/>
      <c r="AN27" s="414"/>
      <c r="AO27" s="414"/>
      <c r="AP27" s="414"/>
      <c r="AQ27" s="414"/>
      <c r="AR27" s="414"/>
      <c r="AS27" s="415"/>
      <c r="AT27" s="195">
        <f t="shared" si="9"/>
        <v>0</v>
      </c>
      <c r="AU27" s="434"/>
      <c r="AV27" s="434"/>
      <c r="AW27" s="434"/>
      <c r="AX27" s="434"/>
      <c r="AY27" s="434"/>
      <c r="AZ27" s="434"/>
      <c r="BA27" s="434"/>
      <c r="BB27" s="434"/>
      <c r="BC27" s="24">
        <f t="shared" ref="BC27:BC30" si="14">SUM(AU27:BB27)</f>
        <v>0</v>
      </c>
      <c r="BD27" s="434"/>
      <c r="BE27" s="434"/>
      <c r="BF27" s="434"/>
      <c r="BG27" s="434"/>
      <c r="BH27" s="434"/>
      <c r="BI27" s="434"/>
      <c r="BJ27" s="434"/>
      <c r="BK27" s="434"/>
      <c r="BL27" s="37">
        <f t="shared" si="11"/>
        <v>0</v>
      </c>
      <c r="BM27" s="434"/>
      <c r="BN27" s="434"/>
      <c r="BO27" s="434"/>
      <c r="BP27" s="434"/>
      <c r="BQ27" s="434"/>
      <c r="BR27" s="434"/>
      <c r="BS27" s="434"/>
      <c r="BT27" s="434"/>
      <c r="BU27" s="188">
        <f t="shared" si="0"/>
        <v>0</v>
      </c>
      <c r="BV27" s="434"/>
      <c r="BW27" s="434"/>
      <c r="BX27" s="434"/>
      <c r="BY27" s="434"/>
      <c r="BZ27" s="434"/>
      <c r="CA27" s="434"/>
      <c r="CB27" s="434"/>
      <c r="CC27" s="434"/>
      <c r="CD27" s="188">
        <f t="shared" si="1"/>
        <v>0</v>
      </c>
      <c r="CE27" s="434">
        <v>1</v>
      </c>
      <c r="CF27" s="434"/>
      <c r="CG27" s="434"/>
      <c r="CH27" s="434"/>
      <c r="CI27" s="434"/>
      <c r="CJ27" s="434"/>
      <c r="CK27" s="434"/>
      <c r="CL27" s="434"/>
      <c r="CM27" s="188">
        <f t="shared" si="2"/>
        <v>1</v>
      </c>
      <c r="CN27" s="434"/>
      <c r="CO27" s="434"/>
      <c r="CP27" s="434"/>
      <c r="CQ27" s="434"/>
      <c r="CR27" s="434"/>
      <c r="CS27" s="434"/>
      <c r="CT27" s="434"/>
      <c r="CU27" s="434"/>
      <c r="CV27" s="188">
        <f t="shared" si="3"/>
        <v>0</v>
      </c>
      <c r="CW27" s="434"/>
      <c r="CX27" s="434"/>
      <c r="CY27" s="434"/>
      <c r="CZ27" s="434"/>
      <c r="DA27" s="434"/>
      <c r="DB27" s="434"/>
      <c r="DC27" s="434"/>
      <c r="DD27" s="434"/>
      <c r="DE27" s="188">
        <f t="shared" si="4"/>
        <v>0</v>
      </c>
      <c r="DF27" s="434"/>
      <c r="DG27" s="434"/>
      <c r="DH27" s="434"/>
      <c r="DI27" s="434"/>
      <c r="DJ27" s="434"/>
      <c r="DK27" s="434"/>
      <c r="DL27" s="434"/>
      <c r="DM27" s="434"/>
      <c r="DN27" s="188">
        <f t="shared" si="5"/>
        <v>0</v>
      </c>
      <c r="DO27" s="196">
        <f t="shared" si="13"/>
        <v>1</v>
      </c>
      <c r="DP27" s="197"/>
    </row>
    <row r="28" spans="2:120" ht="165" customHeight="1">
      <c r="B28" s="417"/>
      <c r="C28" s="417"/>
      <c r="D28" s="420"/>
      <c r="E28" s="421"/>
      <c r="F28" s="417"/>
      <c r="G28" s="417"/>
      <c r="H28" s="417"/>
      <c r="I28" s="427"/>
      <c r="J28" s="190" t="s">
        <v>73</v>
      </c>
      <c r="K28" s="413">
        <v>0</v>
      </c>
      <c r="L28" s="414"/>
      <c r="M28" s="414"/>
      <c r="N28" s="414"/>
      <c r="O28" s="414"/>
      <c r="P28" s="414"/>
      <c r="Q28" s="414"/>
      <c r="R28" s="415"/>
      <c r="S28" s="187">
        <f t="shared" si="7"/>
        <v>0</v>
      </c>
      <c r="T28" s="413"/>
      <c r="U28" s="414"/>
      <c r="V28" s="414"/>
      <c r="W28" s="414"/>
      <c r="X28" s="414"/>
      <c r="Y28" s="414"/>
      <c r="Z28" s="414"/>
      <c r="AA28" s="415"/>
      <c r="AB28" s="188">
        <f t="shared" si="8"/>
        <v>0</v>
      </c>
      <c r="AC28" s="413">
        <v>0</v>
      </c>
      <c r="AD28" s="414"/>
      <c r="AE28" s="414"/>
      <c r="AF28" s="414"/>
      <c r="AG28" s="414"/>
      <c r="AH28" s="414"/>
      <c r="AI28" s="414"/>
      <c r="AJ28" s="415"/>
      <c r="AK28" s="37">
        <f t="shared" si="12"/>
        <v>0</v>
      </c>
      <c r="AL28" s="413">
        <v>0</v>
      </c>
      <c r="AM28" s="414"/>
      <c r="AN28" s="414"/>
      <c r="AO28" s="414"/>
      <c r="AP28" s="414"/>
      <c r="AQ28" s="414"/>
      <c r="AR28" s="414"/>
      <c r="AS28" s="415"/>
      <c r="AT28" s="195">
        <f t="shared" si="9"/>
        <v>0</v>
      </c>
      <c r="AU28" s="434">
        <v>0</v>
      </c>
      <c r="AV28" s="434"/>
      <c r="AW28" s="434"/>
      <c r="AX28" s="434"/>
      <c r="AY28" s="434"/>
      <c r="AZ28" s="434"/>
      <c r="BA28" s="434"/>
      <c r="BB28" s="434"/>
      <c r="BC28" s="24">
        <f t="shared" si="14"/>
        <v>0</v>
      </c>
      <c r="BD28" s="434">
        <v>0</v>
      </c>
      <c r="BE28" s="434"/>
      <c r="BF28" s="434"/>
      <c r="BG28" s="434"/>
      <c r="BH28" s="434"/>
      <c r="BI28" s="434"/>
      <c r="BJ28" s="434"/>
      <c r="BK28" s="434"/>
      <c r="BL28" s="37">
        <f t="shared" si="11"/>
        <v>0</v>
      </c>
      <c r="BM28" s="434"/>
      <c r="BN28" s="434"/>
      <c r="BO28" s="434"/>
      <c r="BP28" s="434"/>
      <c r="BQ28" s="434"/>
      <c r="BR28" s="434"/>
      <c r="BS28" s="434"/>
      <c r="BT28" s="434"/>
      <c r="BU28" s="188">
        <f t="shared" si="0"/>
        <v>0</v>
      </c>
      <c r="BV28" s="434"/>
      <c r="BW28" s="434"/>
      <c r="BX28" s="434"/>
      <c r="BY28" s="434"/>
      <c r="BZ28" s="434"/>
      <c r="CA28" s="434"/>
      <c r="CB28" s="434"/>
      <c r="CC28" s="434"/>
      <c r="CD28" s="188">
        <f t="shared" si="1"/>
        <v>0</v>
      </c>
      <c r="CE28" s="434"/>
      <c r="CF28" s="434"/>
      <c r="CG28" s="434"/>
      <c r="CH28" s="434"/>
      <c r="CI28" s="434"/>
      <c r="CJ28" s="434"/>
      <c r="CK28" s="434"/>
      <c r="CL28" s="434"/>
      <c r="CM28" s="188">
        <f t="shared" si="2"/>
        <v>0</v>
      </c>
      <c r="CN28" s="434"/>
      <c r="CO28" s="434"/>
      <c r="CP28" s="434"/>
      <c r="CQ28" s="434"/>
      <c r="CR28" s="434"/>
      <c r="CS28" s="434"/>
      <c r="CT28" s="434"/>
      <c r="CU28" s="434"/>
      <c r="CV28" s="188">
        <f t="shared" si="3"/>
        <v>0</v>
      </c>
      <c r="CW28" s="434"/>
      <c r="CX28" s="434"/>
      <c r="CY28" s="434"/>
      <c r="CZ28" s="434"/>
      <c r="DA28" s="434"/>
      <c r="DB28" s="434"/>
      <c r="DC28" s="434"/>
      <c r="DD28" s="434"/>
      <c r="DE28" s="188">
        <f t="shared" si="4"/>
        <v>0</v>
      </c>
      <c r="DF28" s="434"/>
      <c r="DG28" s="434"/>
      <c r="DH28" s="434"/>
      <c r="DI28" s="434"/>
      <c r="DJ28" s="434"/>
      <c r="DK28" s="434"/>
      <c r="DL28" s="434"/>
      <c r="DM28" s="434"/>
      <c r="DN28" s="188">
        <f t="shared" si="5"/>
        <v>0</v>
      </c>
      <c r="DO28" s="196">
        <f t="shared" si="13"/>
        <v>0</v>
      </c>
      <c r="DP28" s="197"/>
    </row>
    <row r="29" spans="2:120" ht="251.25" hidden="1" customHeight="1">
      <c r="B29" s="409" t="s">
        <v>88</v>
      </c>
      <c r="C29" s="416" t="s">
        <v>15</v>
      </c>
      <c r="D29" s="418" t="s">
        <v>181</v>
      </c>
      <c r="E29" s="419"/>
      <c r="F29" s="416" t="s">
        <v>9</v>
      </c>
      <c r="G29" s="416">
        <v>0</v>
      </c>
      <c r="H29" s="416" t="s">
        <v>220</v>
      </c>
      <c r="I29" s="424">
        <v>1</v>
      </c>
      <c r="J29" s="186" t="s">
        <v>72</v>
      </c>
      <c r="K29" s="413"/>
      <c r="L29" s="414"/>
      <c r="M29" s="414"/>
      <c r="N29" s="414"/>
      <c r="O29" s="414"/>
      <c r="P29" s="414"/>
      <c r="Q29" s="414"/>
      <c r="R29" s="415"/>
      <c r="S29" s="187">
        <f t="shared" si="7"/>
        <v>0</v>
      </c>
      <c r="T29" s="413"/>
      <c r="U29" s="414"/>
      <c r="V29" s="414"/>
      <c r="W29" s="414"/>
      <c r="X29" s="414"/>
      <c r="Y29" s="414"/>
      <c r="Z29" s="414"/>
      <c r="AA29" s="415"/>
      <c r="AB29" s="188">
        <f t="shared" si="8"/>
        <v>0</v>
      </c>
      <c r="AC29" s="413"/>
      <c r="AD29" s="414"/>
      <c r="AE29" s="414"/>
      <c r="AF29" s="414"/>
      <c r="AG29" s="414"/>
      <c r="AH29" s="414"/>
      <c r="AI29" s="414"/>
      <c r="AJ29" s="415"/>
      <c r="AK29" s="37">
        <f t="shared" si="12"/>
        <v>0</v>
      </c>
      <c r="AL29" s="413"/>
      <c r="AM29" s="414"/>
      <c r="AN29" s="414"/>
      <c r="AO29" s="414"/>
      <c r="AP29" s="414"/>
      <c r="AQ29" s="414"/>
      <c r="AR29" s="414"/>
      <c r="AS29" s="415"/>
      <c r="AT29" s="195">
        <f t="shared" si="9"/>
        <v>0</v>
      </c>
      <c r="AU29" s="434"/>
      <c r="AV29" s="434"/>
      <c r="AW29" s="434"/>
      <c r="AX29" s="434"/>
      <c r="AY29" s="434"/>
      <c r="AZ29" s="434"/>
      <c r="BA29" s="434"/>
      <c r="BB29" s="434"/>
      <c r="BC29" s="24">
        <f t="shared" si="14"/>
        <v>0</v>
      </c>
      <c r="BD29" s="434"/>
      <c r="BE29" s="434"/>
      <c r="BF29" s="434"/>
      <c r="BG29" s="434"/>
      <c r="BH29" s="434"/>
      <c r="BI29" s="434"/>
      <c r="BJ29" s="434"/>
      <c r="BK29" s="434"/>
      <c r="BL29" s="37">
        <f t="shared" si="11"/>
        <v>0</v>
      </c>
      <c r="BM29" s="434"/>
      <c r="BN29" s="434"/>
      <c r="BO29" s="434"/>
      <c r="BP29" s="434"/>
      <c r="BQ29" s="434"/>
      <c r="BR29" s="434"/>
      <c r="BS29" s="434"/>
      <c r="BT29" s="434"/>
      <c r="BU29" s="188">
        <f t="shared" si="0"/>
        <v>0</v>
      </c>
      <c r="BV29" s="434"/>
      <c r="BW29" s="434"/>
      <c r="BX29" s="434"/>
      <c r="BY29" s="434"/>
      <c r="BZ29" s="434"/>
      <c r="CA29" s="434"/>
      <c r="CB29" s="434"/>
      <c r="CC29" s="434"/>
      <c r="CD29" s="188">
        <f t="shared" si="1"/>
        <v>0</v>
      </c>
      <c r="CE29" s="434">
        <v>1</v>
      </c>
      <c r="CF29" s="434"/>
      <c r="CG29" s="434"/>
      <c r="CH29" s="434"/>
      <c r="CI29" s="434"/>
      <c r="CJ29" s="434"/>
      <c r="CK29" s="434"/>
      <c r="CL29" s="434"/>
      <c r="CM29" s="188">
        <f t="shared" si="2"/>
        <v>1</v>
      </c>
      <c r="CN29" s="434"/>
      <c r="CO29" s="434"/>
      <c r="CP29" s="434"/>
      <c r="CQ29" s="434"/>
      <c r="CR29" s="434"/>
      <c r="CS29" s="434"/>
      <c r="CT29" s="434"/>
      <c r="CU29" s="434"/>
      <c r="CV29" s="188">
        <f t="shared" si="3"/>
        <v>0</v>
      </c>
      <c r="CW29" s="434"/>
      <c r="CX29" s="434"/>
      <c r="CY29" s="434"/>
      <c r="CZ29" s="434"/>
      <c r="DA29" s="434"/>
      <c r="DB29" s="434"/>
      <c r="DC29" s="434"/>
      <c r="DD29" s="434"/>
      <c r="DE29" s="188">
        <f t="shared" si="4"/>
        <v>0</v>
      </c>
      <c r="DF29" s="434"/>
      <c r="DG29" s="434"/>
      <c r="DH29" s="434"/>
      <c r="DI29" s="434"/>
      <c r="DJ29" s="434"/>
      <c r="DK29" s="434"/>
      <c r="DL29" s="434"/>
      <c r="DM29" s="434"/>
      <c r="DN29" s="188">
        <f t="shared" si="5"/>
        <v>0</v>
      </c>
      <c r="DO29" s="196">
        <f t="shared" si="13"/>
        <v>1</v>
      </c>
      <c r="DP29" s="197"/>
    </row>
    <row r="30" spans="2:120" ht="150" customHeight="1">
      <c r="B30" s="409"/>
      <c r="C30" s="417"/>
      <c r="D30" s="420"/>
      <c r="E30" s="421"/>
      <c r="F30" s="417"/>
      <c r="G30" s="417"/>
      <c r="H30" s="417"/>
      <c r="I30" s="424"/>
      <c r="J30" s="190" t="s">
        <v>73</v>
      </c>
      <c r="K30" s="413">
        <v>0</v>
      </c>
      <c r="L30" s="414"/>
      <c r="M30" s="414"/>
      <c r="N30" s="414"/>
      <c r="O30" s="414"/>
      <c r="P30" s="414"/>
      <c r="Q30" s="414"/>
      <c r="R30" s="415"/>
      <c r="S30" s="187">
        <f t="shared" si="7"/>
        <v>0</v>
      </c>
      <c r="T30" s="413"/>
      <c r="U30" s="414"/>
      <c r="V30" s="414"/>
      <c r="W30" s="414"/>
      <c r="X30" s="414"/>
      <c r="Y30" s="414"/>
      <c r="Z30" s="414"/>
      <c r="AA30" s="415"/>
      <c r="AB30" s="188">
        <f t="shared" si="8"/>
        <v>0</v>
      </c>
      <c r="AC30" s="413">
        <v>0</v>
      </c>
      <c r="AD30" s="414"/>
      <c r="AE30" s="414"/>
      <c r="AF30" s="414"/>
      <c r="AG30" s="414"/>
      <c r="AH30" s="414"/>
      <c r="AI30" s="414"/>
      <c r="AJ30" s="415"/>
      <c r="AK30" s="37">
        <f t="shared" si="12"/>
        <v>0</v>
      </c>
      <c r="AL30" s="413">
        <v>0</v>
      </c>
      <c r="AM30" s="414"/>
      <c r="AN30" s="414"/>
      <c r="AO30" s="414"/>
      <c r="AP30" s="414"/>
      <c r="AQ30" s="414"/>
      <c r="AR30" s="414"/>
      <c r="AS30" s="415"/>
      <c r="AT30" s="195">
        <f t="shared" si="9"/>
        <v>0</v>
      </c>
      <c r="AU30" s="434">
        <v>0</v>
      </c>
      <c r="AV30" s="434"/>
      <c r="AW30" s="434"/>
      <c r="AX30" s="434"/>
      <c r="AY30" s="434"/>
      <c r="AZ30" s="434"/>
      <c r="BA30" s="434"/>
      <c r="BB30" s="434"/>
      <c r="BC30" s="24">
        <f t="shared" si="14"/>
        <v>0</v>
      </c>
      <c r="BD30" s="434">
        <v>0</v>
      </c>
      <c r="BE30" s="434"/>
      <c r="BF30" s="434"/>
      <c r="BG30" s="434"/>
      <c r="BH30" s="434"/>
      <c r="BI30" s="434"/>
      <c r="BJ30" s="434"/>
      <c r="BK30" s="434"/>
      <c r="BL30" s="37">
        <f t="shared" si="11"/>
        <v>0</v>
      </c>
      <c r="BM30" s="434"/>
      <c r="BN30" s="434"/>
      <c r="BO30" s="434"/>
      <c r="BP30" s="434"/>
      <c r="BQ30" s="434"/>
      <c r="BR30" s="434"/>
      <c r="BS30" s="434"/>
      <c r="BT30" s="434"/>
      <c r="BU30" s="188">
        <f t="shared" si="0"/>
        <v>0</v>
      </c>
      <c r="BV30" s="434"/>
      <c r="BW30" s="434"/>
      <c r="BX30" s="434"/>
      <c r="BY30" s="434"/>
      <c r="BZ30" s="434"/>
      <c r="CA30" s="434"/>
      <c r="CB30" s="434"/>
      <c r="CC30" s="434"/>
      <c r="CD30" s="188">
        <f t="shared" si="1"/>
        <v>0</v>
      </c>
      <c r="CE30" s="434"/>
      <c r="CF30" s="434"/>
      <c r="CG30" s="434"/>
      <c r="CH30" s="434"/>
      <c r="CI30" s="434"/>
      <c r="CJ30" s="434"/>
      <c r="CK30" s="434"/>
      <c r="CL30" s="434"/>
      <c r="CM30" s="188">
        <f t="shared" si="2"/>
        <v>0</v>
      </c>
      <c r="CN30" s="434"/>
      <c r="CO30" s="434"/>
      <c r="CP30" s="434"/>
      <c r="CQ30" s="434"/>
      <c r="CR30" s="434"/>
      <c r="CS30" s="434"/>
      <c r="CT30" s="434"/>
      <c r="CU30" s="434"/>
      <c r="CV30" s="188">
        <f t="shared" si="3"/>
        <v>0</v>
      </c>
      <c r="CW30" s="434"/>
      <c r="CX30" s="434"/>
      <c r="CY30" s="434"/>
      <c r="CZ30" s="434"/>
      <c r="DA30" s="434"/>
      <c r="DB30" s="434"/>
      <c r="DC30" s="434"/>
      <c r="DD30" s="434"/>
      <c r="DE30" s="188">
        <f t="shared" si="4"/>
        <v>0</v>
      </c>
      <c r="DF30" s="434"/>
      <c r="DG30" s="434"/>
      <c r="DH30" s="434"/>
      <c r="DI30" s="434"/>
      <c r="DJ30" s="434"/>
      <c r="DK30" s="434"/>
      <c r="DL30" s="434"/>
      <c r="DM30" s="434"/>
      <c r="DN30" s="188">
        <f t="shared" si="5"/>
        <v>0</v>
      </c>
      <c r="DO30" s="196">
        <f t="shared" si="13"/>
        <v>0</v>
      </c>
      <c r="DP30" s="197"/>
    </row>
    <row r="31" spans="2:120" ht="61.5">
      <c r="B31" s="437"/>
      <c r="C31" s="437"/>
      <c r="D31" s="438"/>
      <c r="E31" s="438"/>
      <c r="F31" s="198"/>
      <c r="J31" s="199"/>
      <c r="AB31" s="200">
        <f t="shared" si="8"/>
        <v>0</v>
      </c>
      <c r="DE31" s="201"/>
    </row>
    <row r="32" spans="2:120" ht="23.25">
      <c r="B32" s="202"/>
      <c r="C32" s="150"/>
    </row>
    <row r="34" spans="10:10">
      <c r="J34" s="199"/>
    </row>
    <row r="57" spans="2:10" ht="138.6" customHeight="1">
      <c r="B57" s="435" t="s">
        <v>92</v>
      </c>
      <c r="C57" s="436"/>
      <c r="G57" s="435" t="s">
        <v>93</v>
      </c>
      <c r="H57" s="435"/>
      <c r="I57" s="435"/>
      <c r="J57" s="436"/>
    </row>
    <row r="58" spans="2:10" ht="33.75" customHeight="1"/>
  </sheetData>
  <mergeCells count="213">
    <mergeCell ref="CW28:DD28"/>
    <mergeCell ref="DF28:DM28"/>
    <mergeCell ref="CN30:CU30"/>
    <mergeCell ref="CW30:DD30"/>
    <mergeCell ref="DF30:DM30"/>
    <mergeCell ref="B31:C31"/>
    <mergeCell ref="D31:E31"/>
    <mergeCell ref="B27:B28"/>
    <mergeCell ref="C27:C28"/>
    <mergeCell ref="D27:E28"/>
    <mergeCell ref="F27:F28"/>
    <mergeCell ref="G27:G28"/>
    <mergeCell ref="BD27:BK27"/>
    <mergeCell ref="BM27:BT27"/>
    <mergeCell ref="BV27:CC27"/>
    <mergeCell ref="CE27:CL27"/>
    <mergeCell ref="CN27:CU27"/>
    <mergeCell ref="H27:H28"/>
    <mergeCell ref="I27:I28"/>
    <mergeCell ref="CE28:CL28"/>
    <mergeCell ref="CN28:CU28"/>
    <mergeCell ref="B57:C57"/>
    <mergeCell ref="G57:J57"/>
    <mergeCell ref="DF29:DM29"/>
    <mergeCell ref="K30:R30"/>
    <mergeCell ref="T30:AA30"/>
    <mergeCell ref="AC30:AJ30"/>
    <mergeCell ref="AL30:AS30"/>
    <mergeCell ref="AU30:BB30"/>
    <mergeCell ref="BD30:BK30"/>
    <mergeCell ref="BM30:BT30"/>
    <mergeCell ref="BV30:CC30"/>
    <mergeCell ref="CE30:CL30"/>
    <mergeCell ref="BD29:BK29"/>
    <mergeCell ref="BM29:BT29"/>
    <mergeCell ref="BV29:CC29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BV25:CC25"/>
    <mergeCell ref="CE25:CL25"/>
    <mergeCell ref="CN25:CU25"/>
    <mergeCell ref="CW25:DD25"/>
    <mergeCell ref="DF25:DM25"/>
    <mergeCell ref="BD25:BK25"/>
    <mergeCell ref="BM25:BT25"/>
    <mergeCell ref="B29:B30"/>
    <mergeCell ref="C29:C30"/>
    <mergeCell ref="D29:E30"/>
    <mergeCell ref="F29:F30"/>
    <mergeCell ref="G29:G30"/>
    <mergeCell ref="H29:H30"/>
    <mergeCell ref="CW27:DD27"/>
    <mergeCell ref="DF27:DM27"/>
    <mergeCell ref="K28:R28"/>
    <mergeCell ref="T28:AA28"/>
    <mergeCell ref="AC28:AJ28"/>
    <mergeCell ref="AL28:AS28"/>
    <mergeCell ref="AU28:BB28"/>
    <mergeCell ref="BD28:BK28"/>
    <mergeCell ref="BM28:BT28"/>
    <mergeCell ref="BV28:CC28"/>
    <mergeCell ref="AU27:BB27"/>
    <mergeCell ref="T25:AA25"/>
    <mergeCell ref="AC25:AJ25"/>
    <mergeCell ref="AL25:AS25"/>
    <mergeCell ref="AU25:BB25"/>
    <mergeCell ref="K27:R27"/>
    <mergeCell ref="T27:AA27"/>
    <mergeCell ref="AC27:AJ27"/>
    <mergeCell ref="AL27:AS27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23:DD23"/>
    <mergeCell ref="DF23:DM23"/>
    <mergeCell ref="BD23:BK23"/>
    <mergeCell ref="BM23:BT23"/>
    <mergeCell ref="BV23:CC23"/>
    <mergeCell ref="CE23:CL23"/>
    <mergeCell ref="CN23:CU23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H19:H20"/>
    <mergeCell ref="I19:I20"/>
    <mergeCell ref="K19:R19"/>
    <mergeCell ref="T19:AA19"/>
    <mergeCell ref="AC19:AJ19"/>
    <mergeCell ref="AL19:AS19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D19:BK19"/>
    <mergeCell ref="BM19:BT19"/>
    <mergeCell ref="BV19:CC19"/>
    <mergeCell ref="CE19:CL19"/>
    <mergeCell ref="CN19:CU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B5:E5"/>
    <mergeCell ref="H5:H6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25" right="0.25" top="0.75" bottom="0.75" header="0.3" footer="0.3"/>
  <pageSetup scale="12" orientation="landscape" r:id="rId1"/>
  <headerFooter>
    <oddFooter>&amp;R&amp;10F-PEM-07-00 
DIF Guadalajara
Pág. &amp;P de &amp;N</oddFooter>
  </headerFooter>
  <rowBreaks count="1" manualBreakCount="1">
    <brk id="62" max="118" man="1"/>
  </rowBreaks>
  <colBreaks count="2" manualBreakCount="2">
    <brk id="73" max="1048575" man="1"/>
    <brk id="121" max="37" man="1"/>
  </colBreaks>
  <ignoredErrors>
    <ignoredError sqref="BL15:DO15 BM17:DO30 BM16:DO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62"/>
  <sheetViews>
    <sheetView topLeftCell="D16" zoomScale="20" zoomScaleNormal="20" zoomScaleSheetLayoutView="13" workbookViewId="0">
      <selection activeCell="DO24" sqref="DO24:DO26"/>
    </sheetView>
  </sheetViews>
  <sheetFormatPr baseColWidth="10" defaultColWidth="10.7109375" defaultRowHeight="15"/>
  <cols>
    <col min="1" max="1" width="6.5703125" style="123" customWidth="1"/>
    <col min="2" max="2" width="95.85546875" style="125" customWidth="1"/>
    <col min="3" max="3" width="77.7109375" style="125" customWidth="1"/>
    <col min="4" max="4" width="34.7109375" style="125" customWidth="1"/>
    <col min="5" max="5" width="14.7109375" style="125" customWidth="1"/>
    <col min="6" max="6" width="64.42578125" style="125" customWidth="1"/>
    <col min="7" max="7" width="64.7109375" style="125" customWidth="1"/>
    <col min="8" max="8" width="81.7109375" style="125" customWidth="1"/>
    <col min="9" max="9" width="57.5703125" style="125" customWidth="1"/>
    <col min="10" max="10" width="72.42578125" style="125" customWidth="1"/>
    <col min="11" max="12" width="30.7109375" style="126" hidden="1" customWidth="1"/>
    <col min="13" max="18" width="30.7109375" style="127" hidden="1" customWidth="1"/>
    <col min="19" max="19" width="39.28515625" style="127" hidden="1" customWidth="1"/>
    <col min="20" max="20" width="39.28515625" style="123" hidden="1" customWidth="1"/>
    <col min="21" max="27" width="30.7109375" style="123" hidden="1" customWidth="1"/>
    <col min="28" max="28" width="49.28515625" style="123" hidden="1" customWidth="1"/>
    <col min="29" max="52" width="30.7109375" style="123" hidden="1" customWidth="1"/>
    <col min="53" max="53" width="42.7109375" style="123" hidden="1" customWidth="1"/>
    <col min="54" max="54" width="30.7109375" style="123" hidden="1" customWidth="1"/>
    <col min="55" max="55" width="60" style="128" hidden="1" customWidth="1"/>
    <col min="56" max="64" width="30.7109375" style="123" customWidth="1"/>
    <col min="65" max="118" width="30.7109375" style="123" hidden="1" customWidth="1"/>
    <col min="119" max="119" width="82.28515625" style="123" customWidth="1"/>
    <col min="120" max="120" width="171.7109375" style="123" customWidth="1"/>
    <col min="121" max="16384" width="10.7109375" style="123"/>
  </cols>
  <sheetData>
    <row r="2" spans="2:120" ht="15" customHeight="1">
      <c r="B2" s="439" t="s">
        <v>168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439"/>
      <c r="AY2" s="439"/>
      <c r="AZ2" s="439"/>
      <c r="BA2" s="439"/>
      <c r="BB2" s="439"/>
      <c r="BC2" s="439"/>
      <c r="BD2" s="439"/>
      <c r="BE2" s="439"/>
      <c r="BF2" s="439"/>
      <c r="BG2" s="439"/>
      <c r="BH2" s="439"/>
      <c r="BI2" s="439"/>
      <c r="BJ2" s="439"/>
      <c r="BK2" s="439"/>
      <c r="BL2" s="439"/>
      <c r="BM2" s="439"/>
      <c r="BN2" s="439"/>
      <c r="BO2" s="439"/>
      <c r="BP2" s="439"/>
      <c r="BQ2" s="439"/>
      <c r="BR2" s="439"/>
      <c r="BS2" s="439"/>
      <c r="BT2" s="439"/>
      <c r="BU2" s="439"/>
      <c r="BV2" s="439"/>
      <c r="BW2" s="439"/>
      <c r="BX2" s="439"/>
      <c r="BY2" s="439"/>
      <c r="BZ2" s="439"/>
      <c r="CA2" s="439"/>
      <c r="CB2" s="439"/>
      <c r="CC2" s="439"/>
      <c r="CD2" s="439"/>
      <c r="CE2" s="439"/>
      <c r="CF2" s="439"/>
      <c r="CG2" s="439"/>
      <c r="CH2" s="439"/>
      <c r="CI2" s="439"/>
      <c r="CJ2" s="439"/>
      <c r="CK2" s="439"/>
      <c r="CL2" s="439"/>
      <c r="CM2" s="439"/>
      <c r="CN2" s="439"/>
      <c r="CO2" s="439"/>
      <c r="CP2" s="439"/>
      <c r="CQ2" s="439"/>
      <c r="CR2" s="439"/>
      <c r="CS2" s="439"/>
      <c r="CT2" s="439"/>
      <c r="CU2" s="439"/>
      <c r="CV2" s="439"/>
      <c r="CW2" s="439"/>
      <c r="CX2" s="439"/>
      <c r="CY2" s="439"/>
      <c r="CZ2" s="439"/>
      <c r="DA2" s="439"/>
      <c r="DB2" s="439"/>
      <c r="DC2" s="439"/>
      <c r="DD2" s="439"/>
      <c r="DE2" s="439"/>
      <c r="DF2" s="439"/>
      <c r="DG2" s="439"/>
      <c r="DH2" s="439"/>
      <c r="DI2" s="439"/>
      <c r="DJ2" s="439"/>
      <c r="DK2" s="439"/>
      <c r="DL2" s="439"/>
      <c r="DM2" s="439"/>
      <c r="DN2" s="439"/>
      <c r="DO2" s="439"/>
      <c r="DP2" s="439"/>
    </row>
    <row r="3" spans="2:120" ht="115.5" customHeight="1"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  <c r="AT3" s="439"/>
      <c r="AU3" s="439"/>
      <c r="AV3" s="439"/>
      <c r="AW3" s="439"/>
      <c r="AX3" s="439"/>
      <c r="AY3" s="439"/>
      <c r="AZ3" s="439"/>
      <c r="BA3" s="439"/>
      <c r="BB3" s="439"/>
      <c r="BC3" s="439"/>
      <c r="BD3" s="439"/>
      <c r="BE3" s="439"/>
      <c r="BF3" s="439"/>
      <c r="BG3" s="439"/>
      <c r="BH3" s="439"/>
      <c r="BI3" s="439"/>
      <c r="BJ3" s="439"/>
      <c r="BK3" s="439"/>
      <c r="BL3" s="439"/>
      <c r="BM3" s="439"/>
      <c r="BN3" s="439"/>
      <c r="BO3" s="439"/>
      <c r="BP3" s="439"/>
      <c r="BQ3" s="439"/>
      <c r="BR3" s="439"/>
      <c r="BS3" s="439"/>
      <c r="BT3" s="439"/>
      <c r="BU3" s="439"/>
      <c r="BV3" s="439"/>
      <c r="BW3" s="439"/>
      <c r="BX3" s="439"/>
      <c r="BY3" s="439"/>
      <c r="BZ3" s="439"/>
      <c r="CA3" s="439"/>
      <c r="CB3" s="439"/>
      <c r="CC3" s="439"/>
      <c r="CD3" s="439"/>
      <c r="CE3" s="439"/>
      <c r="CF3" s="439"/>
      <c r="CG3" s="439"/>
      <c r="CH3" s="439"/>
      <c r="CI3" s="439"/>
      <c r="CJ3" s="439"/>
      <c r="CK3" s="439"/>
      <c r="CL3" s="439"/>
      <c r="CM3" s="439"/>
      <c r="CN3" s="439"/>
      <c r="CO3" s="439"/>
      <c r="CP3" s="439"/>
      <c r="CQ3" s="439"/>
      <c r="CR3" s="439"/>
      <c r="CS3" s="439"/>
      <c r="CT3" s="439"/>
      <c r="CU3" s="439"/>
      <c r="CV3" s="439"/>
      <c r="CW3" s="439"/>
      <c r="CX3" s="439"/>
      <c r="CY3" s="439"/>
      <c r="CZ3" s="439"/>
      <c r="DA3" s="439"/>
      <c r="DB3" s="439"/>
      <c r="DC3" s="439"/>
      <c r="DD3" s="439"/>
      <c r="DE3" s="439"/>
      <c r="DF3" s="439"/>
      <c r="DG3" s="439"/>
      <c r="DH3" s="439"/>
      <c r="DI3" s="439"/>
      <c r="DJ3" s="439"/>
      <c r="DK3" s="439"/>
      <c r="DL3" s="439"/>
      <c r="DM3" s="439"/>
      <c r="DN3" s="439"/>
      <c r="DO3" s="439"/>
      <c r="DP3" s="439"/>
    </row>
    <row r="4" spans="2:120" ht="231" customHeight="1">
      <c r="B4" s="440" t="s">
        <v>169</v>
      </c>
      <c r="C4" s="440"/>
      <c r="D4" s="440"/>
      <c r="E4" s="440"/>
      <c r="F4" s="124"/>
    </row>
    <row r="5" spans="2:120" ht="70.150000000000006" customHeight="1">
      <c r="B5" s="391" t="s">
        <v>30</v>
      </c>
      <c r="C5" s="391"/>
      <c r="D5" s="391"/>
      <c r="E5" s="391"/>
      <c r="F5" s="129"/>
      <c r="J5" s="130" t="s">
        <v>109</v>
      </c>
      <c r="K5" s="131"/>
      <c r="L5" s="131"/>
      <c r="P5" s="132"/>
      <c r="Q5" s="132"/>
      <c r="R5" s="132"/>
      <c r="S5" s="132"/>
      <c r="T5" s="133"/>
      <c r="U5" s="133"/>
    </row>
    <row r="6" spans="2:120" ht="87" customHeight="1">
      <c r="B6" s="441" t="s">
        <v>21</v>
      </c>
      <c r="C6" s="441"/>
      <c r="D6" s="441"/>
      <c r="E6" s="441"/>
      <c r="F6" s="124"/>
      <c r="G6" s="392" t="s">
        <v>23</v>
      </c>
      <c r="H6" s="134" t="s">
        <v>25</v>
      </c>
      <c r="J6" s="135"/>
      <c r="P6" s="132"/>
      <c r="Q6" s="132"/>
      <c r="R6" s="132"/>
      <c r="S6" s="132"/>
      <c r="T6" s="136"/>
      <c r="U6" s="136"/>
    </row>
    <row r="7" spans="2:120" ht="77.25" customHeight="1">
      <c r="B7" s="391" t="s">
        <v>31</v>
      </c>
      <c r="C7" s="391"/>
      <c r="D7" s="391"/>
      <c r="E7" s="391"/>
      <c r="F7" s="129"/>
      <c r="G7" s="392"/>
      <c r="H7" s="137" t="s">
        <v>26</v>
      </c>
      <c r="P7" s="132"/>
      <c r="Q7" s="132"/>
      <c r="R7" s="132"/>
      <c r="S7" s="132"/>
      <c r="T7" s="133"/>
      <c r="U7" s="133"/>
    </row>
    <row r="8" spans="2:120" ht="77.650000000000006" customHeight="1">
      <c r="B8" s="441" t="s">
        <v>32</v>
      </c>
      <c r="C8" s="441"/>
      <c r="D8" s="441"/>
      <c r="E8" s="441"/>
      <c r="F8" s="124"/>
      <c r="P8" s="132"/>
      <c r="Q8" s="132"/>
      <c r="R8" s="132"/>
      <c r="S8" s="132"/>
      <c r="T8" s="133"/>
      <c r="U8" s="133"/>
    </row>
    <row r="9" spans="2:120" ht="103.5" customHeight="1">
      <c r="B9" s="391" t="s">
        <v>33</v>
      </c>
      <c r="C9" s="391"/>
      <c r="D9" s="391"/>
      <c r="E9" s="391"/>
      <c r="F9" s="129"/>
      <c r="K9" s="442" t="s">
        <v>96</v>
      </c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2"/>
      <c r="BD9" s="442"/>
      <c r="BE9" s="442"/>
      <c r="BF9" s="442"/>
      <c r="BG9" s="442"/>
      <c r="BH9" s="442"/>
      <c r="BI9" s="442"/>
      <c r="BJ9" s="442"/>
      <c r="BK9" s="442"/>
      <c r="BL9" s="442"/>
      <c r="BM9" s="442"/>
      <c r="BN9" s="442"/>
      <c r="BO9" s="442"/>
      <c r="BP9" s="442"/>
      <c r="BQ9" s="442"/>
      <c r="BR9" s="442"/>
      <c r="BS9" s="442"/>
      <c r="BT9" s="442"/>
      <c r="BU9" s="442"/>
      <c r="BV9" s="442"/>
      <c r="BW9" s="442"/>
      <c r="BX9" s="442"/>
      <c r="BY9" s="442"/>
      <c r="BZ9" s="442"/>
      <c r="CA9" s="442"/>
      <c r="CB9" s="442"/>
      <c r="CC9" s="442"/>
      <c r="CD9" s="442"/>
      <c r="CE9" s="442"/>
      <c r="CF9" s="442"/>
      <c r="CG9" s="442"/>
      <c r="CH9" s="442"/>
      <c r="CI9" s="442"/>
      <c r="CJ9" s="442"/>
      <c r="CK9" s="442"/>
      <c r="CL9" s="442"/>
      <c r="CM9" s="442"/>
      <c r="CN9" s="442"/>
      <c r="CO9" s="442"/>
      <c r="CP9" s="442"/>
      <c r="CQ9" s="442"/>
      <c r="CR9" s="442"/>
      <c r="CS9" s="442"/>
      <c r="CT9" s="442"/>
      <c r="CU9" s="442"/>
      <c r="CV9" s="442"/>
      <c r="CW9" s="442"/>
      <c r="CX9" s="442"/>
      <c r="CY9" s="442"/>
      <c r="CZ9" s="442"/>
      <c r="DA9" s="442"/>
      <c r="DB9" s="442"/>
      <c r="DC9" s="442"/>
      <c r="DD9" s="442"/>
      <c r="DE9" s="442"/>
      <c r="DF9" s="442"/>
      <c r="DG9" s="442"/>
      <c r="DH9" s="442"/>
      <c r="DI9" s="442"/>
      <c r="DJ9" s="442"/>
      <c r="DK9" s="442"/>
      <c r="DL9" s="442"/>
      <c r="DM9" s="442"/>
      <c r="DN9" s="442"/>
      <c r="DO9" s="442"/>
      <c r="DP9" s="442"/>
    </row>
    <row r="10" spans="2:120" ht="90" customHeight="1">
      <c r="B10" s="326" t="s">
        <v>35</v>
      </c>
      <c r="C10" s="326" t="s">
        <v>36</v>
      </c>
      <c r="D10" s="328" t="s">
        <v>37</v>
      </c>
      <c r="E10" s="329"/>
      <c r="F10" s="326" t="s">
        <v>38</v>
      </c>
      <c r="G10" s="326" t="s">
        <v>39</v>
      </c>
      <c r="H10" s="334" t="s">
        <v>40</v>
      </c>
      <c r="I10" s="335"/>
      <c r="J10" s="326" t="s">
        <v>58</v>
      </c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443"/>
      <c r="AQ10" s="443"/>
      <c r="AR10" s="443"/>
      <c r="AS10" s="443"/>
      <c r="AT10" s="443"/>
      <c r="AU10" s="443"/>
      <c r="AV10" s="443"/>
      <c r="AW10" s="443"/>
      <c r="AX10" s="443"/>
      <c r="AY10" s="443"/>
      <c r="AZ10" s="443"/>
      <c r="BA10" s="443"/>
      <c r="BB10" s="443"/>
      <c r="BC10" s="443"/>
      <c r="BD10" s="443"/>
      <c r="BE10" s="443"/>
      <c r="BF10" s="443"/>
      <c r="BG10" s="443"/>
      <c r="BH10" s="443"/>
      <c r="BI10" s="443"/>
      <c r="BJ10" s="443"/>
      <c r="BK10" s="443"/>
      <c r="BL10" s="443"/>
      <c r="BM10" s="443"/>
      <c r="BN10" s="443"/>
      <c r="BO10" s="443"/>
      <c r="BP10" s="443"/>
      <c r="BQ10" s="443"/>
      <c r="BR10" s="443"/>
      <c r="BS10" s="443"/>
      <c r="BT10" s="443"/>
      <c r="BU10" s="443"/>
      <c r="BV10" s="443"/>
      <c r="BW10" s="443"/>
      <c r="BX10" s="443"/>
      <c r="BY10" s="443"/>
      <c r="BZ10" s="443"/>
      <c r="CA10" s="443"/>
      <c r="CB10" s="443"/>
      <c r="CC10" s="443"/>
      <c r="CD10" s="443"/>
      <c r="CE10" s="443"/>
      <c r="CF10" s="443"/>
      <c r="CG10" s="443"/>
      <c r="CH10" s="443"/>
      <c r="CI10" s="443"/>
      <c r="CJ10" s="443"/>
      <c r="CK10" s="443"/>
      <c r="CL10" s="443"/>
      <c r="CM10" s="443"/>
      <c r="CN10" s="443"/>
      <c r="CO10" s="443"/>
      <c r="CP10" s="443"/>
      <c r="CQ10" s="443"/>
      <c r="CR10" s="443"/>
      <c r="CS10" s="443"/>
      <c r="CT10" s="443"/>
      <c r="CU10" s="443"/>
      <c r="CV10" s="443"/>
      <c r="CW10" s="443"/>
      <c r="CX10" s="443"/>
      <c r="CY10" s="443"/>
      <c r="CZ10" s="443"/>
      <c r="DA10" s="443"/>
      <c r="DB10" s="443"/>
      <c r="DC10" s="443"/>
      <c r="DD10" s="443"/>
      <c r="DE10" s="443"/>
      <c r="DF10" s="443"/>
      <c r="DG10" s="443"/>
      <c r="DH10" s="443"/>
      <c r="DI10" s="443"/>
      <c r="DJ10" s="443"/>
      <c r="DK10" s="443"/>
      <c r="DL10" s="443"/>
      <c r="DM10" s="443"/>
      <c r="DN10" s="443"/>
      <c r="DO10" s="443"/>
      <c r="DP10" s="443"/>
    </row>
    <row r="11" spans="2:120" ht="25.15" customHeight="1">
      <c r="B11" s="327"/>
      <c r="C11" s="327"/>
      <c r="D11" s="330"/>
      <c r="E11" s="331"/>
      <c r="F11" s="327"/>
      <c r="G11" s="327"/>
      <c r="H11" s="326" t="s">
        <v>42</v>
      </c>
      <c r="I11" s="326" t="s">
        <v>43</v>
      </c>
      <c r="J11" s="327"/>
      <c r="K11" s="348" t="s">
        <v>44</v>
      </c>
      <c r="L11" s="349"/>
      <c r="M11" s="349"/>
      <c r="N11" s="349"/>
      <c r="O11" s="349"/>
      <c r="P11" s="349"/>
      <c r="Q11" s="349"/>
      <c r="R11" s="349"/>
      <c r="S11" s="350"/>
      <c r="T11" s="348" t="s">
        <v>45</v>
      </c>
      <c r="U11" s="349"/>
      <c r="V11" s="349"/>
      <c r="W11" s="349"/>
      <c r="X11" s="349"/>
      <c r="Y11" s="349"/>
      <c r="Z11" s="349"/>
      <c r="AA11" s="349"/>
      <c r="AB11" s="350"/>
      <c r="AC11" s="348" t="s">
        <v>46</v>
      </c>
      <c r="AD11" s="349"/>
      <c r="AE11" s="349"/>
      <c r="AF11" s="349"/>
      <c r="AG11" s="349"/>
      <c r="AH11" s="349"/>
      <c r="AI11" s="349"/>
      <c r="AJ11" s="349"/>
      <c r="AK11" s="350"/>
      <c r="AL11" s="348" t="s">
        <v>47</v>
      </c>
      <c r="AM11" s="349"/>
      <c r="AN11" s="349"/>
      <c r="AO11" s="349"/>
      <c r="AP11" s="349"/>
      <c r="AQ11" s="349"/>
      <c r="AR11" s="349"/>
      <c r="AS11" s="349"/>
      <c r="AT11" s="350"/>
      <c r="AU11" s="348" t="s">
        <v>48</v>
      </c>
      <c r="AV11" s="349"/>
      <c r="AW11" s="349"/>
      <c r="AX11" s="349"/>
      <c r="AY11" s="349"/>
      <c r="AZ11" s="349"/>
      <c r="BA11" s="349"/>
      <c r="BB11" s="349"/>
      <c r="BC11" s="350"/>
      <c r="BD11" s="348" t="s">
        <v>49</v>
      </c>
      <c r="BE11" s="349"/>
      <c r="BF11" s="349"/>
      <c r="BG11" s="349"/>
      <c r="BH11" s="349"/>
      <c r="BI11" s="349"/>
      <c r="BJ11" s="349"/>
      <c r="BK11" s="349"/>
      <c r="BL11" s="350"/>
      <c r="BM11" s="348" t="s">
        <v>50</v>
      </c>
      <c r="BN11" s="349"/>
      <c r="BO11" s="349"/>
      <c r="BP11" s="349"/>
      <c r="BQ11" s="349"/>
      <c r="BR11" s="349"/>
      <c r="BS11" s="349"/>
      <c r="BT11" s="349"/>
      <c r="BU11" s="350"/>
      <c r="BV11" s="348" t="s">
        <v>51</v>
      </c>
      <c r="BW11" s="349"/>
      <c r="BX11" s="349"/>
      <c r="BY11" s="349"/>
      <c r="BZ11" s="349"/>
      <c r="CA11" s="349"/>
      <c r="CB11" s="349"/>
      <c r="CC11" s="349"/>
      <c r="CD11" s="350"/>
      <c r="CE11" s="348" t="s">
        <v>52</v>
      </c>
      <c r="CF11" s="349"/>
      <c r="CG11" s="349"/>
      <c r="CH11" s="349"/>
      <c r="CI11" s="349"/>
      <c r="CJ11" s="349"/>
      <c r="CK11" s="349"/>
      <c r="CL11" s="349"/>
      <c r="CM11" s="350"/>
      <c r="CN11" s="348" t="s">
        <v>53</v>
      </c>
      <c r="CO11" s="349"/>
      <c r="CP11" s="349"/>
      <c r="CQ11" s="349"/>
      <c r="CR11" s="349"/>
      <c r="CS11" s="349"/>
      <c r="CT11" s="349"/>
      <c r="CU11" s="349"/>
      <c r="CV11" s="350"/>
      <c r="CW11" s="348" t="s">
        <v>54</v>
      </c>
      <c r="CX11" s="349"/>
      <c r="CY11" s="349"/>
      <c r="CZ11" s="349"/>
      <c r="DA11" s="349"/>
      <c r="DB11" s="349"/>
      <c r="DC11" s="349"/>
      <c r="DD11" s="349"/>
      <c r="DE11" s="350"/>
      <c r="DF11" s="348" t="s">
        <v>55</v>
      </c>
      <c r="DG11" s="349"/>
      <c r="DH11" s="349"/>
      <c r="DI11" s="349"/>
      <c r="DJ11" s="349"/>
      <c r="DK11" s="349"/>
      <c r="DL11" s="349"/>
      <c r="DM11" s="349"/>
      <c r="DN11" s="350"/>
      <c r="DO11" s="444" t="s">
        <v>56</v>
      </c>
      <c r="DP11" s="445" t="s">
        <v>57</v>
      </c>
    </row>
    <row r="12" spans="2:120" ht="48" customHeight="1">
      <c r="B12" s="327"/>
      <c r="C12" s="327"/>
      <c r="D12" s="330"/>
      <c r="E12" s="331"/>
      <c r="F12" s="327"/>
      <c r="G12" s="327"/>
      <c r="H12" s="327"/>
      <c r="I12" s="327"/>
      <c r="J12" s="336"/>
      <c r="K12" s="351"/>
      <c r="L12" s="352"/>
      <c r="M12" s="352"/>
      <c r="N12" s="352"/>
      <c r="O12" s="352"/>
      <c r="P12" s="352"/>
      <c r="Q12" s="352"/>
      <c r="R12" s="352"/>
      <c r="S12" s="353"/>
      <c r="T12" s="351"/>
      <c r="U12" s="352"/>
      <c r="V12" s="352"/>
      <c r="W12" s="352"/>
      <c r="X12" s="352"/>
      <c r="Y12" s="352"/>
      <c r="Z12" s="352"/>
      <c r="AA12" s="352"/>
      <c r="AB12" s="353"/>
      <c r="AC12" s="351"/>
      <c r="AD12" s="352"/>
      <c r="AE12" s="352"/>
      <c r="AF12" s="352"/>
      <c r="AG12" s="352"/>
      <c r="AH12" s="352"/>
      <c r="AI12" s="352"/>
      <c r="AJ12" s="352"/>
      <c r="AK12" s="353"/>
      <c r="AL12" s="351"/>
      <c r="AM12" s="352"/>
      <c r="AN12" s="352"/>
      <c r="AO12" s="352"/>
      <c r="AP12" s="352"/>
      <c r="AQ12" s="352"/>
      <c r="AR12" s="352"/>
      <c r="AS12" s="352"/>
      <c r="AT12" s="353"/>
      <c r="AU12" s="351"/>
      <c r="AV12" s="352"/>
      <c r="AW12" s="352"/>
      <c r="AX12" s="352"/>
      <c r="AY12" s="352"/>
      <c r="AZ12" s="352"/>
      <c r="BA12" s="352"/>
      <c r="BB12" s="352"/>
      <c r="BC12" s="353"/>
      <c r="BD12" s="351"/>
      <c r="BE12" s="352"/>
      <c r="BF12" s="352"/>
      <c r="BG12" s="352"/>
      <c r="BH12" s="352"/>
      <c r="BI12" s="352"/>
      <c r="BJ12" s="352"/>
      <c r="BK12" s="352"/>
      <c r="BL12" s="353"/>
      <c r="BM12" s="351"/>
      <c r="BN12" s="352"/>
      <c r="BO12" s="352"/>
      <c r="BP12" s="352"/>
      <c r="BQ12" s="352"/>
      <c r="BR12" s="352"/>
      <c r="BS12" s="352"/>
      <c r="BT12" s="352"/>
      <c r="BU12" s="353"/>
      <c r="BV12" s="351"/>
      <c r="BW12" s="352"/>
      <c r="BX12" s="352"/>
      <c r="BY12" s="352"/>
      <c r="BZ12" s="352"/>
      <c r="CA12" s="352"/>
      <c r="CB12" s="352"/>
      <c r="CC12" s="352"/>
      <c r="CD12" s="353"/>
      <c r="CE12" s="351"/>
      <c r="CF12" s="352"/>
      <c r="CG12" s="352"/>
      <c r="CH12" s="352"/>
      <c r="CI12" s="352"/>
      <c r="CJ12" s="352"/>
      <c r="CK12" s="352"/>
      <c r="CL12" s="352"/>
      <c r="CM12" s="353"/>
      <c r="CN12" s="351"/>
      <c r="CO12" s="352"/>
      <c r="CP12" s="352"/>
      <c r="CQ12" s="352"/>
      <c r="CR12" s="352"/>
      <c r="CS12" s="352"/>
      <c r="CT12" s="352"/>
      <c r="CU12" s="352"/>
      <c r="CV12" s="353"/>
      <c r="CW12" s="351"/>
      <c r="CX12" s="352"/>
      <c r="CY12" s="352"/>
      <c r="CZ12" s="352"/>
      <c r="DA12" s="352"/>
      <c r="DB12" s="352"/>
      <c r="DC12" s="352"/>
      <c r="DD12" s="352"/>
      <c r="DE12" s="353"/>
      <c r="DF12" s="351"/>
      <c r="DG12" s="352"/>
      <c r="DH12" s="352"/>
      <c r="DI12" s="352"/>
      <c r="DJ12" s="352"/>
      <c r="DK12" s="352"/>
      <c r="DL12" s="352"/>
      <c r="DM12" s="352"/>
      <c r="DN12" s="353"/>
      <c r="DO12" s="367"/>
      <c r="DP12" s="446"/>
    </row>
    <row r="13" spans="2:120" ht="78" customHeight="1">
      <c r="B13" s="327"/>
      <c r="C13" s="327"/>
      <c r="D13" s="330"/>
      <c r="E13" s="331"/>
      <c r="F13" s="327"/>
      <c r="G13" s="327"/>
      <c r="H13" s="327"/>
      <c r="I13" s="327"/>
      <c r="J13" s="366" t="s">
        <v>41</v>
      </c>
      <c r="K13" s="354"/>
      <c r="L13" s="355"/>
      <c r="M13" s="355"/>
      <c r="N13" s="355"/>
      <c r="O13" s="355"/>
      <c r="P13" s="355"/>
      <c r="Q13" s="355"/>
      <c r="R13" s="355"/>
      <c r="S13" s="356"/>
      <c r="T13" s="354"/>
      <c r="U13" s="355"/>
      <c r="V13" s="355"/>
      <c r="W13" s="355"/>
      <c r="X13" s="355"/>
      <c r="Y13" s="355"/>
      <c r="Z13" s="355"/>
      <c r="AA13" s="355"/>
      <c r="AB13" s="356"/>
      <c r="AC13" s="354"/>
      <c r="AD13" s="355"/>
      <c r="AE13" s="355"/>
      <c r="AF13" s="355"/>
      <c r="AG13" s="355"/>
      <c r="AH13" s="355"/>
      <c r="AI13" s="355"/>
      <c r="AJ13" s="355"/>
      <c r="AK13" s="356"/>
      <c r="AL13" s="354"/>
      <c r="AM13" s="355"/>
      <c r="AN13" s="355"/>
      <c r="AO13" s="355"/>
      <c r="AP13" s="355"/>
      <c r="AQ13" s="355"/>
      <c r="AR13" s="355"/>
      <c r="AS13" s="355"/>
      <c r="AT13" s="356"/>
      <c r="AU13" s="354"/>
      <c r="AV13" s="355"/>
      <c r="AW13" s="355"/>
      <c r="AX13" s="355"/>
      <c r="AY13" s="355"/>
      <c r="AZ13" s="355"/>
      <c r="BA13" s="355"/>
      <c r="BB13" s="355"/>
      <c r="BC13" s="356"/>
      <c r="BD13" s="354"/>
      <c r="BE13" s="355"/>
      <c r="BF13" s="355"/>
      <c r="BG13" s="355"/>
      <c r="BH13" s="355"/>
      <c r="BI13" s="355"/>
      <c r="BJ13" s="355"/>
      <c r="BK13" s="355"/>
      <c r="BL13" s="356"/>
      <c r="BM13" s="354"/>
      <c r="BN13" s="355"/>
      <c r="BO13" s="355"/>
      <c r="BP13" s="355"/>
      <c r="BQ13" s="355"/>
      <c r="BR13" s="355"/>
      <c r="BS13" s="355"/>
      <c r="BT13" s="355"/>
      <c r="BU13" s="356"/>
      <c r="BV13" s="354"/>
      <c r="BW13" s="355"/>
      <c r="BX13" s="355"/>
      <c r="BY13" s="355"/>
      <c r="BZ13" s="355"/>
      <c r="CA13" s="355"/>
      <c r="CB13" s="355"/>
      <c r="CC13" s="355"/>
      <c r="CD13" s="356"/>
      <c r="CE13" s="354"/>
      <c r="CF13" s="355"/>
      <c r="CG13" s="355"/>
      <c r="CH13" s="355"/>
      <c r="CI13" s="355"/>
      <c r="CJ13" s="355"/>
      <c r="CK13" s="355"/>
      <c r="CL13" s="355"/>
      <c r="CM13" s="356"/>
      <c r="CN13" s="354"/>
      <c r="CO13" s="355"/>
      <c r="CP13" s="355"/>
      <c r="CQ13" s="355"/>
      <c r="CR13" s="355"/>
      <c r="CS13" s="355"/>
      <c r="CT13" s="355"/>
      <c r="CU13" s="355"/>
      <c r="CV13" s="356"/>
      <c r="CW13" s="354"/>
      <c r="CX13" s="355"/>
      <c r="CY13" s="355"/>
      <c r="CZ13" s="355"/>
      <c r="DA13" s="355"/>
      <c r="DB13" s="355"/>
      <c r="DC13" s="355"/>
      <c r="DD13" s="355"/>
      <c r="DE13" s="356"/>
      <c r="DF13" s="354"/>
      <c r="DG13" s="355"/>
      <c r="DH13" s="355"/>
      <c r="DI13" s="355"/>
      <c r="DJ13" s="355"/>
      <c r="DK13" s="355"/>
      <c r="DL13" s="355"/>
      <c r="DM13" s="355"/>
      <c r="DN13" s="356"/>
      <c r="DO13" s="367"/>
      <c r="DP13" s="446"/>
    </row>
    <row r="14" spans="2:120" ht="100.15" customHeight="1">
      <c r="B14" s="327"/>
      <c r="C14" s="327"/>
      <c r="D14" s="332"/>
      <c r="E14" s="333"/>
      <c r="F14" s="327"/>
      <c r="G14" s="327"/>
      <c r="H14" s="327"/>
      <c r="I14" s="327"/>
      <c r="J14" s="367"/>
      <c r="K14" s="63" t="s">
        <v>59</v>
      </c>
      <c r="L14" s="63" t="s">
        <v>60</v>
      </c>
      <c r="M14" s="63" t="s">
        <v>61</v>
      </c>
      <c r="N14" s="63" t="s">
        <v>62</v>
      </c>
      <c r="O14" s="63" t="s">
        <v>63</v>
      </c>
      <c r="P14" s="63" t="s">
        <v>64</v>
      </c>
      <c r="Q14" s="63" t="s">
        <v>65</v>
      </c>
      <c r="R14" s="63" t="s">
        <v>66</v>
      </c>
      <c r="S14" s="63" t="s">
        <v>67</v>
      </c>
      <c r="T14" s="63" t="s">
        <v>59</v>
      </c>
      <c r="U14" s="63" t="s">
        <v>60</v>
      </c>
      <c r="V14" s="63" t="s">
        <v>61</v>
      </c>
      <c r="W14" s="63" t="s">
        <v>62</v>
      </c>
      <c r="X14" s="63" t="s">
        <v>63</v>
      </c>
      <c r="Y14" s="63" t="s">
        <v>64</v>
      </c>
      <c r="Z14" s="63" t="s">
        <v>65</v>
      </c>
      <c r="AA14" s="63" t="s">
        <v>66</v>
      </c>
      <c r="AB14" s="63" t="s">
        <v>67</v>
      </c>
      <c r="AC14" s="63" t="s">
        <v>59</v>
      </c>
      <c r="AD14" s="63" t="s">
        <v>60</v>
      </c>
      <c r="AE14" s="63" t="s">
        <v>61</v>
      </c>
      <c r="AF14" s="63" t="s">
        <v>62</v>
      </c>
      <c r="AG14" s="63" t="s">
        <v>63</v>
      </c>
      <c r="AH14" s="63" t="s">
        <v>64</v>
      </c>
      <c r="AI14" s="63" t="s">
        <v>65</v>
      </c>
      <c r="AJ14" s="63" t="s">
        <v>66</v>
      </c>
      <c r="AK14" s="63" t="s">
        <v>67</v>
      </c>
      <c r="AL14" s="63" t="s">
        <v>59</v>
      </c>
      <c r="AM14" s="63" t="s">
        <v>60</v>
      </c>
      <c r="AN14" s="63" t="s">
        <v>61</v>
      </c>
      <c r="AO14" s="63" t="s">
        <v>62</v>
      </c>
      <c r="AP14" s="63" t="s">
        <v>63</v>
      </c>
      <c r="AQ14" s="63" t="s">
        <v>64</v>
      </c>
      <c r="AR14" s="63" t="s">
        <v>65</v>
      </c>
      <c r="AS14" s="63" t="s">
        <v>66</v>
      </c>
      <c r="AT14" s="63" t="s">
        <v>67</v>
      </c>
      <c r="AU14" s="63" t="s">
        <v>59</v>
      </c>
      <c r="AV14" s="63" t="s">
        <v>60</v>
      </c>
      <c r="AW14" s="63" t="s">
        <v>61</v>
      </c>
      <c r="AX14" s="63" t="s">
        <v>62</v>
      </c>
      <c r="AY14" s="63" t="s">
        <v>63</v>
      </c>
      <c r="AZ14" s="63" t="s">
        <v>64</v>
      </c>
      <c r="BA14" s="63" t="s">
        <v>65</v>
      </c>
      <c r="BB14" s="63" t="s">
        <v>66</v>
      </c>
      <c r="BC14" s="63" t="s">
        <v>67</v>
      </c>
      <c r="BD14" s="63" t="s">
        <v>59</v>
      </c>
      <c r="BE14" s="63" t="s">
        <v>60</v>
      </c>
      <c r="BF14" s="63" t="s">
        <v>61</v>
      </c>
      <c r="BG14" s="63" t="s">
        <v>62</v>
      </c>
      <c r="BH14" s="63" t="s">
        <v>63</v>
      </c>
      <c r="BI14" s="63" t="s">
        <v>64</v>
      </c>
      <c r="BJ14" s="63" t="s">
        <v>65</v>
      </c>
      <c r="BK14" s="63" t="s">
        <v>66</v>
      </c>
      <c r="BL14" s="63" t="s">
        <v>67</v>
      </c>
      <c r="BM14" s="63" t="s">
        <v>59</v>
      </c>
      <c r="BN14" s="63" t="s">
        <v>60</v>
      </c>
      <c r="BO14" s="63" t="s">
        <v>61</v>
      </c>
      <c r="BP14" s="63" t="s">
        <v>62</v>
      </c>
      <c r="BQ14" s="63" t="s">
        <v>63</v>
      </c>
      <c r="BR14" s="63" t="s">
        <v>64</v>
      </c>
      <c r="BS14" s="63" t="s">
        <v>65</v>
      </c>
      <c r="BT14" s="63" t="s">
        <v>66</v>
      </c>
      <c r="BU14" s="63" t="s">
        <v>67</v>
      </c>
      <c r="BV14" s="63" t="s">
        <v>59</v>
      </c>
      <c r="BW14" s="63" t="s">
        <v>60</v>
      </c>
      <c r="BX14" s="63" t="s">
        <v>61</v>
      </c>
      <c r="BY14" s="63" t="s">
        <v>62</v>
      </c>
      <c r="BZ14" s="63" t="s">
        <v>63</v>
      </c>
      <c r="CA14" s="63" t="s">
        <v>64</v>
      </c>
      <c r="CB14" s="63" t="s">
        <v>65</v>
      </c>
      <c r="CC14" s="63" t="s">
        <v>66</v>
      </c>
      <c r="CD14" s="63" t="s">
        <v>67</v>
      </c>
      <c r="CE14" s="63" t="s">
        <v>59</v>
      </c>
      <c r="CF14" s="63" t="s">
        <v>60</v>
      </c>
      <c r="CG14" s="63" t="s">
        <v>61</v>
      </c>
      <c r="CH14" s="63" t="s">
        <v>62</v>
      </c>
      <c r="CI14" s="63" t="s">
        <v>63</v>
      </c>
      <c r="CJ14" s="63" t="s">
        <v>64</v>
      </c>
      <c r="CK14" s="63" t="s">
        <v>65</v>
      </c>
      <c r="CL14" s="63" t="s">
        <v>66</v>
      </c>
      <c r="CM14" s="63" t="s">
        <v>67</v>
      </c>
      <c r="CN14" s="63" t="s">
        <v>59</v>
      </c>
      <c r="CO14" s="63" t="s">
        <v>60</v>
      </c>
      <c r="CP14" s="63" t="s">
        <v>61</v>
      </c>
      <c r="CQ14" s="63" t="s">
        <v>62</v>
      </c>
      <c r="CR14" s="63" t="s">
        <v>63</v>
      </c>
      <c r="CS14" s="63" t="s">
        <v>64</v>
      </c>
      <c r="CT14" s="63" t="s">
        <v>65</v>
      </c>
      <c r="CU14" s="63" t="s">
        <v>66</v>
      </c>
      <c r="CV14" s="63" t="s">
        <v>67</v>
      </c>
      <c r="CW14" s="63" t="s">
        <v>59</v>
      </c>
      <c r="CX14" s="63" t="s">
        <v>60</v>
      </c>
      <c r="CY14" s="63" t="s">
        <v>61</v>
      </c>
      <c r="CZ14" s="63" t="s">
        <v>62</v>
      </c>
      <c r="DA14" s="63" t="s">
        <v>63</v>
      </c>
      <c r="DB14" s="63" t="s">
        <v>64</v>
      </c>
      <c r="DC14" s="63" t="s">
        <v>65</v>
      </c>
      <c r="DD14" s="63" t="s">
        <v>66</v>
      </c>
      <c r="DE14" s="63" t="s">
        <v>67</v>
      </c>
      <c r="DF14" s="63" t="s">
        <v>59</v>
      </c>
      <c r="DG14" s="63" t="s">
        <v>60</v>
      </c>
      <c r="DH14" s="63" t="s">
        <v>61</v>
      </c>
      <c r="DI14" s="63" t="s">
        <v>62</v>
      </c>
      <c r="DJ14" s="63" t="s">
        <v>63</v>
      </c>
      <c r="DK14" s="63" t="s">
        <v>64</v>
      </c>
      <c r="DL14" s="63" t="s">
        <v>65</v>
      </c>
      <c r="DM14" s="63" t="s">
        <v>66</v>
      </c>
      <c r="DN14" s="63" t="s">
        <v>67</v>
      </c>
      <c r="DO14" s="368"/>
      <c r="DP14" s="447"/>
    </row>
    <row r="15" spans="2:120" ht="244.5" hidden="1" customHeight="1">
      <c r="B15" s="448" t="s">
        <v>103</v>
      </c>
      <c r="C15" s="448" t="s">
        <v>104</v>
      </c>
      <c r="D15" s="448" t="s">
        <v>70</v>
      </c>
      <c r="E15" s="448"/>
      <c r="F15" s="448" t="s">
        <v>12</v>
      </c>
      <c r="G15" s="449">
        <v>108</v>
      </c>
      <c r="H15" s="461" t="s">
        <v>106</v>
      </c>
      <c r="I15" s="459">
        <v>108</v>
      </c>
      <c r="J15" s="138" t="s">
        <v>72</v>
      </c>
      <c r="K15" s="450">
        <v>100</v>
      </c>
      <c r="L15" s="451"/>
      <c r="M15" s="451"/>
      <c r="N15" s="451"/>
      <c r="O15" s="451"/>
      <c r="P15" s="451"/>
      <c r="Q15" s="451"/>
      <c r="R15" s="451"/>
      <c r="S15" s="65">
        <f>SUM(K15)</f>
        <v>100</v>
      </c>
      <c r="T15" s="462">
        <v>0</v>
      </c>
      <c r="U15" s="463"/>
      <c r="V15" s="463"/>
      <c r="W15" s="463"/>
      <c r="X15" s="463"/>
      <c r="Y15" s="463"/>
      <c r="Z15" s="463"/>
      <c r="AA15" s="463"/>
      <c r="AB15" s="139">
        <f>SUM(T15)</f>
        <v>0</v>
      </c>
      <c r="AC15" s="450">
        <v>0</v>
      </c>
      <c r="AD15" s="451"/>
      <c r="AE15" s="451"/>
      <c r="AF15" s="451"/>
      <c r="AG15" s="451"/>
      <c r="AH15" s="451"/>
      <c r="AI15" s="451"/>
      <c r="AJ15" s="451"/>
      <c r="AK15" s="65">
        <f>SUM(AC15)</f>
        <v>0</v>
      </c>
      <c r="AL15" s="450">
        <v>0</v>
      </c>
      <c r="AM15" s="451"/>
      <c r="AN15" s="451"/>
      <c r="AO15" s="451"/>
      <c r="AP15" s="451"/>
      <c r="AQ15" s="451"/>
      <c r="AR15" s="451"/>
      <c r="AS15" s="451"/>
      <c r="AT15" s="65">
        <f>SUM(AL15)</f>
        <v>0</v>
      </c>
      <c r="AU15" s="450">
        <v>0</v>
      </c>
      <c r="AV15" s="451"/>
      <c r="AW15" s="451"/>
      <c r="AX15" s="451"/>
      <c r="AY15" s="451"/>
      <c r="AZ15" s="451"/>
      <c r="BA15" s="451"/>
      <c r="BB15" s="451"/>
      <c r="BC15" s="65">
        <f>SUM(AU15)</f>
        <v>0</v>
      </c>
      <c r="BD15" s="450">
        <v>0</v>
      </c>
      <c r="BE15" s="451"/>
      <c r="BF15" s="451"/>
      <c r="BG15" s="451"/>
      <c r="BH15" s="451"/>
      <c r="BI15" s="451"/>
      <c r="BJ15" s="451"/>
      <c r="BK15" s="451"/>
      <c r="BL15" s="65">
        <f>SUM(BD15)</f>
        <v>0</v>
      </c>
      <c r="BM15" s="450">
        <v>0</v>
      </c>
      <c r="BN15" s="451"/>
      <c r="BO15" s="451"/>
      <c r="BP15" s="451"/>
      <c r="BQ15" s="451"/>
      <c r="BR15" s="451"/>
      <c r="BS15" s="451"/>
      <c r="BT15" s="451"/>
      <c r="BU15" s="65">
        <f>SUM(BM15)</f>
        <v>0</v>
      </c>
      <c r="BV15" s="450">
        <v>0</v>
      </c>
      <c r="BW15" s="451"/>
      <c r="BX15" s="451"/>
      <c r="BY15" s="451"/>
      <c r="BZ15" s="451"/>
      <c r="CA15" s="451"/>
      <c r="CB15" s="451"/>
      <c r="CC15" s="451"/>
      <c r="CD15" s="65">
        <f>SUM(BV15)</f>
        <v>0</v>
      </c>
      <c r="CE15" s="450">
        <v>0</v>
      </c>
      <c r="CF15" s="451"/>
      <c r="CG15" s="451"/>
      <c r="CH15" s="451"/>
      <c r="CI15" s="451"/>
      <c r="CJ15" s="451"/>
      <c r="CK15" s="451"/>
      <c r="CL15" s="451"/>
      <c r="CM15" s="65">
        <f>SUM(CE15)</f>
        <v>0</v>
      </c>
      <c r="CN15" s="450">
        <v>0</v>
      </c>
      <c r="CO15" s="451"/>
      <c r="CP15" s="451"/>
      <c r="CQ15" s="451"/>
      <c r="CR15" s="451"/>
      <c r="CS15" s="451"/>
      <c r="CT15" s="451"/>
      <c r="CU15" s="451"/>
      <c r="CV15" s="65">
        <f>SUM(CN15)</f>
        <v>0</v>
      </c>
      <c r="CW15" s="450">
        <v>4</v>
      </c>
      <c r="CX15" s="451"/>
      <c r="CY15" s="451"/>
      <c r="CZ15" s="451"/>
      <c r="DA15" s="451"/>
      <c r="DB15" s="451"/>
      <c r="DC15" s="451"/>
      <c r="DD15" s="451"/>
      <c r="DE15" s="65">
        <f>SUM(CW15)</f>
        <v>4</v>
      </c>
      <c r="DF15" s="450">
        <v>4</v>
      </c>
      <c r="DG15" s="451"/>
      <c r="DH15" s="451"/>
      <c r="DI15" s="451"/>
      <c r="DJ15" s="451"/>
      <c r="DK15" s="451"/>
      <c r="DL15" s="451"/>
      <c r="DM15" s="451"/>
      <c r="DN15" s="65">
        <f>SUM(DF15)</f>
        <v>4</v>
      </c>
      <c r="DO15" s="140">
        <f>SUM(DN15,DE15,CV15,CM15,CD15,BU15,BL15,BC15,AT15,AK15,AB15,S15)</f>
        <v>108</v>
      </c>
      <c r="DP15" s="92"/>
    </row>
    <row r="16" spans="2:120" ht="233.65" customHeight="1">
      <c r="B16" s="448"/>
      <c r="C16" s="448"/>
      <c r="D16" s="448"/>
      <c r="E16" s="448"/>
      <c r="F16" s="448"/>
      <c r="G16" s="448"/>
      <c r="H16" s="461"/>
      <c r="I16" s="460"/>
      <c r="J16" s="141" t="s">
        <v>73</v>
      </c>
      <c r="K16" s="65">
        <v>43</v>
      </c>
      <c r="L16" s="65">
        <v>35</v>
      </c>
      <c r="M16" s="65"/>
      <c r="N16" s="65"/>
      <c r="O16" s="65"/>
      <c r="P16" s="65"/>
      <c r="Q16" s="65"/>
      <c r="R16" s="65"/>
      <c r="S16" s="65">
        <f>SUM(K16:R16)</f>
        <v>78</v>
      </c>
      <c r="T16" s="139">
        <v>2</v>
      </c>
      <c r="U16" s="139">
        <v>4</v>
      </c>
      <c r="V16" s="139">
        <v>1</v>
      </c>
      <c r="W16" s="139">
        <v>1</v>
      </c>
      <c r="X16" s="139"/>
      <c r="Y16" s="139"/>
      <c r="Z16" s="139"/>
      <c r="AA16" s="139"/>
      <c r="AB16" s="139">
        <f t="shared" ref="AB16:AB21" si="0">SUM(T16:AA16)</f>
        <v>8</v>
      </c>
      <c r="AC16" s="65">
        <v>5</v>
      </c>
      <c r="AD16" s="65">
        <v>3</v>
      </c>
      <c r="AE16" s="65"/>
      <c r="AF16" s="65"/>
      <c r="AG16" s="65"/>
      <c r="AH16" s="65"/>
      <c r="AI16" s="65"/>
      <c r="AJ16" s="65"/>
      <c r="AK16" s="65">
        <f>SUM(AC16:AJ16)</f>
        <v>8</v>
      </c>
      <c r="AL16" s="65">
        <v>2</v>
      </c>
      <c r="AM16" s="65"/>
      <c r="AN16" s="65"/>
      <c r="AO16" s="65"/>
      <c r="AP16" s="65"/>
      <c r="AQ16" s="65"/>
      <c r="AR16" s="65"/>
      <c r="AS16" s="65"/>
      <c r="AT16" s="65">
        <f>SUM(AL16:AS16)</f>
        <v>2</v>
      </c>
      <c r="AU16" s="65">
        <v>3</v>
      </c>
      <c r="AV16" s="65">
        <v>1</v>
      </c>
      <c r="AW16" s="65"/>
      <c r="AX16" s="65"/>
      <c r="AY16" s="65"/>
      <c r="AZ16" s="65"/>
      <c r="BA16" s="65"/>
      <c r="BB16" s="65"/>
      <c r="BC16" s="65">
        <f>SUM(AU16+AV16)</f>
        <v>4</v>
      </c>
      <c r="BD16" s="65">
        <v>1</v>
      </c>
      <c r="BE16" s="65">
        <v>1</v>
      </c>
      <c r="BF16" s="65"/>
      <c r="BG16" s="65"/>
      <c r="BH16" s="65"/>
      <c r="BI16" s="65"/>
      <c r="BJ16" s="65"/>
      <c r="BK16" s="65"/>
      <c r="BL16" s="65">
        <f>SUM(BD16:BK16)</f>
        <v>2</v>
      </c>
      <c r="BM16" s="65"/>
      <c r="BN16" s="65"/>
      <c r="BO16" s="65"/>
      <c r="BP16" s="65"/>
      <c r="BQ16" s="65"/>
      <c r="BR16" s="65"/>
      <c r="BS16" s="65"/>
      <c r="BT16" s="65"/>
      <c r="BU16" s="65">
        <f t="shared" ref="BU16:BU32" si="1">SUM(BM16)</f>
        <v>0</v>
      </c>
      <c r="BV16" s="65"/>
      <c r="BW16" s="65"/>
      <c r="BX16" s="65"/>
      <c r="BY16" s="65"/>
      <c r="BZ16" s="65"/>
      <c r="CA16" s="65"/>
      <c r="CB16" s="65"/>
      <c r="CC16" s="65"/>
      <c r="CD16" s="65">
        <f t="shared" ref="CD16:CD32" si="2">SUM(BV16)</f>
        <v>0</v>
      </c>
      <c r="CE16" s="65"/>
      <c r="CF16" s="65"/>
      <c r="CG16" s="65"/>
      <c r="CH16" s="65"/>
      <c r="CI16" s="65"/>
      <c r="CJ16" s="65"/>
      <c r="CK16" s="65"/>
      <c r="CL16" s="65"/>
      <c r="CM16" s="65">
        <f t="shared" ref="CM16:CM32" si="3">SUM(CE16)</f>
        <v>0</v>
      </c>
      <c r="CN16" s="65"/>
      <c r="CO16" s="65"/>
      <c r="CP16" s="65"/>
      <c r="CQ16" s="65"/>
      <c r="CR16" s="65"/>
      <c r="CS16" s="65"/>
      <c r="CT16" s="65"/>
      <c r="CU16" s="65"/>
      <c r="CV16" s="65">
        <f t="shared" ref="CV16:CV32" si="4">SUM(CN16)</f>
        <v>0</v>
      </c>
      <c r="CW16" s="65"/>
      <c r="CX16" s="65"/>
      <c r="CY16" s="65"/>
      <c r="CZ16" s="65"/>
      <c r="DA16" s="65"/>
      <c r="DB16" s="65"/>
      <c r="DC16" s="65"/>
      <c r="DD16" s="65"/>
      <c r="DE16" s="65">
        <f t="shared" ref="DE16:DE32" si="5">SUM(CW16)</f>
        <v>0</v>
      </c>
      <c r="DF16" s="65"/>
      <c r="DG16" s="65"/>
      <c r="DH16" s="65"/>
      <c r="DI16" s="65"/>
      <c r="DJ16" s="65"/>
      <c r="DK16" s="65"/>
      <c r="DL16" s="65"/>
      <c r="DM16" s="65"/>
      <c r="DN16" s="65">
        <f t="shared" ref="DN16:DN32" si="6">SUM(DF16)</f>
        <v>0</v>
      </c>
      <c r="DO16" s="140">
        <f t="shared" ref="DO16:DO32" si="7">SUM(DN16,DE16,CV16,CM16,CD16,BU16,BL16,BC16,AT16,AK16,AB16,S16)</f>
        <v>102</v>
      </c>
      <c r="DP16" s="92" t="s">
        <v>170</v>
      </c>
    </row>
    <row r="17" spans="2:120" ht="195" hidden="1" customHeight="1">
      <c r="B17" s="452" t="s">
        <v>74</v>
      </c>
      <c r="C17" s="452" t="s">
        <v>171</v>
      </c>
      <c r="D17" s="454" t="s">
        <v>2</v>
      </c>
      <c r="E17" s="455"/>
      <c r="F17" s="452" t="s">
        <v>12</v>
      </c>
      <c r="G17" s="449">
        <v>108</v>
      </c>
      <c r="H17" s="458" t="s">
        <v>172</v>
      </c>
      <c r="I17" s="459">
        <v>108</v>
      </c>
      <c r="J17" s="138" t="s">
        <v>72</v>
      </c>
      <c r="K17" s="450">
        <v>100</v>
      </c>
      <c r="L17" s="451"/>
      <c r="M17" s="451"/>
      <c r="N17" s="451"/>
      <c r="O17" s="451"/>
      <c r="P17" s="451"/>
      <c r="Q17" s="451"/>
      <c r="R17" s="451"/>
      <c r="S17" s="65">
        <f t="shared" ref="S17:S32" si="8">SUM(K17:R17)</f>
        <v>100</v>
      </c>
      <c r="T17" s="462">
        <v>0</v>
      </c>
      <c r="U17" s="463"/>
      <c r="V17" s="463"/>
      <c r="W17" s="463"/>
      <c r="X17" s="463"/>
      <c r="Y17" s="463"/>
      <c r="Z17" s="463"/>
      <c r="AA17" s="463"/>
      <c r="AB17" s="139">
        <f t="shared" si="0"/>
        <v>0</v>
      </c>
      <c r="AC17" s="450">
        <v>0</v>
      </c>
      <c r="AD17" s="451"/>
      <c r="AE17" s="451"/>
      <c r="AF17" s="451"/>
      <c r="AG17" s="451"/>
      <c r="AH17" s="451"/>
      <c r="AI17" s="451"/>
      <c r="AJ17" s="451"/>
      <c r="AK17" s="65">
        <f t="shared" ref="AK17:AK32" si="9">SUM(AC17)</f>
        <v>0</v>
      </c>
      <c r="AL17" s="450">
        <v>86</v>
      </c>
      <c r="AM17" s="451"/>
      <c r="AN17" s="451"/>
      <c r="AO17" s="451"/>
      <c r="AP17" s="451"/>
      <c r="AQ17" s="451"/>
      <c r="AR17" s="451"/>
      <c r="AS17" s="451"/>
      <c r="AT17" s="65">
        <f t="shared" ref="AT17:AT32" si="10">SUM(AL17:AS17)</f>
        <v>86</v>
      </c>
      <c r="AU17" s="450">
        <v>0</v>
      </c>
      <c r="AV17" s="451"/>
      <c r="AW17" s="451"/>
      <c r="AX17" s="451"/>
      <c r="AY17" s="451"/>
      <c r="AZ17" s="451"/>
      <c r="BA17" s="451"/>
      <c r="BB17" s="451"/>
      <c r="BC17" s="65">
        <v>0</v>
      </c>
      <c r="BD17" s="450">
        <v>0</v>
      </c>
      <c r="BE17" s="451"/>
      <c r="BF17" s="451"/>
      <c r="BG17" s="451"/>
      <c r="BH17" s="451"/>
      <c r="BI17" s="451"/>
      <c r="BJ17" s="451"/>
      <c r="BK17" s="451"/>
      <c r="BL17" s="65">
        <f t="shared" ref="BL17:BL32" si="11">SUM(BD17:BK17)</f>
        <v>0</v>
      </c>
      <c r="BM17" s="450">
        <v>0</v>
      </c>
      <c r="BN17" s="451"/>
      <c r="BO17" s="451"/>
      <c r="BP17" s="451"/>
      <c r="BQ17" s="451"/>
      <c r="BR17" s="451"/>
      <c r="BS17" s="451"/>
      <c r="BT17" s="451"/>
      <c r="BU17" s="65">
        <f t="shared" si="1"/>
        <v>0</v>
      </c>
      <c r="BV17" s="450">
        <v>0</v>
      </c>
      <c r="BW17" s="451"/>
      <c r="BX17" s="451"/>
      <c r="BY17" s="451"/>
      <c r="BZ17" s="451"/>
      <c r="CA17" s="451"/>
      <c r="CB17" s="451"/>
      <c r="CC17" s="451"/>
      <c r="CD17" s="65">
        <f t="shared" si="2"/>
        <v>0</v>
      </c>
      <c r="CE17" s="450">
        <v>0</v>
      </c>
      <c r="CF17" s="451"/>
      <c r="CG17" s="451"/>
      <c r="CH17" s="451"/>
      <c r="CI17" s="451"/>
      <c r="CJ17" s="451"/>
      <c r="CK17" s="451"/>
      <c r="CL17" s="451"/>
      <c r="CM17" s="65">
        <f t="shared" si="3"/>
        <v>0</v>
      </c>
      <c r="CN17" s="450">
        <v>0</v>
      </c>
      <c r="CO17" s="451"/>
      <c r="CP17" s="451"/>
      <c r="CQ17" s="451"/>
      <c r="CR17" s="451"/>
      <c r="CS17" s="451"/>
      <c r="CT17" s="451"/>
      <c r="CU17" s="451"/>
      <c r="CV17" s="65">
        <f t="shared" si="4"/>
        <v>0</v>
      </c>
      <c r="CW17" s="450">
        <v>4</v>
      </c>
      <c r="CX17" s="451"/>
      <c r="CY17" s="451"/>
      <c r="CZ17" s="451"/>
      <c r="DA17" s="451"/>
      <c r="DB17" s="451"/>
      <c r="DC17" s="451"/>
      <c r="DD17" s="451"/>
      <c r="DE17" s="65">
        <f t="shared" si="5"/>
        <v>4</v>
      </c>
      <c r="DF17" s="450">
        <v>4</v>
      </c>
      <c r="DG17" s="451"/>
      <c r="DH17" s="451"/>
      <c r="DI17" s="451"/>
      <c r="DJ17" s="451"/>
      <c r="DK17" s="451"/>
      <c r="DL17" s="451"/>
      <c r="DM17" s="451"/>
      <c r="DN17" s="65">
        <f t="shared" si="6"/>
        <v>4</v>
      </c>
      <c r="DO17" s="140">
        <f t="shared" si="7"/>
        <v>194</v>
      </c>
      <c r="DP17" s="92"/>
    </row>
    <row r="18" spans="2:120" ht="227.25" customHeight="1">
      <c r="B18" s="453"/>
      <c r="C18" s="453"/>
      <c r="D18" s="456"/>
      <c r="E18" s="457"/>
      <c r="F18" s="453"/>
      <c r="G18" s="448"/>
      <c r="H18" s="458"/>
      <c r="I18" s="460"/>
      <c r="J18" s="141" t="s">
        <v>73</v>
      </c>
      <c r="K18" s="65">
        <v>43</v>
      </c>
      <c r="L18" s="65">
        <v>35</v>
      </c>
      <c r="M18" s="65"/>
      <c r="N18" s="65"/>
      <c r="O18" s="65"/>
      <c r="P18" s="65"/>
      <c r="Q18" s="65"/>
      <c r="R18" s="65"/>
      <c r="S18" s="65">
        <f t="shared" si="8"/>
        <v>78</v>
      </c>
      <c r="T18" s="139">
        <v>2</v>
      </c>
      <c r="U18" s="139">
        <v>4</v>
      </c>
      <c r="V18" s="139">
        <v>1</v>
      </c>
      <c r="W18" s="139">
        <v>1</v>
      </c>
      <c r="X18" s="139"/>
      <c r="Y18" s="139"/>
      <c r="Z18" s="139"/>
      <c r="AA18" s="139"/>
      <c r="AB18" s="139">
        <f t="shared" si="0"/>
        <v>8</v>
      </c>
      <c r="AC18" s="65">
        <v>5</v>
      </c>
      <c r="AD18" s="65">
        <v>3</v>
      </c>
      <c r="AE18" s="65"/>
      <c r="AF18" s="65"/>
      <c r="AG18" s="65"/>
      <c r="AH18" s="65"/>
      <c r="AI18" s="65"/>
      <c r="AJ18" s="65"/>
      <c r="AK18" s="65">
        <f>SUM(AC18:AJ18)</f>
        <v>8</v>
      </c>
      <c r="AL18" s="65">
        <v>2</v>
      </c>
      <c r="AM18" s="65"/>
      <c r="AN18" s="65"/>
      <c r="AO18" s="65"/>
      <c r="AP18" s="65"/>
      <c r="AQ18" s="65"/>
      <c r="AR18" s="65"/>
      <c r="AS18" s="65"/>
      <c r="AT18" s="65">
        <f t="shared" si="10"/>
        <v>2</v>
      </c>
      <c r="AU18" s="65">
        <v>3</v>
      </c>
      <c r="AV18" s="65">
        <v>1</v>
      </c>
      <c r="AW18" s="65"/>
      <c r="AX18" s="65"/>
      <c r="AY18" s="65"/>
      <c r="AZ18" s="65"/>
      <c r="BA18" s="65"/>
      <c r="BB18" s="65"/>
      <c r="BC18" s="65">
        <f>SUM(AU18+AV18)</f>
        <v>4</v>
      </c>
      <c r="BD18" s="65">
        <v>1</v>
      </c>
      <c r="BE18" s="65">
        <v>1</v>
      </c>
      <c r="BF18" s="65"/>
      <c r="BG18" s="65"/>
      <c r="BH18" s="65"/>
      <c r="BI18" s="65"/>
      <c r="BJ18" s="65"/>
      <c r="BK18" s="65"/>
      <c r="BL18" s="65">
        <f t="shared" si="11"/>
        <v>2</v>
      </c>
      <c r="BM18" s="65"/>
      <c r="BN18" s="65"/>
      <c r="BO18" s="65"/>
      <c r="BP18" s="65"/>
      <c r="BQ18" s="65"/>
      <c r="BR18" s="65"/>
      <c r="BS18" s="65"/>
      <c r="BT18" s="65"/>
      <c r="BU18" s="65">
        <f t="shared" si="1"/>
        <v>0</v>
      </c>
      <c r="BV18" s="65"/>
      <c r="BW18" s="65"/>
      <c r="BX18" s="65"/>
      <c r="BY18" s="65"/>
      <c r="BZ18" s="65"/>
      <c r="CA18" s="65"/>
      <c r="CB18" s="65"/>
      <c r="CC18" s="65"/>
      <c r="CD18" s="65">
        <f t="shared" si="2"/>
        <v>0</v>
      </c>
      <c r="CE18" s="65"/>
      <c r="CF18" s="65"/>
      <c r="CG18" s="65"/>
      <c r="CH18" s="65"/>
      <c r="CI18" s="65"/>
      <c r="CJ18" s="65"/>
      <c r="CK18" s="65"/>
      <c r="CL18" s="65"/>
      <c r="CM18" s="65">
        <f t="shared" si="3"/>
        <v>0</v>
      </c>
      <c r="CN18" s="65"/>
      <c r="CO18" s="65"/>
      <c r="CP18" s="65"/>
      <c r="CQ18" s="65"/>
      <c r="CR18" s="65"/>
      <c r="CS18" s="65"/>
      <c r="CT18" s="65"/>
      <c r="CU18" s="65"/>
      <c r="CV18" s="65">
        <f t="shared" si="4"/>
        <v>0</v>
      </c>
      <c r="CW18" s="65"/>
      <c r="CX18" s="65"/>
      <c r="CY18" s="65"/>
      <c r="CZ18" s="65"/>
      <c r="DA18" s="65"/>
      <c r="DB18" s="65"/>
      <c r="DC18" s="65"/>
      <c r="DD18" s="65"/>
      <c r="DE18" s="65">
        <f t="shared" si="5"/>
        <v>0</v>
      </c>
      <c r="DF18" s="65"/>
      <c r="DG18" s="65"/>
      <c r="DH18" s="65"/>
      <c r="DI18" s="65"/>
      <c r="DJ18" s="65"/>
      <c r="DK18" s="65"/>
      <c r="DL18" s="65"/>
      <c r="DM18" s="65"/>
      <c r="DN18" s="65">
        <f t="shared" si="6"/>
        <v>0</v>
      </c>
      <c r="DO18" s="140">
        <f t="shared" si="7"/>
        <v>102</v>
      </c>
      <c r="DP18" s="92"/>
    </row>
    <row r="19" spans="2:120" ht="171" hidden="1" customHeight="1">
      <c r="B19" s="448" t="s">
        <v>103</v>
      </c>
      <c r="C19" s="448" t="s">
        <v>122</v>
      </c>
      <c r="D19" s="448" t="s">
        <v>3</v>
      </c>
      <c r="E19" s="448"/>
      <c r="F19" s="448" t="s">
        <v>0</v>
      </c>
      <c r="G19" s="449">
        <v>1463</v>
      </c>
      <c r="H19" s="461" t="s">
        <v>173</v>
      </c>
      <c r="I19" s="470">
        <v>1178</v>
      </c>
      <c r="J19" s="138" t="s">
        <v>72</v>
      </c>
      <c r="K19" s="450">
        <v>70</v>
      </c>
      <c r="L19" s="451"/>
      <c r="M19" s="451"/>
      <c r="N19" s="451"/>
      <c r="O19" s="451"/>
      <c r="P19" s="451"/>
      <c r="Q19" s="451"/>
      <c r="R19" s="451"/>
      <c r="S19" s="65">
        <f t="shared" si="8"/>
        <v>70</v>
      </c>
      <c r="T19" s="462">
        <v>70</v>
      </c>
      <c r="U19" s="463"/>
      <c r="V19" s="463"/>
      <c r="W19" s="463"/>
      <c r="X19" s="463"/>
      <c r="Y19" s="463"/>
      <c r="Z19" s="463"/>
      <c r="AA19" s="463"/>
      <c r="AB19" s="139">
        <f t="shared" si="0"/>
        <v>70</v>
      </c>
      <c r="AC19" s="450">
        <v>50</v>
      </c>
      <c r="AD19" s="451"/>
      <c r="AE19" s="451"/>
      <c r="AF19" s="451"/>
      <c r="AG19" s="451"/>
      <c r="AH19" s="451"/>
      <c r="AI19" s="451"/>
      <c r="AJ19" s="451"/>
      <c r="AK19" s="65">
        <f t="shared" si="9"/>
        <v>50</v>
      </c>
      <c r="AL19" s="450">
        <v>0</v>
      </c>
      <c r="AM19" s="451"/>
      <c r="AN19" s="451"/>
      <c r="AO19" s="451"/>
      <c r="AP19" s="451"/>
      <c r="AQ19" s="451"/>
      <c r="AR19" s="451"/>
      <c r="AS19" s="451"/>
      <c r="AT19" s="65">
        <f t="shared" si="10"/>
        <v>0</v>
      </c>
      <c r="AU19" s="450">
        <v>90</v>
      </c>
      <c r="AV19" s="451"/>
      <c r="AW19" s="451"/>
      <c r="AX19" s="451"/>
      <c r="AY19" s="451"/>
      <c r="AZ19" s="451"/>
      <c r="BA19" s="451"/>
      <c r="BB19" s="451"/>
      <c r="BC19" s="65">
        <f t="shared" ref="BC19:BC32" si="12">SUM(AU19)</f>
        <v>90</v>
      </c>
      <c r="BD19" s="450">
        <v>100</v>
      </c>
      <c r="BE19" s="451"/>
      <c r="BF19" s="451"/>
      <c r="BG19" s="451"/>
      <c r="BH19" s="451"/>
      <c r="BI19" s="451"/>
      <c r="BJ19" s="451"/>
      <c r="BK19" s="451"/>
      <c r="BL19" s="65">
        <f t="shared" si="11"/>
        <v>100</v>
      </c>
      <c r="BM19" s="450">
        <v>110</v>
      </c>
      <c r="BN19" s="451"/>
      <c r="BO19" s="451"/>
      <c r="BP19" s="451"/>
      <c r="BQ19" s="451"/>
      <c r="BR19" s="451"/>
      <c r="BS19" s="451"/>
      <c r="BT19" s="451"/>
      <c r="BU19" s="65">
        <f t="shared" si="1"/>
        <v>110</v>
      </c>
      <c r="BV19" s="450">
        <v>85</v>
      </c>
      <c r="BW19" s="451"/>
      <c r="BX19" s="451"/>
      <c r="BY19" s="451"/>
      <c r="BZ19" s="451"/>
      <c r="CA19" s="451"/>
      <c r="CB19" s="451"/>
      <c r="CC19" s="451"/>
      <c r="CD19" s="65">
        <f t="shared" si="2"/>
        <v>85</v>
      </c>
      <c r="CE19" s="450">
        <v>95</v>
      </c>
      <c r="CF19" s="451"/>
      <c r="CG19" s="451"/>
      <c r="CH19" s="451"/>
      <c r="CI19" s="451"/>
      <c r="CJ19" s="451"/>
      <c r="CK19" s="451"/>
      <c r="CL19" s="451"/>
      <c r="CM19" s="65">
        <f t="shared" si="3"/>
        <v>95</v>
      </c>
      <c r="CN19" s="450">
        <v>150</v>
      </c>
      <c r="CO19" s="451"/>
      <c r="CP19" s="451"/>
      <c r="CQ19" s="451"/>
      <c r="CR19" s="451"/>
      <c r="CS19" s="451"/>
      <c r="CT19" s="451"/>
      <c r="CU19" s="451"/>
      <c r="CV19" s="65">
        <f t="shared" si="4"/>
        <v>150</v>
      </c>
      <c r="CW19" s="450">
        <v>148</v>
      </c>
      <c r="CX19" s="451"/>
      <c r="CY19" s="451"/>
      <c r="CZ19" s="451"/>
      <c r="DA19" s="451"/>
      <c r="DB19" s="451"/>
      <c r="DC19" s="451"/>
      <c r="DD19" s="451"/>
      <c r="DE19" s="65">
        <f t="shared" si="5"/>
        <v>148</v>
      </c>
      <c r="DF19" s="450">
        <v>140</v>
      </c>
      <c r="DG19" s="451"/>
      <c r="DH19" s="451"/>
      <c r="DI19" s="451"/>
      <c r="DJ19" s="451"/>
      <c r="DK19" s="451"/>
      <c r="DL19" s="451"/>
      <c r="DM19" s="451"/>
      <c r="DN19" s="65">
        <f t="shared" si="6"/>
        <v>140</v>
      </c>
      <c r="DO19" s="140">
        <f t="shared" si="7"/>
        <v>1108</v>
      </c>
      <c r="DP19" s="92"/>
    </row>
    <row r="20" spans="2:120" ht="171" customHeight="1">
      <c r="B20" s="448"/>
      <c r="C20" s="448"/>
      <c r="D20" s="448"/>
      <c r="E20" s="448"/>
      <c r="F20" s="448"/>
      <c r="G20" s="448"/>
      <c r="H20" s="461"/>
      <c r="I20" s="471"/>
      <c r="J20" s="141" t="s">
        <v>73</v>
      </c>
      <c r="K20" s="65">
        <v>85</v>
      </c>
      <c r="L20" s="65"/>
      <c r="M20" s="65"/>
      <c r="N20" s="65"/>
      <c r="O20" s="65"/>
      <c r="P20" s="65"/>
      <c r="Q20" s="65"/>
      <c r="R20" s="65"/>
      <c r="S20" s="65">
        <f>SUM(K20:R20)</f>
        <v>85</v>
      </c>
      <c r="T20" s="464">
        <v>218</v>
      </c>
      <c r="U20" s="465"/>
      <c r="V20" s="465"/>
      <c r="W20" s="465"/>
      <c r="X20" s="465"/>
      <c r="Y20" s="465"/>
      <c r="Z20" s="465"/>
      <c r="AA20" s="466"/>
      <c r="AB20" s="139">
        <f>SUM(T20)</f>
        <v>218</v>
      </c>
      <c r="AC20" s="467">
        <v>283</v>
      </c>
      <c r="AD20" s="468"/>
      <c r="AE20" s="468"/>
      <c r="AF20" s="468"/>
      <c r="AG20" s="468"/>
      <c r="AH20" s="468"/>
      <c r="AI20" s="468"/>
      <c r="AJ20" s="469"/>
      <c r="AK20" s="65">
        <f>SUM(AC20)</f>
        <v>283</v>
      </c>
      <c r="AL20" s="65">
        <v>259</v>
      </c>
      <c r="AM20" s="65"/>
      <c r="AN20" s="65"/>
      <c r="AO20" s="65"/>
      <c r="AP20" s="65"/>
      <c r="AQ20" s="65"/>
      <c r="AR20" s="65"/>
      <c r="AS20" s="65"/>
      <c r="AT20" s="65">
        <f>SUM(AL20:AS20)</f>
        <v>259</v>
      </c>
      <c r="AU20" s="65">
        <v>247</v>
      </c>
      <c r="AV20" s="65"/>
      <c r="AW20" s="65"/>
      <c r="AX20" s="65"/>
      <c r="AY20" s="65"/>
      <c r="AZ20" s="65"/>
      <c r="BA20" s="65"/>
      <c r="BB20" s="65"/>
      <c r="BC20" s="65">
        <f>SUM(AU20:BB20)</f>
        <v>247</v>
      </c>
      <c r="BD20" s="65">
        <v>273</v>
      </c>
      <c r="BE20" s="65"/>
      <c r="BF20" s="65"/>
      <c r="BG20" s="65"/>
      <c r="BH20" s="65"/>
      <c r="BI20" s="65"/>
      <c r="BJ20" s="65"/>
      <c r="BK20" s="65"/>
      <c r="BL20" s="65">
        <f t="shared" si="11"/>
        <v>273</v>
      </c>
      <c r="BM20" s="65"/>
      <c r="BN20" s="65"/>
      <c r="BO20" s="65"/>
      <c r="BP20" s="65"/>
      <c r="BQ20" s="65"/>
      <c r="BR20" s="65"/>
      <c r="BS20" s="65"/>
      <c r="BT20" s="65"/>
      <c r="BU20" s="65">
        <f t="shared" si="1"/>
        <v>0</v>
      </c>
      <c r="BV20" s="65"/>
      <c r="BW20" s="65"/>
      <c r="BX20" s="65"/>
      <c r="BY20" s="65"/>
      <c r="BZ20" s="65"/>
      <c r="CA20" s="65"/>
      <c r="CB20" s="65"/>
      <c r="CC20" s="65"/>
      <c r="CD20" s="65">
        <f t="shared" si="2"/>
        <v>0</v>
      </c>
      <c r="CE20" s="65"/>
      <c r="CF20" s="65"/>
      <c r="CG20" s="65"/>
      <c r="CH20" s="65"/>
      <c r="CI20" s="65"/>
      <c r="CJ20" s="65"/>
      <c r="CK20" s="65"/>
      <c r="CL20" s="65"/>
      <c r="CM20" s="65">
        <f t="shared" si="3"/>
        <v>0</v>
      </c>
      <c r="CN20" s="65"/>
      <c r="CO20" s="65"/>
      <c r="CP20" s="65"/>
      <c r="CQ20" s="65"/>
      <c r="CR20" s="65"/>
      <c r="CS20" s="65"/>
      <c r="CT20" s="65"/>
      <c r="CU20" s="65"/>
      <c r="CV20" s="65">
        <f t="shared" si="4"/>
        <v>0</v>
      </c>
      <c r="CW20" s="65"/>
      <c r="CX20" s="65"/>
      <c r="CY20" s="65"/>
      <c r="CZ20" s="65"/>
      <c r="DA20" s="65"/>
      <c r="DB20" s="65"/>
      <c r="DC20" s="65"/>
      <c r="DD20" s="65"/>
      <c r="DE20" s="65">
        <f t="shared" si="5"/>
        <v>0</v>
      </c>
      <c r="DF20" s="65"/>
      <c r="DG20" s="65"/>
      <c r="DH20" s="65"/>
      <c r="DI20" s="65"/>
      <c r="DJ20" s="65"/>
      <c r="DK20" s="65"/>
      <c r="DL20" s="65"/>
      <c r="DM20" s="65"/>
      <c r="DN20" s="65">
        <f t="shared" si="6"/>
        <v>0</v>
      </c>
      <c r="DO20" s="140">
        <f t="shared" si="7"/>
        <v>1365</v>
      </c>
      <c r="DP20" s="92" t="s">
        <v>174</v>
      </c>
    </row>
    <row r="21" spans="2:120" ht="171" hidden="1" customHeight="1">
      <c r="B21" s="448" t="s">
        <v>103</v>
      </c>
      <c r="C21" s="448" t="s">
        <v>122</v>
      </c>
      <c r="D21" s="448" t="s">
        <v>3</v>
      </c>
      <c r="E21" s="448"/>
      <c r="F21" s="448" t="s">
        <v>0</v>
      </c>
      <c r="G21" s="449">
        <v>13</v>
      </c>
      <c r="H21" s="472" t="s">
        <v>175</v>
      </c>
      <c r="I21" s="470">
        <v>12</v>
      </c>
      <c r="J21" s="138" t="s">
        <v>72</v>
      </c>
      <c r="K21" s="450">
        <v>1</v>
      </c>
      <c r="L21" s="451"/>
      <c r="M21" s="451"/>
      <c r="N21" s="451"/>
      <c r="O21" s="451"/>
      <c r="P21" s="451"/>
      <c r="Q21" s="451"/>
      <c r="R21" s="451"/>
      <c r="S21" s="65">
        <f t="shared" si="8"/>
        <v>1</v>
      </c>
      <c r="T21" s="462">
        <v>1</v>
      </c>
      <c r="U21" s="463"/>
      <c r="V21" s="463"/>
      <c r="W21" s="463"/>
      <c r="X21" s="463"/>
      <c r="Y21" s="463"/>
      <c r="Z21" s="463"/>
      <c r="AA21" s="463"/>
      <c r="AB21" s="139">
        <f t="shared" si="0"/>
        <v>1</v>
      </c>
      <c r="AC21" s="450">
        <v>1</v>
      </c>
      <c r="AD21" s="451"/>
      <c r="AE21" s="451"/>
      <c r="AF21" s="451"/>
      <c r="AG21" s="451"/>
      <c r="AH21" s="451"/>
      <c r="AI21" s="451"/>
      <c r="AJ21" s="451"/>
      <c r="AK21" s="65">
        <f t="shared" si="9"/>
        <v>1</v>
      </c>
      <c r="AL21" s="450">
        <v>138</v>
      </c>
      <c r="AM21" s="451"/>
      <c r="AN21" s="451"/>
      <c r="AO21" s="451"/>
      <c r="AP21" s="451"/>
      <c r="AQ21" s="451"/>
      <c r="AR21" s="451"/>
      <c r="AS21" s="451"/>
      <c r="AT21" s="65">
        <f t="shared" si="10"/>
        <v>138</v>
      </c>
      <c r="AU21" s="450">
        <v>1</v>
      </c>
      <c r="AV21" s="451"/>
      <c r="AW21" s="451"/>
      <c r="AX21" s="451"/>
      <c r="AY21" s="451"/>
      <c r="AZ21" s="451"/>
      <c r="BA21" s="451"/>
      <c r="BB21" s="451"/>
      <c r="BC21" s="65">
        <f t="shared" si="12"/>
        <v>1</v>
      </c>
      <c r="BD21" s="450">
        <v>1</v>
      </c>
      <c r="BE21" s="451"/>
      <c r="BF21" s="451"/>
      <c r="BG21" s="451"/>
      <c r="BH21" s="451"/>
      <c r="BI21" s="451"/>
      <c r="BJ21" s="451"/>
      <c r="BK21" s="451"/>
      <c r="BL21" s="65">
        <f t="shared" si="11"/>
        <v>1</v>
      </c>
      <c r="BM21" s="450">
        <v>1</v>
      </c>
      <c r="BN21" s="451"/>
      <c r="BO21" s="451"/>
      <c r="BP21" s="451"/>
      <c r="BQ21" s="451"/>
      <c r="BR21" s="451"/>
      <c r="BS21" s="451"/>
      <c r="BT21" s="451"/>
      <c r="BU21" s="65">
        <f t="shared" si="1"/>
        <v>1</v>
      </c>
      <c r="BV21" s="450">
        <v>1</v>
      </c>
      <c r="BW21" s="451"/>
      <c r="BX21" s="451"/>
      <c r="BY21" s="451"/>
      <c r="BZ21" s="451"/>
      <c r="CA21" s="451"/>
      <c r="CB21" s="451"/>
      <c r="CC21" s="451"/>
      <c r="CD21" s="65">
        <f t="shared" si="2"/>
        <v>1</v>
      </c>
      <c r="CE21" s="450">
        <v>1</v>
      </c>
      <c r="CF21" s="451"/>
      <c r="CG21" s="451"/>
      <c r="CH21" s="451"/>
      <c r="CI21" s="451"/>
      <c r="CJ21" s="451"/>
      <c r="CK21" s="451"/>
      <c r="CL21" s="451"/>
      <c r="CM21" s="65">
        <f t="shared" si="3"/>
        <v>1</v>
      </c>
      <c r="CN21" s="450">
        <v>1</v>
      </c>
      <c r="CO21" s="451"/>
      <c r="CP21" s="451"/>
      <c r="CQ21" s="451"/>
      <c r="CR21" s="451"/>
      <c r="CS21" s="451"/>
      <c r="CT21" s="451"/>
      <c r="CU21" s="451"/>
      <c r="CV21" s="65">
        <f t="shared" si="4"/>
        <v>1</v>
      </c>
      <c r="CW21" s="450">
        <v>1</v>
      </c>
      <c r="CX21" s="451"/>
      <c r="CY21" s="451"/>
      <c r="CZ21" s="451"/>
      <c r="DA21" s="451"/>
      <c r="DB21" s="451"/>
      <c r="DC21" s="451"/>
      <c r="DD21" s="451"/>
      <c r="DE21" s="65">
        <f t="shared" si="5"/>
        <v>1</v>
      </c>
      <c r="DF21" s="450">
        <v>1</v>
      </c>
      <c r="DG21" s="451"/>
      <c r="DH21" s="451"/>
      <c r="DI21" s="451"/>
      <c r="DJ21" s="451"/>
      <c r="DK21" s="451"/>
      <c r="DL21" s="451"/>
      <c r="DM21" s="451"/>
      <c r="DN21" s="65">
        <f t="shared" si="6"/>
        <v>1</v>
      </c>
      <c r="DO21" s="140">
        <f t="shared" si="7"/>
        <v>149</v>
      </c>
      <c r="DP21" s="92"/>
    </row>
    <row r="22" spans="2:120" ht="171" customHeight="1">
      <c r="B22" s="448"/>
      <c r="C22" s="448"/>
      <c r="D22" s="448"/>
      <c r="E22" s="448"/>
      <c r="F22" s="448"/>
      <c r="G22" s="448"/>
      <c r="H22" s="473"/>
      <c r="I22" s="471"/>
      <c r="J22" s="141" t="s">
        <v>73</v>
      </c>
      <c r="K22" s="65">
        <v>1</v>
      </c>
      <c r="L22" s="65"/>
      <c r="M22" s="65"/>
      <c r="N22" s="65"/>
      <c r="O22" s="65"/>
      <c r="P22" s="65"/>
      <c r="Q22" s="65"/>
      <c r="R22" s="65"/>
      <c r="S22" s="65">
        <f>SUM(K22:R22)</f>
        <v>1</v>
      </c>
      <c r="T22" s="464">
        <v>2</v>
      </c>
      <c r="U22" s="465"/>
      <c r="V22" s="465"/>
      <c r="W22" s="465"/>
      <c r="X22" s="465"/>
      <c r="Y22" s="465"/>
      <c r="Z22" s="465"/>
      <c r="AA22" s="466"/>
      <c r="AB22" s="139">
        <f>SUM(T22)</f>
        <v>2</v>
      </c>
      <c r="AC22" s="467">
        <v>3</v>
      </c>
      <c r="AD22" s="468"/>
      <c r="AE22" s="468"/>
      <c r="AF22" s="468"/>
      <c r="AG22" s="468"/>
      <c r="AH22" s="468"/>
      <c r="AI22" s="468"/>
      <c r="AJ22" s="469"/>
      <c r="AK22" s="65">
        <f>SUM(AC22)</f>
        <v>3</v>
      </c>
      <c r="AL22" s="65">
        <v>0</v>
      </c>
      <c r="AM22" s="65"/>
      <c r="AN22" s="65"/>
      <c r="AO22" s="65"/>
      <c r="AP22" s="65"/>
      <c r="AQ22" s="65"/>
      <c r="AR22" s="65"/>
      <c r="AS22" s="65"/>
      <c r="AT22" s="65">
        <f>SUM(AL22:AS22)</f>
        <v>0</v>
      </c>
      <c r="AU22" s="65">
        <v>3</v>
      </c>
      <c r="AV22" s="65"/>
      <c r="AW22" s="65"/>
      <c r="AX22" s="65"/>
      <c r="AY22" s="65"/>
      <c r="AZ22" s="65"/>
      <c r="BA22" s="65"/>
      <c r="BB22" s="65"/>
      <c r="BC22" s="65">
        <f>SUM(AU22:BB22)</f>
        <v>3</v>
      </c>
      <c r="BD22" s="65">
        <v>3</v>
      </c>
      <c r="BE22" s="65"/>
      <c r="BF22" s="65"/>
      <c r="BG22" s="65"/>
      <c r="BH22" s="65"/>
      <c r="BI22" s="65"/>
      <c r="BJ22" s="65"/>
      <c r="BK22" s="65"/>
      <c r="BL22" s="65">
        <f t="shared" si="11"/>
        <v>3</v>
      </c>
      <c r="BM22" s="65"/>
      <c r="BN22" s="65"/>
      <c r="BO22" s="65"/>
      <c r="BP22" s="65"/>
      <c r="BQ22" s="65"/>
      <c r="BR22" s="65"/>
      <c r="BS22" s="65"/>
      <c r="BT22" s="65"/>
      <c r="BU22" s="65">
        <f t="shared" si="1"/>
        <v>0</v>
      </c>
      <c r="BV22" s="65"/>
      <c r="BW22" s="65"/>
      <c r="BX22" s="65"/>
      <c r="BY22" s="65"/>
      <c r="BZ22" s="65"/>
      <c r="CA22" s="65"/>
      <c r="CB22" s="65"/>
      <c r="CC22" s="65"/>
      <c r="CD22" s="65">
        <f t="shared" si="2"/>
        <v>0</v>
      </c>
      <c r="CE22" s="65"/>
      <c r="CF22" s="65"/>
      <c r="CG22" s="65"/>
      <c r="CH22" s="65"/>
      <c r="CI22" s="65"/>
      <c r="CJ22" s="65"/>
      <c r="CK22" s="65"/>
      <c r="CL22" s="65"/>
      <c r="CM22" s="65">
        <f t="shared" si="3"/>
        <v>0</v>
      </c>
      <c r="CN22" s="65"/>
      <c r="CO22" s="65"/>
      <c r="CP22" s="65"/>
      <c r="CQ22" s="65"/>
      <c r="CR22" s="65"/>
      <c r="CS22" s="65"/>
      <c r="CT22" s="65"/>
      <c r="CU22" s="65"/>
      <c r="CV22" s="65">
        <f t="shared" si="4"/>
        <v>0</v>
      </c>
      <c r="CW22" s="65"/>
      <c r="CX22" s="65"/>
      <c r="CY22" s="65"/>
      <c r="CZ22" s="65"/>
      <c r="DA22" s="65"/>
      <c r="DB22" s="65"/>
      <c r="DC22" s="65"/>
      <c r="DD22" s="65"/>
      <c r="DE22" s="65">
        <f t="shared" si="5"/>
        <v>0</v>
      </c>
      <c r="DF22" s="65"/>
      <c r="DG22" s="65"/>
      <c r="DH22" s="65"/>
      <c r="DI22" s="65"/>
      <c r="DJ22" s="65"/>
      <c r="DK22" s="65"/>
      <c r="DL22" s="65"/>
      <c r="DM22" s="65"/>
      <c r="DN22" s="65">
        <f t="shared" si="6"/>
        <v>0</v>
      </c>
      <c r="DO22" s="140">
        <f t="shared" si="7"/>
        <v>12</v>
      </c>
      <c r="DP22" s="92" t="s">
        <v>176</v>
      </c>
    </row>
    <row r="23" spans="2:120" ht="234.75" hidden="1" customHeight="1">
      <c r="B23" s="452" t="s">
        <v>74</v>
      </c>
      <c r="C23" s="452" t="s">
        <v>177</v>
      </c>
      <c r="D23" s="454" t="s">
        <v>80</v>
      </c>
      <c r="E23" s="455"/>
      <c r="F23" s="452" t="s">
        <v>12</v>
      </c>
      <c r="G23" s="449">
        <v>5770</v>
      </c>
      <c r="H23" s="458" t="s">
        <v>157</v>
      </c>
      <c r="I23" s="449">
        <v>4825</v>
      </c>
      <c r="J23" s="138" t="s">
        <v>72</v>
      </c>
      <c r="K23" s="450">
        <v>400</v>
      </c>
      <c r="L23" s="451"/>
      <c r="M23" s="451"/>
      <c r="N23" s="451"/>
      <c r="O23" s="451"/>
      <c r="P23" s="451"/>
      <c r="Q23" s="451"/>
      <c r="R23" s="451"/>
      <c r="S23" s="65">
        <f t="shared" si="8"/>
        <v>400</v>
      </c>
      <c r="T23" s="462">
        <v>400</v>
      </c>
      <c r="U23" s="463"/>
      <c r="V23" s="463"/>
      <c r="W23" s="463"/>
      <c r="X23" s="463"/>
      <c r="Y23" s="463"/>
      <c r="Z23" s="463"/>
      <c r="AA23" s="463"/>
      <c r="AB23" s="139">
        <f t="shared" ref="AB23:AB32" si="13">SUM(T23)</f>
        <v>400</v>
      </c>
      <c r="AC23" s="450">
        <v>400</v>
      </c>
      <c r="AD23" s="451"/>
      <c r="AE23" s="451"/>
      <c r="AF23" s="451"/>
      <c r="AG23" s="451"/>
      <c r="AH23" s="451"/>
      <c r="AI23" s="451"/>
      <c r="AJ23" s="451"/>
      <c r="AK23" s="65">
        <f t="shared" si="9"/>
        <v>400</v>
      </c>
      <c r="AL23" s="450">
        <v>535</v>
      </c>
      <c r="AM23" s="451"/>
      <c r="AN23" s="451"/>
      <c r="AO23" s="451"/>
      <c r="AP23" s="451"/>
      <c r="AQ23" s="451"/>
      <c r="AR23" s="451"/>
      <c r="AS23" s="451"/>
      <c r="AT23" s="65">
        <f t="shared" si="10"/>
        <v>535</v>
      </c>
      <c r="AU23" s="450">
        <v>872</v>
      </c>
      <c r="AV23" s="451"/>
      <c r="AW23" s="451"/>
      <c r="AX23" s="451"/>
      <c r="AY23" s="451"/>
      <c r="AZ23" s="451"/>
      <c r="BA23" s="451"/>
      <c r="BB23" s="451"/>
      <c r="BC23" s="65">
        <f t="shared" si="12"/>
        <v>872</v>
      </c>
      <c r="BD23" s="450">
        <v>400</v>
      </c>
      <c r="BE23" s="451"/>
      <c r="BF23" s="451"/>
      <c r="BG23" s="451"/>
      <c r="BH23" s="451"/>
      <c r="BI23" s="451"/>
      <c r="BJ23" s="451"/>
      <c r="BK23" s="451"/>
      <c r="BL23" s="65">
        <f t="shared" si="11"/>
        <v>400</v>
      </c>
      <c r="BM23" s="450">
        <v>400</v>
      </c>
      <c r="BN23" s="451"/>
      <c r="BO23" s="451"/>
      <c r="BP23" s="451"/>
      <c r="BQ23" s="451"/>
      <c r="BR23" s="451"/>
      <c r="BS23" s="451"/>
      <c r="BT23" s="451"/>
      <c r="BU23" s="65">
        <f t="shared" si="1"/>
        <v>400</v>
      </c>
      <c r="BV23" s="450">
        <v>405</v>
      </c>
      <c r="BW23" s="451"/>
      <c r="BX23" s="451"/>
      <c r="BY23" s="451"/>
      <c r="BZ23" s="451"/>
      <c r="CA23" s="451"/>
      <c r="CB23" s="451"/>
      <c r="CC23" s="451"/>
      <c r="CD23" s="65">
        <f t="shared" si="2"/>
        <v>405</v>
      </c>
      <c r="CE23" s="450">
        <v>405</v>
      </c>
      <c r="CF23" s="451"/>
      <c r="CG23" s="451"/>
      <c r="CH23" s="451"/>
      <c r="CI23" s="451"/>
      <c r="CJ23" s="451"/>
      <c r="CK23" s="451"/>
      <c r="CL23" s="451"/>
      <c r="CM23" s="65">
        <f t="shared" si="3"/>
        <v>405</v>
      </c>
      <c r="CN23" s="450">
        <v>405</v>
      </c>
      <c r="CO23" s="451"/>
      <c r="CP23" s="451"/>
      <c r="CQ23" s="451"/>
      <c r="CR23" s="451"/>
      <c r="CS23" s="451"/>
      <c r="CT23" s="451"/>
      <c r="CU23" s="451"/>
      <c r="CV23" s="65">
        <f t="shared" si="4"/>
        <v>405</v>
      </c>
      <c r="CW23" s="450">
        <v>405</v>
      </c>
      <c r="CX23" s="451"/>
      <c r="CY23" s="451"/>
      <c r="CZ23" s="451"/>
      <c r="DA23" s="451"/>
      <c r="DB23" s="451"/>
      <c r="DC23" s="451"/>
      <c r="DD23" s="451"/>
      <c r="DE23" s="65">
        <f t="shared" si="5"/>
        <v>405</v>
      </c>
      <c r="DF23" s="450">
        <v>405</v>
      </c>
      <c r="DG23" s="451"/>
      <c r="DH23" s="451"/>
      <c r="DI23" s="451"/>
      <c r="DJ23" s="451"/>
      <c r="DK23" s="451"/>
      <c r="DL23" s="451"/>
      <c r="DM23" s="451"/>
      <c r="DN23" s="65">
        <f t="shared" si="6"/>
        <v>405</v>
      </c>
      <c r="DO23" s="140">
        <f t="shared" si="7"/>
        <v>5432</v>
      </c>
      <c r="DP23" s="142"/>
    </row>
    <row r="24" spans="2:120" ht="246" customHeight="1">
      <c r="B24" s="453"/>
      <c r="C24" s="453"/>
      <c r="D24" s="456"/>
      <c r="E24" s="457"/>
      <c r="F24" s="453"/>
      <c r="G24" s="448"/>
      <c r="H24" s="458"/>
      <c r="I24" s="448"/>
      <c r="J24" s="141" t="s">
        <v>73</v>
      </c>
      <c r="K24" s="65">
        <v>452</v>
      </c>
      <c r="L24" s="65"/>
      <c r="M24" s="65"/>
      <c r="N24" s="65"/>
      <c r="O24" s="65"/>
      <c r="P24" s="65"/>
      <c r="Q24" s="65"/>
      <c r="R24" s="65"/>
      <c r="S24" s="65">
        <f t="shared" si="8"/>
        <v>452</v>
      </c>
      <c r="T24" s="139">
        <v>249</v>
      </c>
      <c r="U24" s="139">
        <v>268</v>
      </c>
      <c r="V24" s="139">
        <v>16</v>
      </c>
      <c r="W24" s="139">
        <v>45</v>
      </c>
      <c r="X24" s="139">
        <v>6</v>
      </c>
      <c r="Y24" s="139"/>
      <c r="Z24" s="139"/>
      <c r="AA24" s="139"/>
      <c r="AB24" s="139">
        <f>SUM(T24:AA24)</f>
        <v>584</v>
      </c>
      <c r="AC24" s="65">
        <v>206</v>
      </c>
      <c r="AD24" s="65">
        <v>222</v>
      </c>
      <c r="AE24" s="65">
        <v>5</v>
      </c>
      <c r="AF24" s="65">
        <v>14</v>
      </c>
      <c r="AG24" s="65"/>
      <c r="AH24" s="65"/>
      <c r="AI24" s="65"/>
      <c r="AJ24" s="65"/>
      <c r="AK24" s="65">
        <f>SUM(AC24:AJ24)</f>
        <v>447</v>
      </c>
      <c r="AL24" s="65">
        <v>212</v>
      </c>
      <c r="AM24" s="65">
        <v>173</v>
      </c>
      <c r="AN24" s="65">
        <v>133</v>
      </c>
      <c r="AO24" s="65">
        <v>13</v>
      </c>
      <c r="AP24" s="65">
        <v>14</v>
      </c>
      <c r="AQ24" s="65">
        <v>0</v>
      </c>
      <c r="AR24" s="65"/>
      <c r="AS24" s="65"/>
      <c r="AT24" s="65">
        <f t="shared" si="10"/>
        <v>545</v>
      </c>
      <c r="AU24" s="65">
        <v>165</v>
      </c>
      <c r="AV24" s="65">
        <v>343</v>
      </c>
      <c r="AW24" s="65">
        <v>113</v>
      </c>
      <c r="AX24" s="65">
        <v>86</v>
      </c>
      <c r="AY24" s="65">
        <v>4</v>
      </c>
      <c r="AZ24" s="65"/>
      <c r="BA24" s="65"/>
      <c r="BB24" s="65"/>
      <c r="BC24" s="65">
        <f>SUM(AU24:BB24)</f>
        <v>711</v>
      </c>
      <c r="BD24" s="65">
        <v>262</v>
      </c>
      <c r="BE24" s="65">
        <v>226</v>
      </c>
      <c r="BF24" s="65">
        <v>60</v>
      </c>
      <c r="BG24" s="65">
        <v>28</v>
      </c>
      <c r="BH24" s="65">
        <v>7</v>
      </c>
      <c r="BI24" s="65"/>
      <c r="BJ24" s="65"/>
      <c r="BK24" s="65"/>
      <c r="BL24" s="65">
        <f t="shared" si="11"/>
        <v>583</v>
      </c>
      <c r="BM24" s="65"/>
      <c r="BN24" s="65"/>
      <c r="BO24" s="65"/>
      <c r="BP24" s="65"/>
      <c r="BQ24" s="65"/>
      <c r="BR24" s="65"/>
      <c r="BS24" s="65"/>
      <c r="BT24" s="65"/>
      <c r="BU24" s="65">
        <f t="shared" si="1"/>
        <v>0</v>
      </c>
      <c r="BV24" s="65"/>
      <c r="BW24" s="65"/>
      <c r="BX24" s="65"/>
      <c r="BY24" s="65"/>
      <c r="BZ24" s="65"/>
      <c r="CA24" s="65"/>
      <c r="CB24" s="65"/>
      <c r="CC24" s="65"/>
      <c r="CD24" s="65">
        <f t="shared" si="2"/>
        <v>0</v>
      </c>
      <c r="CE24" s="65"/>
      <c r="CF24" s="65"/>
      <c r="CG24" s="65"/>
      <c r="CH24" s="65"/>
      <c r="CI24" s="65"/>
      <c r="CJ24" s="65"/>
      <c r="CK24" s="65"/>
      <c r="CL24" s="65"/>
      <c r="CM24" s="65">
        <f t="shared" si="3"/>
        <v>0</v>
      </c>
      <c r="CN24" s="65"/>
      <c r="CO24" s="65"/>
      <c r="CP24" s="65"/>
      <c r="CQ24" s="65"/>
      <c r="CR24" s="65"/>
      <c r="CS24" s="65"/>
      <c r="CT24" s="65"/>
      <c r="CU24" s="65"/>
      <c r="CV24" s="65">
        <f t="shared" si="4"/>
        <v>0</v>
      </c>
      <c r="CW24" s="65"/>
      <c r="CX24" s="65"/>
      <c r="CY24" s="65"/>
      <c r="CZ24" s="65"/>
      <c r="DA24" s="65"/>
      <c r="DB24" s="65"/>
      <c r="DC24" s="65"/>
      <c r="DD24" s="65"/>
      <c r="DE24" s="65">
        <f t="shared" si="5"/>
        <v>0</v>
      </c>
      <c r="DF24" s="65"/>
      <c r="DG24" s="65"/>
      <c r="DH24" s="65"/>
      <c r="DI24" s="65"/>
      <c r="DJ24" s="65"/>
      <c r="DK24" s="65"/>
      <c r="DL24" s="65"/>
      <c r="DM24" s="65"/>
      <c r="DN24" s="65">
        <f t="shared" si="6"/>
        <v>0</v>
      </c>
      <c r="DO24" s="140">
        <f t="shared" si="7"/>
        <v>3322</v>
      </c>
      <c r="DP24" s="143"/>
    </row>
    <row r="25" spans="2:120" ht="204.75" hidden="1" customHeight="1">
      <c r="B25" s="452" t="s">
        <v>74</v>
      </c>
      <c r="C25" s="452" t="s">
        <v>177</v>
      </c>
      <c r="D25" s="454" t="s">
        <v>80</v>
      </c>
      <c r="E25" s="455"/>
      <c r="F25" s="452" t="s">
        <v>12</v>
      </c>
      <c r="G25" s="449">
        <v>5090</v>
      </c>
      <c r="H25" s="458" t="s">
        <v>178</v>
      </c>
      <c r="I25" s="448">
        <v>3622</v>
      </c>
      <c r="J25" s="138" t="s">
        <v>72</v>
      </c>
      <c r="K25" s="450">
        <v>300</v>
      </c>
      <c r="L25" s="451"/>
      <c r="M25" s="451"/>
      <c r="N25" s="451"/>
      <c r="O25" s="451"/>
      <c r="P25" s="451"/>
      <c r="Q25" s="451"/>
      <c r="R25" s="451"/>
      <c r="S25" s="65">
        <f t="shared" si="8"/>
        <v>300</v>
      </c>
      <c r="T25" s="462">
        <v>300</v>
      </c>
      <c r="U25" s="463"/>
      <c r="V25" s="463"/>
      <c r="W25" s="463"/>
      <c r="X25" s="463"/>
      <c r="Y25" s="463"/>
      <c r="Z25" s="463"/>
      <c r="AA25" s="463"/>
      <c r="AB25" s="139">
        <f>SUM(T25:AA25)</f>
        <v>300</v>
      </c>
      <c r="AC25" s="450">
        <v>300</v>
      </c>
      <c r="AD25" s="451"/>
      <c r="AE25" s="451"/>
      <c r="AF25" s="451"/>
      <c r="AG25" s="451"/>
      <c r="AH25" s="451"/>
      <c r="AI25" s="451"/>
      <c r="AJ25" s="451"/>
      <c r="AK25" s="65">
        <f t="shared" si="9"/>
        <v>300</v>
      </c>
      <c r="AL25" s="450">
        <v>371</v>
      </c>
      <c r="AM25" s="451"/>
      <c r="AN25" s="451"/>
      <c r="AO25" s="451"/>
      <c r="AP25" s="451"/>
      <c r="AQ25" s="451"/>
      <c r="AR25" s="451"/>
      <c r="AS25" s="451"/>
      <c r="AT25" s="65">
        <f t="shared" si="10"/>
        <v>371</v>
      </c>
      <c r="AU25" s="450">
        <v>490</v>
      </c>
      <c r="AV25" s="451"/>
      <c r="AW25" s="451"/>
      <c r="AX25" s="451"/>
      <c r="AY25" s="451"/>
      <c r="AZ25" s="451"/>
      <c r="BA25" s="451"/>
      <c r="BB25" s="451"/>
      <c r="BC25" s="65">
        <f t="shared" si="12"/>
        <v>490</v>
      </c>
      <c r="BD25" s="450">
        <v>300</v>
      </c>
      <c r="BE25" s="451"/>
      <c r="BF25" s="451"/>
      <c r="BG25" s="451"/>
      <c r="BH25" s="451"/>
      <c r="BI25" s="451"/>
      <c r="BJ25" s="451"/>
      <c r="BK25" s="451"/>
      <c r="BL25" s="65">
        <f t="shared" si="11"/>
        <v>300</v>
      </c>
      <c r="BM25" s="450">
        <v>300</v>
      </c>
      <c r="BN25" s="451"/>
      <c r="BO25" s="451"/>
      <c r="BP25" s="451"/>
      <c r="BQ25" s="451"/>
      <c r="BR25" s="451"/>
      <c r="BS25" s="451"/>
      <c r="BT25" s="451"/>
      <c r="BU25" s="65">
        <f t="shared" si="1"/>
        <v>300</v>
      </c>
      <c r="BV25" s="450">
        <v>302</v>
      </c>
      <c r="BW25" s="451"/>
      <c r="BX25" s="451"/>
      <c r="BY25" s="451"/>
      <c r="BZ25" s="451"/>
      <c r="CA25" s="451"/>
      <c r="CB25" s="451"/>
      <c r="CC25" s="451"/>
      <c r="CD25" s="65">
        <f t="shared" si="2"/>
        <v>302</v>
      </c>
      <c r="CE25" s="450">
        <v>305</v>
      </c>
      <c r="CF25" s="451"/>
      <c r="CG25" s="451"/>
      <c r="CH25" s="451"/>
      <c r="CI25" s="451"/>
      <c r="CJ25" s="451"/>
      <c r="CK25" s="451"/>
      <c r="CL25" s="451"/>
      <c r="CM25" s="65">
        <f t="shared" si="3"/>
        <v>305</v>
      </c>
      <c r="CN25" s="450">
        <v>305</v>
      </c>
      <c r="CO25" s="451"/>
      <c r="CP25" s="451"/>
      <c r="CQ25" s="451"/>
      <c r="CR25" s="451"/>
      <c r="CS25" s="451"/>
      <c r="CT25" s="451"/>
      <c r="CU25" s="451"/>
      <c r="CV25" s="65">
        <f t="shared" si="4"/>
        <v>305</v>
      </c>
      <c r="CW25" s="450">
        <v>305</v>
      </c>
      <c r="CX25" s="451"/>
      <c r="CY25" s="451"/>
      <c r="CZ25" s="451"/>
      <c r="DA25" s="451"/>
      <c r="DB25" s="451"/>
      <c r="DC25" s="451"/>
      <c r="DD25" s="451"/>
      <c r="DE25" s="65">
        <f t="shared" si="5"/>
        <v>305</v>
      </c>
      <c r="DF25" s="450">
        <v>305</v>
      </c>
      <c r="DG25" s="451"/>
      <c r="DH25" s="451"/>
      <c r="DI25" s="451"/>
      <c r="DJ25" s="451"/>
      <c r="DK25" s="451"/>
      <c r="DL25" s="451"/>
      <c r="DM25" s="451"/>
      <c r="DN25" s="65">
        <f t="shared" si="6"/>
        <v>305</v>
      </c>
      <c r="DO25" s="140">
        <f t="shared" si="7"/>
        <v>3883</v>
      </c>
      <c r="DP25" s="102"/>
    </row>
    <row r="26" spans="2:120" ht="186" customHeight="1">
      <c r="B26" s="453"/>
      <c r="C26" s="453"/>
      <c r="D26" s="456"/>
      <c r="E26" s="457"/>
      <c r="F26" s="453"/>
      <c r="G26" s="448"/>
      <c r="H26" s="458"/>
      <c r="I26" s="448"/>
      <c r="J26" s="141" t="s">
        <v>73</v>
      </c>
      <c r="K26" s="65">
        <v>158</v>
      </c>
      <c r="L26" s="65"/>
      <c r="M26" s="65"/>
      <c r="N26" s="65"/>
      <c r="O26" s="65"/>
      <c r="P26" s="65"/>
      <c r="Q26" s="65"/>
      <c r="R26" s="65"/>
      <c r="S26" s="65">
        <f t="shared" si="8"/>
        <v>158</v>
      </c>
      <c r="T26" s="139">
        <v>120</v>
      </c>
      <c r="U26" s="139">
        <v>108</v>
      </c>
      <c r="V26" s="139">
        <v>29</v>
      </c>
      <c r="W26" s="139">
        <v>60</v>
      </c>
      <c r="X26" s="139">
        <v>23</v>
      </c>
      <c r="Y26" s="139">
        <v>2</v>
      </c>
      <c r="Z26" s="139"/>
      <c r="AA26" s="139"/>
      <c r="AB26" s="139">
        <f>SUM(T26:AA26)</f>
        <v>342</v>
      </c>
      <c r="AC26" s="65">
        <v>196</v>
      </c>
      <c r="AD26" s="65">
        <v>96</v>
      </c>
      <c r="AE26" s="65">
        <v>36</v>
      </c>
      <c r="AF26" s="65">
        <v>72</v>
      </c>
      <c r="AG26" s="65">
        <v>10</v>
      </c>
      <c r="AH26" s="65">
        <v>11</v>
      </c>
      <c r="AI26" s="65"/>
      <c r="AJ26" s="65"/>
      <c r="AK26" s="65">
        <f>SUM(AC26:AJ26)</f>
        <v>421</v>
      </c>
      <c r="AL26" s="65">
        <v>233</v>
      </c>
      <c r="AM26" s="65">
        <v>102</v>
      </c>
      <c r="AN26" s="65">
        <v>66</v>
      </c>
      <c r="AO26" s="65">
        <v>26</v>
      </c>
      <c r="AP26" s="65">
        <v>22</v>
      </c>
      <c r="AQ26" s="65">
        <v>1</v>
      </c>
      <c r="AR26" s="65"/>
      <c r="AS26" s="65"/>
      <c r="AT26" s="65">
        <f t="shared" si="10"/>
        <v>450</v>
      </c>
      <c r="AU26" s="65">
        <v>153</v>
      </c>
      <c r="AV26" s="65">
        <v>109</v>
      </c>
      <c r="AW26" s="65">
        <v>67</v>
      </c>
      <c r="AX26" s="65">
        <v>49</v>
      </c>
      <c r="AY26" s="65">
        <v>18</v>
      </c>
      <c r="AZ26" s="65"/>
      <c r="BA26" s="65"/>
      <c r="BB26" s="65"/>
      <c r="BC26" s="65">
        <f>SUM(AU26:BB26)</f>
        <v>396</v>
      </c>
      <c r="BD26" s="65">
        <v>176</v>
      </c>
      <c r="BE26" s="65">
        <v>145</v>
      </c>
      <c r="BF26" s="65">
        <v>143</v>
      </c>
      <c r="BG26" s="65">
        <v>49</v>
      </c>
      <c r="BH26" s="65">
        <v>27</v>
      </c>
      <c r="BI26" s="65"/>
      <c r="BJ26" s="65"/>
      <c r="BK26" s="65"/>
      <c r="BL26" s="65">
        <f t="shared" si="11"/>
        <v>540</v>
      </c>
      <c r="BM26" s="65"/>
      <c r="BN26" s="65"/>
      <c r="BO26" s="65"/>
      <c r="BP26" s="65"/>
      <c r="BQ26" s="65"/>
      <c r="BR26" s="65"/>
      <c r="BS26" s="65"/>
      <c r="BT26" s="65"/>
      <c r="BU26" s="65">
        <f t="shared" si="1"/>
        <v>0</v>
      </c>
      <c r="BV26" s="65"/>
      <c r="BW26" s="65"/>
      <c r="BX26" s="65"/>
      <c r="BY26" s="65"/>
      <c r="BZ26" s="65"/>
      <c r="CA26" s="65"/>
      <c r="CB26" s="65"/>
      <c r="CC26" s="65"/>
      <c r="CD26" s="65">
        <f t="shared" si="2"/>
        <v>0</v>
      </c>
      <c r="CE26" s="65"/>
      <c r="CF26" s="65"/>
      <c r="CG26" s="65"/>
      <c r="CH26" s="65"/>
      <c r="CI26" s="65"/>
      <c r="CJ26" s="65"/>
      <c r="CK26" s="65"/>
      <c r="CL26" s="65"/>
      <c r="CM26" s="65">
        <f t="shared" si="3"/>
        <v>0</v>
      </c>
      <c r="CN26" s="65"/>
      <c r="CO26" s="65"/>
      <c r="CP26" s="65"/>
      <c r="CQ26" s="65"/>
      <c r="CR26" s="65"/>
      <c r="CS26" s="65"/>
      <c r="CT26" s="65"/>
      <c r="CU26" s="65"/>
      <c r="CV26" s="65">
        <f t="shared" si="4"/>
        <v>0</v>
      </c>
      <c r="CW26" s="65"/>
      <c r="CX26" s="65"/>
      <c r="CY26" s="65"/>
      <c r="CZ26" s="65"/>
      <c r="DA26" s="65"/>
      <c r="DB26" s="65"/>
      <c r="DC26" s="65"/>
      <c r="DD26" s="65"/>
      <c r="DE26" s="65">
        <f t="shared" si="5"/>
        <v>0</v>
      </c>
      <c r="DF26" s="65"/>
      <c r="DG26" s="65"/>
      <c r="DH26" s="65"/>
      <c r="DI26" s="65"/>
      <c r="DJ26" s="65"/>
      <c r="DK26" s="65"/>
      <c r="DL26" s="65"/>
      <c r="DM26" s="65"/>
      <c r="DN26" s="65">
        <f t="shared" si="6"/>
        <v>0</v>
      </c>
      <c r="DO26" s="140">
        <f t="shared" si="7"/>
        <v>2307</v>
      </c>
      <c r="DP26" s="102"/>
    </row>
    <row r="27" spans="2:120" ht="165" hidden="1" customHeight="1">
      <c r="B27" s="452" t="s">
        <v>135</v>
      </c>
      <c r="C27" s="452" t="s">
        <v>7</v>
      </c>
      <c r="D27" s="454" t="s">
        <v>179</v>
      </c>
      <c r="E27" s="455"/>
      <c r="F27" s="452" t="s">
        <v>180</v>
      </c>
      <c r="G27" s="449">
        <v>1</v>
      </c>
      <c r="H27" s="452" t="s">
        <v>180</v>
      </c>
      <c r="I27" s="474">
        <v>1</v>
      </c>
      <c r="J27" s="138" t="s">
        <v>72</v>
      </c>
      <c r="K27" s="450"/>
      <c r="L27" s="451"/>
      <c r="M27" s="451"/>
      <c r="N27" s="451"/>
      <c r="O27" s="451"/>
      <c r="P27" s="451"/>
      <c r="Q27" s="451"/>
      <c r="R27" s="451"/>
      <c r="S27" s="65">
        <f t="shared" si="8"/>
        <v>0</v>
      </c>
      <c r="T27" s="462"/>
      <c r="U27" s="463"/>
      <c r="V27" s="463"/>
      <c r="W27" s="463"/>
      <c r="X27" s="463"/>
      <c r="Y27" s="463"/>
      <c r="Z27" s="463"/>
      <c r="AA27" s="463"/>
      <c r="AB27" s="139">
        <f t="shared" si="13"/>
        <v>0</v>
      </c>
      <c r="AC27" s="450"/>
      <c r="AD27" s="451"/>
      <c r="AE27" s="451"/>
      <c r="AF27" s="451"/>
      <c r="AG27" s="451"/>
      <c r="AH27" s="451"/>
      <c r="AI27" s="451"/>
      <c r="AJ27" s="451"/>
      <c r="AK27" s="65">
        <f t="shared" si="9"/>
        <v>0</v>
      </c>
      <c r="AL27" s="450"/>
      <c r="AM27" s="451"/>
      <c r="AN27" s="451"/>
      <c r="AO27" s="451"/>
      <c r="AP27" s="451"/>
      <c r="AQ27" s="451"/>
      <c r="AR27" s="451"/>
      <c r="AS27" s="451"/>
      <c r="AT27" s="65">
        <f t="shared" si="10"/>
        <v>0</v>
      </c>
      <c r="AU27" s="450"/>
      <c r="AV27" s="451"/>
      <c r="AW27" s="451"/>
      <c r="AX27" s="451"/>
      <c r="AY27" s="451"/>
      <c r="AZ27" s="451"/>
      <c r="BA27" s="451"/>
      <c r="BB27" s="451"/>
      <c r="BC27" s="65">
        <f t="shared" si="12"/>
        <v>0</v>
      </c>
      <c r="BD27" s="450"/>
      <c r="BE27" s="451"/>
      <c r="BF27" s="451"/>
      <c r="BG27" s="451"/>
      <c r="BH27" s="451"/>
      <c r="BI27" s="451"/>
      <c r="BJ27" s="451"/>
      <c r="BK27" s="451"/>
      <c r="BL27" s="65">
        <f t="shared" si="11"/>
        <v>0</v>
      </c>
      <c r="BM27" s="450"/>
      <c r="BN27" s="451"/>
      <c r="BO27" s="451"/>
      <c r="BP27" s="451"/>
      <c r="BQ27" s="451"/>
      <c r="BR27" s="451"/>
      <c r="BS27" s="451"/>
      <c r="BT27" s="451"/>
      <c r="BU27" s="65">
        <f t="shared" si="1"/>
        <v>0</v>
      </c>
      <c r="BV27" s="450"/>
      <c r="BW27" s="451"/>
      <c r="BX27" s="451"/>
      <c r="BY27" s="451"/>
      <c r="BZ27" s="451"/>
      <c r="CA27" s="451"/>
      <c r="CB27" s="451"/>
      <c r="CC27" s="451"/>
      <c r="CD27" s="65">
        <f t="shared" si="2"/>
        <v>0</v>
      </c>
      <c r="CE27" s="450">
        <v>1</v>
      </c>
      <c r="CF27" s="451"/>
      <c r="CG27" s="451"/>
      <c r="CH27" s="451"/>
      <c r="CI27" s="451"/>
      <c r="CJ27" s="451"/>
      <c r="CK27" s="451"/>
      <c r="CL27" s="451"/>
      <c r="CM27" s="65">
        <f t="shared" si="3"/>
        <v>1</v>
      </c>
      <c r="CN27" s="450"/>
      <c r="CO27" s="451"/>
      <c r="CP27" s="451"/>
      <c r="CQ27" s="451"/>
      <c r="CR27" s="451"/>
      <c r="CS27" s="451"/>
      <c r="CT27" s="451"/>
      <c r="CU27" s="451"/>
      <c r="CV27" s="65">
        <f t="shared" si="4"/>
        <v>0</v>
      </c>
      <c r="CW27" s="450"/>
      <c r="CX27" s="451"/>
      <c r="CY27" s="451"/>
      <c r="CZ27" s="451"/>
      <c r="DA27" s="451"/>
      <c r="DB27" s="451"/>
      <c r="DC27" s="451"/>
      <c r="DD27" s="451"/>
      <c r="DE27" s="65">
        <f t="shared" si="5"/>
        <v>0</v>
      </c>
      <c r="DF27" s="450"/>
      <c r="DG27" s="451"/>
      <c r="DH27" s="451"/>
      <c r="DI27" s="451"/>
      <c r="DJ27" s="451"/>
      <c r="DK27" s="451"/>
      <c r="DL27" s="451"/>
      <c r="DM27" s="451"/>
      <c r="DN27" s="65">
        <f t="shared" si="6"/>
        <v>0</v>
      </c>
      <c r="DO27" s="140">
        <f t="shared" si="7"/>
        <v>1</v>
      </c>
      <c r="DP27" s="102"/>
    </row>
    <row r="28" spans="2:120" ht="165" customHeight="1">
      <c r="B28" s="453"/>
      <c r="C28" s="453"/>
      <c r="D28" s="456"/>
      <c r="E28" s="457"/>
      <c r="F28" s="453"/>
      <c r="G28" s="448"/>
      <c r="H28" s="453"/>
      <c r="I28" s="475"/>
      <c r="J28" s="141" t="s">
        <v>73</v>
      </c>
      <c r="K28" s="450">
        <v>1</v>
      </c>
      <c r="L28" s="451"/>
      <c r="M28" s="451"/>
      <c r="N28" s="451"/>
      <c r="O28" s="451"/>
      <c r="P28" s="451"/>
      <c r="Q28" s="451"/>
      <c r="R28" s="451"/>
      <c r="S28" s="65">
        <f t="shared" si="8"/>
        <v>1</v>
      </c>
      <c r="T28" s="462"/>
      <c r="U28" s="463"/>
      <c r="V28" s="463"/>
      <c r="W28" s="463"/>
      <c r="X28" s="463"/>
      <c r="Y28" s="463"/>
      <c r="Z28" s="463"/>
      <c r="AA28" s="463"/>
      <c r="AB28" s="139">
        <f t="shared" si="13"/>
        <v>0</v>
      </c>
      <c r="AC28" s="450"/>
      <c r="AD28" s="451"/>
      <c r="AE28" s="451"/>
      <c r="AF28" s="451"/>
      <c r="AG28" s="451"/>
      <c r="AH28" s="451"/>
      <c r="AI28" s="451"/>
      <c r="AJ28" s="451"/>
      <c r="AK28" s="65">
        <f t="shared" si="9"/>
        <v>0</v>
      </c>
      <c r="AL28" s="450"/>
      <c r="AM28" s="451"/>
      <c r="AN28" s="451"/>
      <c r="AO28" s="451"/>
      <c r="AP28" s="451"/>
      <c r="AQ28" s="451"/>
      <c r="AR28" s="451"/>
      <c r="AS28" s="451"/>
      <c r="AT28" s="65">
        <f t="shared" si="10"/>
        <v>0</v>
      </c>
      <c r="AU28" s="450"/>
      <c r="AV28" s="451"/>
      <c r="AW28" s="451"/>
      <c r="AX28" s="451"/>
      <c r="AY28" s="451"/>
      <c r="AZ28" s="451"/>
      <c r="BA28" s="451"/>
      <c r="BB28" s="451"/>
      <c r="BC28" s="65">
        <f t="shared" si="12"/>
        <v>0</v>
      </c>
      <c r="BD28" s="450"/>
      <c r="BE28" s="451"/>
      <c r="BF28" s="451"/>
      <c r="BG28" s="451"/>
      <c r="BH28" s="451"/>
      <c r="BI28" s="451"/>
      <c r="BJ28" s="451"/>
      <c r="BK28" s="451"/>
      <c r="BL28" s="65">
        <f t="shared" si="11"/>
        <v>0</v>
      </c>
      <c r="BM28" s="450"/>
      <c r="BN28" s="451"/>
      <c r="BO28" s="451"/>
      <c r="BP28" s="451"/>
      <c r="BQ28" s="451"/>
      <c r="BR28" s="451"/>
      <c r="BS28" s="451"/>
      <c r="BT28" s="451"/>
      <c r="BU28" s="65">
        <f t="shared" si="1"/>
        <v>0</v>
      </c>
      <c r="BV28" s="450"/>
      <c r="BW28" s="451"/>
      <c r="BX28" s="451"/>
      <c r="BY28" s="451"/>
      <c r="BZ28" s="451"/>
      <c r="CA28" s="451"/>
      <c r="CB28" s="451"/>
      <c r="CC28" s="451"/>
      <c r="CD28" s="65">
        <f t="shared" si="2"/>
        <v>0</v>
      </c>
      <c r="CE28" s="450"/>
      <c r="CF28" s="451"/>
      <c r="CG28" s="451"/>
      <c r="CH28" s="451"/>
      <c r="CI28" s="451"/>
      <c r="CJ28" s="451"/>
      <c r="CK28" s="451"/>
      <c r="CL28" s="451"/>
      <c r="CM28" s="65">
        <f t="shared" si="3"/>
        <v>0</v>
      </c>
      <c r="CN28" s="450"/>
      <c r="CO28" s="451"/>
      <c r="CP28" s="451"/>
      <c r="CQ28" s="451"/>
      <c r="CR28" s="451"/>
      <c r="CS28" s="451"/>
      <c r="CT28" s="451"/>
      <c r="CU28" s="451"/>
      <c r="CV28" s="65">
        <f t="shared" si="4"/>
        <v>0</v>
      </c>
      <c r="CW28" s="450"/>
      <c r="CX28" s="451"/>
      <c r="CY28" s="451"/>
      <c r="CZ28" s="451"/>
      <c r="DA28" s="451"/>
      <c r="DB28" s="451"/>
      <c r="DC28" s="451"/>
      <c r="DD28" s="451"/>
      <c r="DE28" s="65">
        <f t="shared" si="5"/>
        <v>0</v>
      </c>
      <c r="DF28" s="450"/>
      <c r="DG28" s="451"/>
      <c r="DH28" s="451"/>
      <c r="DI28" s="451"/>
      <c r="DJ28" s="451"/>
      <c r="DK28" s="451"/>
      <c r="DL28" s="451"/>
      <c r="DM28" s="451"/>
      <c r="DN28" s="65">
        <f t="shared" si="6"/>
        <v>0</v>
      </c>
      <c r="DO28" s="140">
        <f t="shared" si="7"/>
        <v>1</v>
      </c>
      <c r="DP28" s="102"/>
    </row>
    <row r="29" spans="2:120" ht="165" hidden="1" customHeight="1">
      <c r="B29" s="452" t="s">
        <v>138</v>
      </c>
      <c r="C29" s="452" t="s">
        <v>5</v>
      </c>
      <c r="D29" s="454" t="s">
        <v>0</v>
      </c>
      <c r="E29" s="455"/>
      <c r="F29" s="452" t="s">
        <v>0</v>
      </c>
      <c r="G29" s="449">
        <v>1</v>
      </c>
      <c r="H29" s="452" t="s">
        <v>0</v>
      </c>
      <c r="I29" s="474">
        <v>1</v>
      </c>
      <c r="J29" s="138" t="s">
        <v>72</v>
      </c>
      <c r="K29" s="450">
        <v>0</v>
      </c>
      <c r="L29" s="451"/>
      <c r="M29" s="451"/>
      <c r="N29" s="451"/>
      <c r="O29" s="451"/>
      <c r="P29" s="451"/>
      <c r="Q29" s="451"/>
      <c r="R29" s="451"/>
      <c r="S29" s="65">
        <f t="shared" si="8"/>
        <v>0</v>
      </c>
      <c r="T29" s="462"/>
      <c r="U29" s="463"/>
      <c r="V29" s="463"/>
      <c r="W29" s="463"/>
      <c r="X29" s="463"/>
      <c r="Y29" s="463"/>
      <c r="Z29" s="463"/>
      <c r="AA29" s="463"/>
      <c r="AB29" s="139">
        <f t="shared" si="13"/>
        <v>0</v>
      </c>
      <c r="AC29" s="450"/>
      <c r="AD29" s="451"/>
      <c r="AE29" s="451"/>
      <c r="AF29" s="451"/>
      <c r="AG29" s="451"/>
      <c r="AH29" s="451"/>
      <c r="AI29" s="451"/>
      <c r="AJ29" s="451"/>
      <c r="AK29" s="65">
        <f t="shared" si="9"/>
        <v>0</v>
      </c>
      <c r="AL29" s="450"/>
      <c r="AM29" s="451"/>
      <c r="AN29" s="451"/>
      <c r="AO29" s="451"/>
      <c r="AP29" s="451"/>
      <c r="AQ29" s="451"/>
      <c r="AR29" s="451"/>
      <c r="AS29" s="451"/>
      <c r="AT29" s="65">
        <f t="shared" si="10"/>
        <v>0</v>
      </c>
      <c r="AU29" s="450"/>
      <c r="AV29" s="451"/>
      <c r="AW29" s="451"/>
      <c r="AX29" s="451"/>
      <c r="AY29" s="451"/>
      <c r="AZ29" s="451"/>
      <c r="BA29" s="451"/>
      <c r="BB29" s="451"/>
      <c r="BC29" s="65">
        <f t="shared" si="12"/>
        <v>0</v>
      </c>
      <c r="BD29" s="450"/>
      <c r="BE29" s="451"/>
      <c r="BF29" s="451"/>
      <c r="BG29" s="451"/>
      <c r="BH29" s="451"/>
      <c r="BI29" s="451"/>
      <c r="BJ29" s="451"/>
      <c r="BK29" s="451"/>
      <c r="BL29" s="65">
        <f t="shared" si="11"/>
        <v>0</v>
      </c>
      <c r="BM29" s="450"/>
      <c r="BN29" s="451"/>
      <c r="BO29" s="451"/>
      <c r="BP29" s="451"/>
      <c r="BQ29" s="451"/>
      <c r="BR29" s="451"/>
      <c r="BS29" s="451"/>
      <c r="BT29" s="451"/>
      <c r="BU29" s="65">
        <f t="shared" si="1"/>
        <v>0</v>
      </c>
      <c r="BV29" s="450"/>
      <c r="BW29" s="451"/>
      <c r="BX29" s="451"/>
      <c r="BY29" s="451"/>
      <c r="BZ29" s="451"/>
      <c r="CA29" s="451"/>
      <c r="CB29" s="451"/>
      <c r="CC29" s="451"/>
      <c r="CD29" s="65">
        <f t="shared" si="2"/>
        <v>0</v>
      </c>
      <c r="CE29" s="450">
        <v>1</v>
      </c>
      <c r="CF29" s="451"/>
      <c r="CG29" s="451"/>
      <c r="CH29" s="451"/>
      <c r="CI29" s="451"/>
      <c r="CJ29" s="451"/>
      <c r="CK29" s="451"/>
      <c r="CL29" s="451"/>
      <c r="CM29" s="65">
        <f t="shared" si="3"/>
        <v>1</v>
      </c>
      <c r="CN29" s="450"/>
      <c r="CO29" s="451"/>
      <c r="CP29" s="451"/>
      <c r="CQ29" s="451"/>
      <c r="CR29" s="451"/>
      <c r="CS29" s="451"/>
      <c r="CT29" s="451"/>
      <c r="CU29" s="451"/>
      <c r="CV29" s="65">
        <f t="shared" si="4"/>
        <v>0</v>
      </c>
      <c r="CW29" s="450"/>
      <c r="CX29" s="451"/>
      <c r="CY29" s="451"/>
      <c r="CZ29" s="451"/>
      <c r="DA29" s="451"/>
      <c r="DB29" s="451"/>
      <c r="DC29" s="451"/>
      <c r="DD29" s="451"/>
      <c r="DE29" s="65">
        <f t="shared" si="5"/>
        <v>0</v>
      </c>
      <c r="DF29" s="450"/>
      <c r="DG29" s="451"/>
      <c r="DH29" s="451"/>
      <c r="DI29" s="451"/>
      <c r="DJ29" s="451"/>
      <c r="DK29" s="451"/>
      <c r="DL29" s="451"/>
      <c r="DM29" s="451"/>
      <c r="DN29" s="65">
        <f t="shared" si="6"/>
        <v>0</v>
      </c>
      <c r="DO29" s="140">
        <f t="shared" si="7"/>
        <v>1</v>
      </c>
      <c r="DP29" s="102"/>
    </row>
    <row r="30" spans="2:120" ht="165" customHeight="1">
      <c r="B30" s="453"/>
      <c r="C30" s="453"/>
      <c r="D30" s="456"/>
      <c r="E30" s="457"/>
      <c r="F30" s="453"/>
      <c r="G30" s="448"/>
      <c r="H30" s="453"/>
      <c r="I30" s="475"/>
      <c r="J30" s="141" t="s">
        <v>73</v>
      </c>
      <c r="K30" s="450"/>
      <c r="L30" s="451"/>
      <c r="M30" s="451"/>
      <c r="N30" s="451"/>
      <c r="O30" s="451"/>
      <c r="P30" s="451"/>
      <c r="Q30" s="451"/>
      <c r="R30" s="451"/>
      <c r="S30" s="65">
        <f t="shared" si="8"/>
        <v>0</v>
      </c>
      <c r="T30" s="462"/>
      <c r="U30" s="463"/>
      <c r="V30" s="463"/>
      <c r="W30" s="463"/>
      <c r="X30" s="463"/>
      <c r="Y30" s="463"/>
      <c r="Z30" s="463"/>
      <c r="AA30" s="463"/>
      <c r="AB30" s="139">
        <f t="shared" si="13"/>
        <v>0</v>
      </c>
      <c r="AC30" s="450"/>
      <c r="AD30" s="451"/>
      <c r="AE30" s="451"/>
      <c r="AF30" s="451"/>
      <c r="AG30" s="451"/>
      <c r="AH30" s="451"/>
      <c r="AI30" s="451"/>
      <c r="AJ30" s="451"/>
      <c r="AK30" s="65">
        <f t="shared" si="9"/>
        <v>0</v>
      </c>
      <c r="AL30" s="450"/>
      <c r="AM30" s="451"/>
      <c r="AN30" s="451"/>
      <c r="AO30" s="451"/>
      <c r="AP30" s="451"/>
      <c r="AQ30" s="451"/>
      <c r="AR30" s="451"/>
      <c r="AS30" s="451"/>
      <c r="AT30" s="65">
        <f t="shared" si="10"/>
        <v>0</v>
      </c>
      <c r="AU30" s="450"/>
      <c r="AV30" s="451"/>
      <c r="AW30" s="451"/>
      <c r="AX30" s="451"/>
      <c r="AY30" s="451"/>
      <c r="AZ30" s="451"/>
      <c r="BA30" s="451"/>
      <c r="BB30" s="451"/>
      <c r="BC30" s="65">
        <f t="shared" si="12"/>
        <v>0</v>
      </c>
      <c r="BD30" s="450"/>
      <c r="BE30" s="451"/>
      <c r="BF30" s="451"/>
      <c r="BG30" s="451"/>
      <c r="BH30" s="451"/>
      <c r="BI30" s="451"/>
      <c r="BJ30" s="451"/>
      <c r="BK30" s="451"/>
      <c r="BL30" s="65">
        <f t="shared" si="11"/>
        <v>0</v>
      </c>
      <c r="BM30" s="450"/>
      <c r="BN30" s="451"/>
      <c r="BO30" s="451"/>
      <c r="BP30" s="451"/>
      <c r="BQ30" s="451"/>
      <c r="BR30" s="451"/>
      <c r="BS30" s="451"/>
      <c r="BT30" s="451"/>
      <c r="BU30" s="65">
        <f t="shared" si="1"/>
        <v>0</v>
      </c>
      <c r="BV30" s="450"/>
      <c r="BW30" s="451"/>
      <c r="BX30" s="451"/>
      <c r="BY30" s="451"/>
      <c r="BZ30" s="451"/>
      <c r="CA30" s="451"/>
      <c r="CB30" s="451"/>
      <c r="CC30" s="451"/>
      <c r="CD30" s="65">
        <f t="shared" si="2"/>
        <v>0</v>
      </c>
      <c r="CE30" s="450"/>
      <c r="CF30" s="451"/>
      <c r="CG30" s="451"/>
      <c r="CH30" s="451"/>
      <c r="CI30" s="451"/>
      <c r="CJ30" s="451"/>
      <c r="CK30" s="451"/>
      <c r="CL30" s="451"/>
      <c r="CM30" s="65">
        <f t="shared" si="3"/>
        <v>0</v>
      </c>
      <c r="CN30" s="450"/>
      <c r="CO30" s="451"/>
      <c r="CP30" s="451"/>
      <c r="CQ30" s="451"/>
      <c r="CR30" s="451"/>
      <c r="CS30" s="451"/>
      <c r="CT30" s="451"/>
      <c r="CU30" s="451"/>
      <c r="CV30" s="65">
        <f t="shared" si="4"/>
        <v>0</v>
      </c>
      <c r="CW30" s="450"/>
      <c r="CX30" s="451"/>
      <c r="CY30" s="451"/>
      <c r="CZ30" s="451"/>
      <c r="DA30" s="451"/>
      <c r="DB30" s="451"/>
      <c r="DC30" s="451"/>
      <c r="DD30" s="451"/>
      <c r="DE30" s="65">
        <f t="shared" si="5"/>
        <v>0</v>
      </c>
      <c r="DF30" s="450"/>
      <c r="DG30" s="451"/>
      <c r="DH30" s="451"/>
      <c r="DI30" s="451"/>
      <c r="DJ30" s="451"/>
      <c r="DK30" s="451"/>
      <c r="DL30" s="451"/>
      <c r="DM30" s="451"/>
      <c r="DN30" s="65">
        <f t="shared" si="6"/>
        <v>0</v>
      </c>
      <c r="DO30" s="140">
        <f t="shared" si="7"/>
        <v>0</v>
      </c>
      <c r="DP30" s="102"/>
    </row>
    <row r="31" spans="2:120" ht="183.75" hidden="1" customHeight="1">
      <c r="B31" s="448" t="s">
        <v>88</v>
      </c>
      <c r="C31" s="452" t="s">
        <v>15</v>
      </c>
      <c r="D31" s="454" t="s">
        <v>181</v>
      </c>
      <c r="E31" s="455"/>
      <c r="F31" s="452" t="s">
        <v>9</v>
      </c>
      <c r="G31" s="449">
        <v>1</v>
      </c>
      <c r="H31" s="452" t="s">
        <v>90</v>
      </c>
      <c r="I31" s="460">
        <v>1</v>
      </c>
      <c r="J31" s="138" t="s">
        <v>72</v>
      </c>
      <c r="K31" s="450">
        <v>0</v>
      </c>
      <c r="L31" s="451"/>
      <c r="M31" s="451"/>
      <c r="N31" s="451"/>
      <c r="O31" s="451"/>
      <c r="P31" s="451"/>
      <c r="Q31" s="451"/>
      <c r="R31" s="451"/>
      <c r="S31" s="65">
        <f t="shared" si="8"/>
        <v>0</v>
      </c>
      <c r="T31" s="462"/>
      <c r="U31" s="463"/>
      <c r="V31" s="463"/>
      <c r="W31" s="463"/>
      <c r="X31" s="463"/>
      <c r="Y31" s="463"/>
      <c r="Z31" s="463"/>
      <c r="AA31" s="463"/>
      <c r="AB31" s="139">
        <f t="shared" si="13"/>
        <v>0</v>
      </c>
      <c r="AC31" s="450"/>
      <c r="AD31" s="451"/>
      <c r="AE31" s="451"/>
      <c r="AF31" s="451"/>
      <c r="AG31" s="451"/>
      <c r="AH31" s="451"/>
      <c r="AI31" s="451"/>
      <c r="AJ31" s="451"/>
      <c r="AK31" s="65">
        <f t="shared" si="9"/>
        <v>0</v>
      </c>
      <c r="AL31" s="450"/>
      <c r="AM31" s="451"/>
      <c r="AN31" s="451"/>
      <c r="AO31" s="451"/>
      <c r="AP31" s="451"/>
      <c r="AQ31" s="451"/>
      <c r="AR31" s="451"/>
      <c r="AS31" s="451"/>
      <c r="AT31" s="65">
        <f t="shared" si="10"/>
        <v>0</v>
      </c>
      <c r="AU31" s="450"/>
      <c r="AV31" s="451"/>
      <c r="AW31" s="451"/>
      <c r="AX31" s="451"/>
      <c r="AY31" s="451"/>
      <c r="AZ31" s="451"/>
      <c r="BA31" s="451"/>
      <c r="BB31" s="451"/>
      <c r="BC31" s="65">
        <f t="shared" si="12"/>
        <v>0</v>
      </c>
      <c r="BD31" s="450"/>
      <c r="BE31" s="451"/>
      <c r="BF31" s="451"/>
      <c r="BG31" s="451"/>
      <c r="BH31" s="451"/>
      <c r="BI31" s="451"/>
      <c r="BJ31" s="451"/>
      <c r="BK31" s="451"/>
      <c r="BL31" s="65">
        <f t="shared" si="11"/>
        <v>0</v>
      </c>
      <c r="BM31" s="450"/>
      <c r="BN31" s="451"/>
      <c r="BO31" s="451"/>
      <c r="BP31" s="451"/>
      <c r="BQ31" s="451"/>
      <c r="BR31" s="451"/>
      <c r="BS31" s="451"/>
      <c r="BT31" s="451"/>
      <c r="BU31" s="65">
        <f t="shared" si="1"/>
        <v>0</v>
      </c>
      <c r="BV31" s="450"/>
      <c r="BW31" s="451"/>
      <c r="BX31" s="451"/>
      <c r="BY31" s="451"/>
      <c r="BZ31" s="451"/>
      <c r="CA31" s="451"/>
      <c r="CB31" s="451"/>
      <c r="CC31" s="451"/>
      <c r="CD31" s="65">
        <f t="shared" si="2"/>
        <v>0</v>
      </c>
      <c r="CE31" s="450">
        <v>1</v>
      </c>
      <c r="CF31" s="451"/>
      <c r="CG31" s="451"/>
      <c r="CH31" s="451"/>
      <c r="CI31" s="451"/>
      <c r="CJ31" s="451"/>
      <c r="CK31" s="451"/>
      <c r="CL31" s="451"/>
      <c r="CM31" s="65">
        <f t="shared" si="3"/>
        <v>1</v>
      </c>
      <c r="CN31" s="450"/>
      <c r="CO31" s="451"/>
      <c r="CP31" s="451"/>
      <c r="CQ31" s="451"/>
      <c r="CR31" s="451"/>
      <c r="CS31" s="451"/>
      <c r="CT31" s="451"/>
      <c r="CU31" s="451"/>
      <c r="CV31" s="65">
        <f t="shared" si="4"/>
        <v>0</v>
      </c>
      <c r="CW31" s="450"/>
      <c r="CX31" s="451"/>
      <c r="CY31" s="451"/>
      <c r="CZ31" s="451"/>
      <c r="DA31" s="451"/>
      <c r="DB31" s="451"/>
      <c r="DC31" s="451"/>
      <c r="DD31" s="451"/>
      <c r="DE31" s="65">
        <f t="shared" si="5"/>
        <v>0</v>
      </c>
      <c r="DF31" s="450"/>
      <c r="DG31" s="451"/>
      <c r="DH31" s="451"/>
      <c r="DI31" s="451"/>
      <c r="DJ31" s="451"/>
      <c r="DK31" s="451"/>
      <c r="DL31" s="451"/>
      <c r="DM31" s="451"/>
      <c r="DN31" s="65">
        <f t="shared" si="6"/>
        <v>0</v>
      </c>
      <c r="DO31" s="140">
        <f t="shared" si="7"/>
        <v>1</v>
      </c>
      <c r="DP31" s="102"/>
    </row>
    <row r="32" spans="2:120" ht="150" customHeight="1">
      <c r="B32" s="448"/>
      <c r="C32" s="453"/>
      <c r="D32" s="456"/>
      <c r="E32" s="457"/>
      <c r="F32" s="453"/>
      <c r="G32" s="448"/>
      <c r="H32" s="453"/>
      <c r="I32" s="460"/>
      <c r="J32" s="141" t="s">
        <v>73</v>
      </c>
      <c r="K32" s="450"/>
      <c r="L32" s="451"/>
      <c r="M32" s="451"/>
      <c r="N32" s="451"/>
      <c r="O32" s="451"/>
      <c r="P32" s="451"/>
      <c r="Q32" s="451"/>
      <c r="R32" s="451"/>
      <c r="S32" s="65">
        <f t="shared" si="8"/>
        <v>0</v>
      </c>
      <c r="T32" s="462"/>
      <c r="U32" s="463"/>
      <c r="V32" s="463"/>
      <c r="W32" s="463"/>
      <c r="X32" s="463"/>
      <c r="Y32" s="463"/>
      <c r="Z32" s="463"/>
      <c r="AA32" s="463"/>
      <c r="AB32" s="139">
        <f t="shared" si="13"/>
        <v>0</v>
      </c>
      <c r="AC32" s="450"/>
      <c r="AD32" s="451"/>
      <c r="AE32" s="451"/>
      <c r="AF32" s="451"/>
      <c r="AG32" s="451"/>
      <c r="AH32" s="451"/>
      <c r="AI32" s="451"/>
      <c r="AJ32" s="451"/>
      <c r="AK32" s="65">
        <f t="shared" si="9"/>
        <v>0</v>
      </c>
      <c r="AL32" s="450"/>
      <c r="AM32" s="451"/>
      <c r="AN32" s="451"/>
      <c r="AO32" s="451"/>
      <c r="AP32" s="451"/>
      <c r="AQ32" s="451"/>
      <c r="AR32" s="451"/>
      <c r="AS32" s="451"/>
      <c r="AT32" s="65">
        <f t="shared" si="10"/>
        <v>0</v>
      </c>
      <c r="AU32" s="450"/>
      <c r="AV32" s="451"/>
      <c r="AW32" s="451"/>
      <c r="AX32" s="451"/>
      <c r="AY32" s="451"/>
      <c r="AZ32" s="451"/>
      <c r="BA32" s="451"/>
      <c r="BB32" s="451"/>
      <c r="BC32" s="65">
        <f t="shared" si="12"/>
        <v>0</v>
      </c>
      <c r="BD32" s="450"/>
      <c r="BE32" s="451"/>
      <c r="BF32" s="451"/>
      <c r="BG32" s="451"/>
      <c r="BH32" s="451"/>
      <c r="BI32" s="451"/>
      <c r="BJ32" s="451"/>
      <c r="BK32" s="451"/>
      <c r="BL32" s="65">
        <f t="shared" si="11"/>
        <v>0</v>
      </c>
      <c r="BM32" s="450"/>
      <c r="BN32" s="451"/>
      <c r="BO32" s="451"/>
      <c r="BP32" s="451"/>
      <c r="BQ32" s="451"/>
      <c r="BR32" s="451"/>
      <c r="BS32" s="451"/>
      <c r="BT32" s="451"/>
      <c r="BU32" s="65">
        <f t="shared" si="1"/>
        <v>0</v>
      </c>
      <c r="BV32" s="450"/>
      <c r="BW32" s="451"/>
      <c r="BX32" s="451"/>
      <c r="BY32" s="451"/>
      <c r="BZ32" s="451"/>
      <c r="CA32" s="451"/>
      <c r="CB32" s="451"/>
      <c r="CC32" s="451"/>
      <c r="CD32" s="65">
        <f t="shared" si="2"/>
        <v>0</v>
      </c>
      <c r="CE32" s="450"/>
      <c r="CF32" s="451"/>
      <c r="CG32" s="451"/>
      <c r="CH32" s="451"/>
      <c r="CI32" s="451"/>
      <c r="CJ32" s="451"/>
      <c r="CK32" s="451"/>
      <c r="CL32" s="451"/>
      <c r="CM32" s="65">
        <f t="shared" si="3"/>
        <v>0</v>
      </c>
      <c r="CN32" s="450"/>
      <c r="CO32" s="451"/>
      <c r="CP32" s="451"/>
      <c r="CQ32" s="451"/>
      <c r="CR32" s="451"/>
      <c r="CS32" s="451"/>
      <c r="CT32" s="451"/>
      <c r="CU32" s="451"/>
      <c r="CV32" s="65">
        <f t="shared" si="4"/>
        <v>0</v>
      </c>
      <c r="CW32" s="450"/>
      <c r="CX32" s="451"/>
      <c r="CY32" s="451"/>
      <c r="CZ32" s="451"/>
      <c r="DA32" s="451"/>
      <c r="DB32" s="451"/>
      <c r="DC32" s="451"/>
      <c r="DD32" s="451"/>
      <c r="DE32" s="65">
        <f t="shared" si="5"/>
        <v>0</v>
      </c>
      <c r="DF32" s="450"/>
      <c r="DG32" s="451"/>
      <c r="DH32" s="451"/>
      <c r="DI32" s="451"/>
      <c r="DJ32" s="451"/>
      <c r="DK32" s="451"/>
      <c r="DL32" s="451"/>
      <c r="DM32" s="451"/>
      <c r="DN32" s="65">
        <f t="shared" si="6"/>
        <v>0</v>
      </c>
      <c r="DO32" s="140">
        <f t="shared" si="7"/>
        <v>0</v>
      </c>
      <c r="DP32" s="102"/>
    </row>
    <row r="33" spans="2:119" ht="61.5">
      <c r="B33" s="476"/>
      <c r="C33" s="476"/>
      <c r="D33" s="477"/>
      <c r="E33" s="477"/>
      <c r="F33" s="144"/>
      <c r="J33" s="145"/>
      <c r="S33" s="146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8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</row>
    <row r="34" spans="2:119" ht="61.5">
      <c r="B34" s="149"/>
      <c r="C34" s="150"/>
      <c r="S34" s="146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8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</row>
    <row r="35" spans="2:119"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</row>
    <row r="36" spans="2:119">
      <c r="J36" s="145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</row>
    <row r="59" spans="2:10" ht="217.5" customHeight="1">
      <c r="B59" s="478" t="s">
        <v>92</v>
      </c>
      <c r="C59" s="479"/>
      <c r="D59" s="151"/>
      <c r="E59" s="151"/>
      <c r="F59" s="151"/>
      <c r="G59" s="480" t="s">
        <v>93</v>
      </c>
      <c r="H59" s="480"/>
      <c r="I59" s="480"/>
      <c r="J59" s="481"/>
    </row>
    <row r="60" spans="2:10" ht="33.75" customHeight="1">
      <c r="B60" s="151"/>
      <c r="C60" s="151"/>
      <c r="D60" s="151"/>
      <c r="E60" s="151"/>
      <c r="F60" s="151"/>
      <c r="G60" s="151"/>
      <c r="H60" s="151"/>
      <c r="I60" s="151"/>
      <c r="J60" s="151"/>
    </row>
    <row r="61" spans="2:10" ht="92.25">
      <c r="B61" s="151"/>
      <c r="C61" s="151"/>
      <c r="D61" s="151"/>
      <c r="E61" s="151"/>
      <c r="F61" s="151"/>
      <c r="G61" s="151"/>
      <c r="H61" s="151"/>
      <c r="I61" s="151"/>
      <c r="J61" s="151"/>
    </row>
    <row r="62" spans="2:10" ht="92.25">
      <c r="B62" s="151"/>
      <c r="C62" s="151"/>
      <c r="D62" s="151"/>
      <c r="E62" s="151"/>
      <c r="F62" s="151"/>
      <c r="G62" s="151"/>
      <c r="H62" s="151"/>
      <c r="I62" s="151"/>
      <c r="J62" s="151"/>
    </row>
  </sheetData>
  <mergeCells count="248">
    <mergeCell ref="B33:C33"/>
    <mergeCell ref="D33:E33"/>
    <mergeCell ref="B59:C59"/>
    <mergeCell ref="G59:J59"/>
    <mergeCell ref="BM32:BT32"/>
    <mergeCell ref="BV32:CC32"/>
    <mergeCell ref="CE32:CL32"/>
    <mergeCell ref="CN32:CU32"/>
    <mergeCell ref="CW32:DD32"/>
    <mergeCell ref="B31:B32"/>
    <mergeCell ref="C31:C32"/>
    <mergeCell ref="D31:E32"/>
    <mergeCell ref="F31:F32"/>
    <mergeCell ref="G31:G32"/>
    <mergeCell ref="H31:H32"/>
    <mergeCell ref="I31:I32"/>
    <mergeCell ref="DF32:DM32"/>
    <mergeCell ref="K32:R32"/>
    <mergeCell ref="T32:AA32"/>
    <mergeCell ref="AC32:AJ32"/>
    <mergeCell ref="AL32:AS32"/>
    <mergeCell ref="AU32:BB32"/>
    <mergeCell ref="BD32:BK32"/>
    <mergeCell ref="BM31:BT31"/>
    <mergeCell ref="BV31:CC31"/>
    <mergeCell ref="CE31:CL31"/>
    <mergeCell ref="CN31:CU31"/>
    <mergeCell ref="CW31:DD31"/>
    <mergeCell ref="DF31:DM31"/>
    <mergeCell ref="K31:R31"/>
    <mergeCell ref="T31:AA31"/>
    <mergeCell ref="AC31:AJ31"/>
    <mergeCell ref="AL31:AS31"/>
    <mergeCell ref="AU31:BB31"/>
    <mergeCell ref="BD31:BK31"/>
    <mergeCell ref="I29:I30"/>
    <mergeCell ref="B29:B30"/>
    <mergeCell ref="C29:C30"/>
    <mergeCell ref="D29:E30"/>
    <mergeCell ref="F29:F30"/>
    <mergeCell ref="G29:G30"/>
    <mergeCell ref="H29:H30"/>
    <mergeCell ref="DF29:DM29"/>
    <mergeCell ref="K30:R30"/>
    <mergeCell ref="T30:AA30"/>
    <mergeCell ref="AC30:AJ30"/>
    <mergeCell ref="AL30:AS30"/>
    <mergeCell ref="AU30:BB30"/>
    <mergeCell ref="BD30:BK30"/>
    <mergeCell ref="BM30:BT30"/>
    <mergeCell ref="BV30:CC30"/>
    <mergeCell ref="CE30:CL30"/>
    <mergeCell ref="BD29:BK29"/>
    <mergeCell ref="BM29:BT29"/>
    <mergeCell ref="BV29:CC29"/>
    <mergeCell ref="CE29:CL29"/>
    <mergeCell ref="CN29:CU29"/>
    <mergeCell ref="CW29:DD29"/>
    <mergeCell ref="K29:R29"/>
    <mergeCell ref="T29:AA29"/>
    <mergeCell ref="AC29:AJ29"/>
    <mergeCell ref="AL29:AS29"/>
    <mergeCell ref="AU29:BB29"/>
    <mergeCell ref="CN30:CU30"/>
    <mergeCell ref="CW30:DD30"/>
    <mergeCell ref="DF30:DM30"/>
    <mergeCell ref="BM28:BT28"/>
    <mergeCell ref="BV28:CC28"/>
    <mergeCell ref="CE28:CL28"/>
    <mergeCell ref="CN28:CU28"/>
    <mergeCell ref="CW28:DD28"/>
    <mergeCell ref="DF28:DM28"/>
    <mergeCell ref="CE27:CL27"/>
    <mergeCell ref="CN27:CU27"/>
    <mergeCell ref="CW27:DD27"/>
    <mergeCell ref="DF27:DM27"/>
    <mergeCell ref="BM27:BT27"/>
    <mergeCell ref="BV27:CC27"/>
    <mergeCell ref="K28:R28"/>
    <mergeCell ref="T28:AA28"/>
    <mergeCell ref="AC28:AJ28"/>
    <mergeCell ref="AL28:AS28"/>
    <mergeCell ref="AU28:BB28"/>
    <mergeCell ref="BD28:BK28"/>
    <mergeCell ref="AC27:AJ27"/>
    <mergeCell ref="AL27:AS27"/>
    <mergeCell ref="AU27:BB27"/>
    <mergeCell ref="BD27:BK27"/>
    <mergeCell ref="DF25:DM25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BD25:BK25"/>
    <mergeCell ref="BM25:BT25"/>
    <mergeCell ref="BV25:CC25"/>
    <mergeCell ref="CE25:CL25"/>
    <mergeCell ref="CN25:CU25"/>
    <mergeCell ref="CW25:DD25"/>
    <mergeCell ref="I25:I26"/>
    <mergeCell ref="K25:R25"/>
    <mergeCell ref="T25:AA25"/>
    <mergeCell ref="AC25:AJ25"/>
    <mergeCell ref="AL25:AS25"/>
    <mergeCell ref="AU25:BB25"/>
    <mergeCell ref="B25:B26"/>
    <mergeCell ref="C25:C26"/>
    <mergeCell ref="D25:E26"/>
    <mergeCell ref="F25:F26"/>
    <mergeCell ref="G25:G26"/>
    <mergeCell ref="H25:H26"/>
    <mergeCell ref="BM23:BT23"/>
    <mergeCell ref="BV23:CC23"/>
    <mergeCell ref="CE23:CL23"/>
    <mergeCell ref="CN23:CU23"/>
    <mergeCell ref="CW23:DD23"/>
    <mergeCell ref="AU21:BB21"/>
    <mergeCell ref="B21:B22"/>
    <mergeCell ref="C21:C22"/>
    <mergeCell ref="D21:E22"/>
    <mergeCell ref="F21:F22"/>
    <mergeCell ref="G21:G22"/>
    <mergeCell ref="H21:H22"/>
    <mergeCell ref="DF23:DM23"/>
    <mergeCell ref="K23:R23"/>
    <mergeCell ref="T23:AA23"/>
    <mergeCell ref="AC23:AJ23"/>
    <mergeCell ref="AL23:AS23"/>
    <mergeCell ref="AU23:BB23"/>
    <mergeCell ref="BD23:BK23"/>
    <mergeCell ref="DF21:DM21"/>
    <mergeCell ref="T22:AA22"/>
    <mergeCell ref="AC22:AJ22"/>
    <mergeCell ref="BV21:CC21"/>
    <mergeCell ref="CE21:CL21"/>
    <mergeCell ref="CN21:CU21"/>
    <mergeCell ref="CW21:DD21"/>
    <mergeCell ref="BD21:BK21"/>
    <mergeCell ref="BM21:BT21"/>
    <mergeCell ref="H19:H20"/>
    <mergeCell ref="I19:I20"/>
    <mergeCell ref="K19:R19"/>
    <mergeCell ref="T19:AA19"/>
    <mergeCell ref="AC19:AJ19"/>
    <mergeCell ref="AL19:AS19"/>
    <mergeCell ref="B23:B24"/>
    <mergeCell ref="C23:C24"/>
    <mergeCell ref="D23:E24"/>
    <mergeCell ref="F23:F24"/>
    <mergeCell ref="G23:G24"/>
    <mergeCell ref="H23:H24"/>
    <mergeCell ref="I23:I24"/>
    <mergeCell ref="I21:I22"/>
    <mergeCell ref="K21:R21"/>
    <mergeCell ref="T21:AA21"/>
    <mergeCell ref="AC21:AJ21"/>
    <mergeCell ref="AL21:AS21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T20:AA20"/>
    <mergeCell ref="AC20:AJ20"/>
    <mergeCell ref="BV19:CC19"/>
    <mergeCell ref="CE19:CL19"/>
    <mergeCell ref="CN19:CU19"/>
    <mergeCell ref="AU19:BB19"/>
    <mergeCell ref="BD19:BK19"/>
    <mergeCell ref="BM19:BT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B5:E5"/>
    <mergeCell ref="B6:E6"/>
    <mergeCell ref="G6:G7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.31496062992125984" footer="0.31496062992125984"/>
  <pageSetup scale="15" orientation="landscape" r:id="rId1"/>
  <headerFooter>
    <oddFooter>&amp;R&amp;10F-PEM-07-00 
DIF Guadalajara
Pág. &amp;P de &amp;N</oddFooter>
  </headerFooter>
  <rowBreaks count="1" manualBreakCount="1">
    <brk id="64" max="118" man="1"/>
  </rowBreaks>
  <colBreaks count="2" manualBreakCount="2">
    <brk id="73" max="63" man="1"/>
    <brk id="121" max="37" man="1"/>
  </colBreaks>
  <ignoredErrors>
    <ignoredError sqref="DO15:DO3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P70"/>
  <sheetViews>
    <sheetView topLeftCell="D20" zoomScale="18" zoomScaleNormal="18" zoomScaleSheetLayoutView="20" workbookViewId="0">
      <selection activeCell="BD30" sqref="BD30:BK30"/>
    </sheetView>
  </sheetViews>
  <sheetFormatPr baseColWidth="10" defaultColWidth="10.7109375" defaultRowHeight="15"/>
  <cols>
    <col min="1" max="1" width="6.5703125" style="48" customWidth="1"/>
    <col min="2" max="2" width="125.42578125" style="49" customWidth="1"/>
    <col min="3" max="3" width="99.28515625" style="49" customWidth="1"/>
    <col min="4" max="4" width="34.7109375" style="49" customWidth="1"/>
    <col min="5" max="5" width="36.7109375" style="49" customWidth="1"/>
    <col min="6" max="6" width="94.28515625" style="49" customWidth="1"/>
    <col min="7" max="7" width="61.7109375" style="49" customWidth="1"/>
    <col min="8" max="8" width="104.5703125" style="49" customWidth="1"/>
    <col min="9" max="9" width="44.7109375" style="49" customWidth="1"/>
    <col min="10" max="10" width="67.28515625" style="49" customWidth="1"/>
    <col min="11" max="12" width="30.7109375" style="50" hidden="1" customWidth="1"/>
    <col min="13" max="18" width="30.7109375" style="51" hidden="1" customWidth="1"/>
    <col min="19" max="19" width="45.7109375" style="51" hidden="1" customWidth="1"/>
    <col min="20" max="27" width="30.7109375" style="48" hidden="1" customWidth="1"/>
    <col min="28" max="28" width="54.28515625" style="48" hidden="1" customWidth="1"/>
    <col min="29" max="36" width="30.7109375" style="48" hidden="1" customWidth="1"/>
    <col min="37" max="37" width="45.7109375" style="48" hidden="1" customWidth="1"/>
    <col min="38" max="45" width="30.7109375" style="48" hidden="1" customWidth="1"/>
    <col min="46" max="46" width="58.5703125" style="48" hidden="1" customWidth="1"/>
    <col min="47" max="54" width="30.7109375" style="48" hidden="1" customWidth="1"/>
    <col min="55" max="55" width="48.5703125" style="48" hidden="1" customWidth="1"/>
    <col min="56" max="63" width="30.7109375" style="48" customWidth="1"/>
    <col min="64" max="64" width="45" style="48" customWidth="1"/>
    <col min="65" max="72" width="30.7109375" style="48" hidden="1" customWidth="1"/>
    <col min="73" max="73" width="42.7109375" style="48" hidden="1" customWidth="1"/>
    <col min="74" max="81" width="30.7109375" style="48" hidden="1" customWidth="1"/>
    <col min="82" max="82" width="55" style="48" hidden="1" customWidth="1"/>
    <col min="83" max="90" width="30.7109375" style="48" hidden="1" customWidth="1"/>
    <col min="91" max="91" width="60" style="48" hidden="1" customWidth="1"/>
    <col min="92" max="99" width="30.7109375" style="48" hidden="1" customWidth="1"/>
    <col min="100" max="100" width="43.5703125" style="48" hidden="1" customWidth="1"/>
    <col min="101" max="108" width="30.7109375" style="48" hidden="1" customWidth="1"/>
    <col min="109" max="109" width="48.5703125" style="48" hidden="1" customWidth="1"/>
    <col min="110" max="117" width="30.7109375" style="48" hidden="1" customWidth="1"/>
    <col min="118" max="118" width="45" style="48" hidden="1" customWidth="1"/>
    <col min="119" max="119" width="56.85546875" style="48" customWidth="1"/>
    <col min="120" max="120" width="142.42578125" style="48" customWidth="1"/>
    <col min="121" max="256" width="10.7109375" style="48"/>
    <col min="257" max="257" width="6.5703125" style="48" customWidth="1"/>
    <col min="258" max="258" width="125.42578125" style="48" customWidth="1"/>
    <col min="259" max="259" width="99.28515625" style="48" customWidth="1"/>
    <col min="260" max="260" width="34.7109375" style="48" customWidth="1"/>
    <col min="261" max="261" width="36.7109375" style="48" customWidth="1"/>
    <col min="262" max="262" width="69.5703125" style="48" customWidth="1"/>
    <col min="263" max="263" width="61.7109375" style="48" customWidth="1"/>
    <col min="264" max="264" width="69.7109375" style="48" customWidth="1"/>
    <col min="265" max="265" width="44.7109375" style="48" customWidth="1"/>
    <col min="266" max="266" width="65.7109375" style="48" customWidth="1"/>
    <col min="267" max="329" width="0" style="48" hidden="1" customWidth="1"/>
    <col min="330" max="337" width="30.7109375" style="48" customWidth="1"/>
    <col min="338" max="338" width="55" style="48" customWidth="1"/>
    <col min="339" max="374" width="0" style="48" hidden="1" customWidth="1"/>
    <col min="375" max="375" width="55.7109375" style="48" customWidth="1"/>
    <col min="376" max="376" width="142.42578125" style="48" customWidth="1"/>
    <col min="377" max="512" width="10.7109375" style="48"/>
    <col min="513" max="513" width="6.5703125" style="48" customWidth="1"/>
    <col min="514" max="514" width="125.42578125" style="48" customWidth="1"/>
    <col min="515" max="515" width="99.28515625" style="48" customWidth="1"/>
    <col min="516" max="516" width="34.7109375" style="48" customWidth="1"/>
    <col min="517" max="517" width="36.7109375" style="48" customWidth="1"/>
    <col min="518" max="518" width="69.5703125" style="48" customWidth="1"/>
    <col min="519" max="519" width="61.7109375" style="48" customWidth="1"/>
    <col min="520" max="520" width="69.7109375" style="48" customWidth="1"/>
    <col min="521" max="521" width="44.7109375" style="48" customWidth="1"/>
    <col min="522" max="522" width="65.7109375" style="48" customWidth="1"/>
    <col min="523" max="585" width="0" style="48" hidden="1" customWidth="1"/>
    <col min="586" max="593" width="30.7109375" style="48" customWidth="1"/>
    <col min="594" max="594" width="55" style="48" customWidth="1"/>
    <col min="595" max="630" width="0" style="48" hidden="1" customWidth="1"/>
    <col min="631" max="631" width="55.7109375" style="48" customWidth="1"/>
    <col min="632" max="632" width="142.42578125" style="48" customWidth="1"/>
    <col min="633" max="768" width="10.7109375" style="48"/>
    <col min="769" max="769" width="6.5703125" style="48" customWidth="1"/>
    <col min="770" max="770" width="125.42578125" style="48" customWidth="1"/>
    <col min="771" max="771" width="99.28515625" style="48" customWidth="1"/>
    <col min="772" max="772" width="34.7109375" style="48" customWidth="1"/>
    <col min="773" max="773" width="36.7109375" style="48" customWidth="1"/>
    <col min="774" max="774" width="69.5703125" style="48" customWidth="1"/>
    <col min="775" max="775" width="61.7109375" style="48" customWidth="1"/>
    <col min="776" max="776" width="69.7109375" style="48" customWidth="1"/>
    <col min="777" max="777" width="44.7109375" style="48" customWidth="1"/>
    <col min="778" max="778" width="65.7109375" style="48" customWidth="1"/>
    <col min="779" max="841" width="0" style="48" hidden="1" customWidth="1"/>
    <col min="842" max="849" width="30.7109375" style="48" customWidth="1"/>
    <col min="850" max="850" width="55" style="48" customWidth="1"/>
    <col min="851" max="886" width="0" style="48" hidden="1" customWidth="1"/>
    <col min="887" max="887" width="55.7109375" style="48" customWidth="1"/>
    <col min="888" max="888" width="142.42578125" style="48" customWidth="1"/>
    <col min="889" max="1024" width="10.7109375" style="48"/>
    <col min="1025" max="1025" width="6.5703125" style="48" customWidth="1"/>
    <col min="1026" max="1026" width="125.42578125" style="48" customWidth="1"/>
    <col min="1027" max="1027" width="99.28515625" style="48" customWidth="1"/>
    <col min="1028" max="1028" width="34.7109375" style="48" customWidth="1"/>
    <col min="1029" max="1029" width="36.7109375" style="48" customWidth="1"/>
    <col min="1030" max="1030" width="69.5703125" style="48" customWidth="1"/>
    <col min="1031" max="1031" width="61.7109375" style="48" customWidth="1"/>
    <col min="1032" max="1032" width="69.7109375" style="48" customWidth="1"/>
    <col min="1033" max="1033" width="44.7109375" style="48" customWidth="1"/>
    <col min="1034" max="1034" width="65.7109375" style="48" customWidth="1"/>
    <col min="1035" max="1097" width="0" style="48" hidden="1" customWidth="1"/>
    <col min="1098" max="1105" width="30.7109375" style="48" customWidth="1"/>
    <col min="1106" max="1106" width="55" style="48" customWidth="1"/>
    <col min="1107" max="1142" width="0" style="48" hidden="1" customWidth="1"/>
    <col min="1143" max="1143" width="55.7109375" style="48" customWidth="1"/>
    <col min="1144" max="1144" width="142.42578125" style="48" customWidth="1"/>
    <col min="1145" max="1280" width="10.7109375" style="48"/>
    <col min="1281" max="1281" width="6.5703125" style="48" customWidth="1"/>
    <col min="1282" max="1282" width="125.42578125" style="48" customWidth="1"/>
    <col min="1283" max="1283" width="99.28515625" style="48" customWidth="1"/>
    <col min="1284" max="1284" width="34.7109375" style="48" customWidth="1"/>
    <col min="1285" max="1285" width="36.7109375" style="48" customWidth="1"/>
    <col min="1286" max="1286" width="69.5703125" style="48" customWidth="1"/>
    <col min="1287" max="1287" width="61.7109375" style="48" customWidth="1"/>
    <col min="1288" max="1288" width="69.7109375" style="48" customWidth="1"/>
    <col min="1289" max="1289" width="44.7109375" style="48" customWidth="1"/>
    <col min="1290" max="1290" width="65.7109375" style="48" customWidth="1"/>
    <col min="1291" max="1353" width="0" style="48" hidden="1" customWidth="1"/>
    <col min="1354" max="1361" width="30.7109375" style="48" customWidth="1"/>
    <col min="1362" max="1362" width="55" style="48" customWidth="1"/>
    <col min="1363" max="1398" width="0" style="48" hidden="1" customWidth="1"/>
    <col min="1399" max="1399" width="55.7109375" style="48" customWidth="1"/>
    <col min="1400" max="1400" width="142.42578125" style="48" customWidth="1"/>
    <col min="1401" max="1536" width="10.7109375" style="48"/>
    <col min="1537" max="1537" width="6.5703125" style="48" customWidth="1"/>
    <col min="1538" max="1538" width="125.42578125" style="48" customWidth="1"/>
    <col min="1539" max="1539" width="99.28515625" style="48" customWidth="1"/>
    <col min="1540" max="1540" width="34.7109375" style="48" customWidth="1"/>
    <col min="1541" max="1541" width="36.7109375" style="48" customWidth="1"/>
    <col min="1542" max="1542" width="69.5703125" style="48" customWidth="1"/>
    <col min="1543" max="1543" width="61.7109375" style="48" customWidth="1"/>
    <col min="1544" max="1544" width="69.7109375" style="48" customWidth="1"/>
    <col min="1545" max="1545" width="44.7109375" style="48" customWidth="1"/>
    <col min="1546" max="1546" width="65.7109375" style="48" customWidth="1"/>
    <col min="1547" max="1609" width="0" style="48" hidden="1" customWidth="1"/>
    <col min="1610" max="1617" width="30.7109375" style="48" customWidth="1"/>
    <col min="1618" max="1618" width="55" style="48" customWidth="1"/>
    <col min="1619" max="1654" width="0" style="48" hidden="1" customWidth="1"/>
    <col min="1655" max="1655" width="55.7109375" style="48" customWidth="1"/>
    <col min="1656" max="1656" width="142.42578125" style="48" customWidth="1"/>
    <col min="1657" max="1792" width="10.7109375" style="48"/>
    <col min="1793" max="1793" width="6.5703125" style="48" customWidth="1"/>
    <col min="1794" max="1794" width="125.42578125" style="48" customWidth="1"/>
    <col min="1795" max="1795" width="99.28515625" style="48" customWidth="1"/>
    <col min="1796" max="1796" width="34.7109375" style="48" customWidth="1"/>
    <col min="1797" max="1797" width="36.7109375" style="48" customWidth="1"/>
    <col min="1798" max="1798" width="69.5703125" style="48" customWidth="1"/>
    <col min="1799" max="1799" width="61.7109375" style="48" customWidth="1"/>
    <col min="1800" max="1800" width="69.7109375" style="48" customWidth="1"/>
    <col min="1801" max="1801" width="44.7109375" style="48" customWidth="1"/>
    <col min="1802" max="1802" width="65.7109375" style="48" customWidth="1"/>
    <col min="1803" max="1865" width="0" style="48" hidden="1" customWidth="1"/>
    <col min="1866" max="1873" width="30.7109375" style="48" customWidth="1"/>
    <col min="1874" max="1874" width="55" style="48" customWidth="1"/>
    <col min="1875" max="1910" width="0" style="48" hidden="1" customWidth="1"/>
    <col min="1911" max="1911" width="55.7109375" style="48" customWidth="1"/>
    <col min="1912" max="1912" width="142.42578125" style="48" customWidth="1"/>
    <col min="1913" max="2048" width="10.7109375" style="48"/>
    <col min="2049" max="2049" width="6.5703125" style="48" customWidth="1"/>
    <col min="2050" max="2050" width="125.42578125" style="48" customWidth="1"/>
    <col min="2051" max="2051" width="99.28515625" style="48" customWidth="1"/>
    <col min="2052" max="2052" width="34.7109375" style="48" customWidth="1"/>
    <col min="2053" max="2053" width="36.7109375" style="48" customWidth="1"/>
    <col min="2054" max="2054" width="69.5703125" style="48" customWidth="1"/>
    <col min="2055" max="2055" width="61.7109375" style="48" customWidth="1"/>
    <col min="2056" max="2056" width="69.7109375" style="48" customWidth="1"/>
    <col min="2057" max="2057" width="44.7109375" style="48" customWidth="1"/>
    <col min="2058" max="2058" width="65.7109375" style="48" customWidth="1"/>
    <col min="2059" max="2121" width="0" style="48" hidden="1" customWidth="1"/>
    <col min="2122" max="2129" width="30.7109375" style="48" customWidth="1"/>
    <col min="2130" max="2130" width="55" style="48" customWidth="1"/>
    <col min="2131" max="2166" width="0" style="48" hidden="1" customWidth="1"/>
    <col min="2167" max="2167" width="55.7109375" style="48" customWidth="1"/>
    <col min="2168" max="2168" width="142.42578125" style="48" customWidth="1"/>
    <col min="2169" max="2304" width="10.7109375" style="48"/>
    <col min="2305" max="2305" width="6.5703125" style="48" customWidth="1"/>
    <col min="2306" max="2306" width="125.42578125" style="48" customWidth="1"/>
    <col min="2307" max="2307" width="99.28515625" style="48" customWidth="1"/>
    <col min="2308" max="2308" width="34.7109375" style="48" customWidth="1"/>
    <col min="2309" max="2309" width="36.7109375" style="48" customWidth="1"/>
    <col min="2310" max="2310" width="69.5703125" style="48" customWidth="1"/>
    <col min="2311" max="2311" width="61.7109375" style="48" customWidth="1"/>
    <col min="2312" max="2312" width="69.7109375" style="48" customWidth="1"/>
    <col min="2313" max="2313" width="44.7109375" style="48" customWidth="1"/>
    <col min="2314" max="2314" width="65.7109375" style="48" customWidth="1"/>
    <col min="2315" max="2377" width="0" style="48" hidden="1" customWidth="1"/>
    <col min="2378" max="2385" width="30.7109375" style="48" customWidth="1"/>
    <col min="2386" max="2386" width="55" style="48" customWidth="1"/>
    <col min="2387" max="2422" width="0" style="48" hidden="1" customWidth="1"/>
    <col min="2423" max="2423" width="55.7109375" style="48" customWidth="1"/>
    <col min="2424" max="2424" width="142.42578125" style="48" customWidth="1"/>
    <col min="2425" max="2560" width="10.7109375" style="48"/>
    <col min="2561" max="2561" width="6.5703125" style="48" customWidth="1"/>
    <col min="2562" max="2562" width="125.42578125" style="48" customWidth="1"/>
    <col min="2563" max="2563" width="99.28515625" style="48" customWidth="1"/>
    <col min="2564" max="2564" width="34.7109375" style="48" customWidth="1"/>
    <col min="2565" max="2565" width="36.7109375" style="48" customWidth="1"/>
    <col min="2566" max="2566" width="69.5703125" style="48" customWidth="1"/>
    <col min="2567" max="2567" width="61.7109375" style="48" customWidth="1"/>
    <col min="2568" max="2568" width="69.7109375" style="48" customWidth="1"/>
    <col min="2569" max="2569" width="44.7109375" style="48" customWidth="1"/>
    <col min="2570" max="2570" width="65.7109375" style="48" customWidth="1"/>
    <col min="2571" max="2633" width="0" style="48" hidden="1" customWidth="1"/>
    <col min="2634" max="2641" width="30.7109375" style="48" customWidth="1"/>
    <col min="2642" max="2642" width="55" style="48" customWidth="1"/>
    <col min="2643" max="2678" width="0" style="48" hidden="1" customWidth="1"/>
    <col min="2679" max="2679" width="55.7109375" style="48" customWidth="1"/>
    <col min="2680" max="2680" width="142.42578125" style="48" customWidth="1"/>
    <col min="2681" max="2816" width="10.7109375" style="48"/>
    <col min="2817" max="2817" width="6.5703125" style="48" customWidth="1"/>
    <col min="2818" max="2818" width="125.42578125" style="48" customWidth="1"/>
    <col min="2819" max="2819" width="99.28515625" style="48" customWidth="1"/>
    <col min="2820" max="2820" width="34.7109375" style="48" customWidth="1"/>
    <col min="2821" max="2821" width="36.7109375" style="48" customWidth="1"/>
    <col min="2822" max="2822" width="69.5703125" style="48" customWidth="1"/>
    <col min="2823" max="2823" width="61.7109375" style="48" customWidth="1"/>
    <col min="2824" max="2824" width="69.7109375" style="48" customWidth="1"/>
    <col min="2825" max="2825" width="44.7109375" style="48" customWidth="1"/>
    <col min="2826" max="2826" width="65.7109375" style="48" customWidth="1"/>
    <col min="2827" max="2889" width="0" style="48" hidden="1" customWidth="1"/>
    <col min="2890" max="2897" width="30.7109375" style="48" customWidth="1"/>
    <col min="2898" max="2898" width="55" style="48" customWidth="1"/>
    <col min="2899" max="2934" width="0" style="48" hidden="1" customWidth="1"/>
    <col min="2935" max="2935" width="55.7109375" style="48" customWidth="1"/>
    <col min="2936" max="2936" width="142.42578125" style="48" customWidth="1"/>
    <col min="2937" max="3072" width="10.7109375" style="48"/>
    <col min="3073" max="3073" width="6.5703125" style="48" customWidth="1"/>
    <col min="3074" max="3074" width="125.42578125" style="48" customWidth="1"/>
    <col min="3075" max="3075" width="99.28515625" style="48" customWidth="1"/>
    <col min="3076" max="3076" width="34.7109375" style="48" customWidth="1"/>
    <col min="3077" max="3077" width="36.7109375" style="48" customWidth="1"/>
    <col min="3078" max="3078" width="69.5703125" style="48" customWidth="1"/>
    <col min="3079" max="3079" width="61.7109375" style="48" customWidth="1"/>
    <col min="3080" max="3080" width="69.7109375" style="48" customWidth="1"/>
    <col min="3081" max="3081" width="44.7109375" style="48" customWidth="1"/>
    <col min="3082" max="3082" width="65.7109375" style="48" customWidth="1"/>
    <col min="3083" max="3145" width="0" style="48" hidden="1" customWidth="1"/>
    <col min="3146" max="3153" width="30.7109375" style="48" customWidth="1"/>
    <col min="3154" max="3154" width="55" style="48" customWidth="1"/>
    <col min="3155" max="3190" width="0" style="48" hidden="1" customWidth="1"/>
    <col min="3191" max="3191" width="55.7109375" style="48" customWidth="1"/>
    <col min="3192" max="3192" width="142.42578125" style="48" customWidth="1"/>
    <col min="3193" max="3328" width="10.7109375" style="48"/>
    <col min="3329" max="3329" width="6.5703125" style="48" customWidth="1"/>
    <col min="3330" max="3330" width="125.42578125" style="48" customWidth="1"/>
    <col min="3331" max="3331" width="99.28515625" style="48" customWidth="1"/>
    <col min="3332" max="3332" width="34.7109375" style="48" customWidth="1"/>
    <col min="3333" max="3333" width="36.7109375" style="48" customWidth="1"/>
    <col min="3334" max="3334" width="69.5703125" style="48" customWidth="1"/>
    <col min="3335" max="3335" width="61.7109375" style="48" customWidth="1"/>
    <col min="3336" max="3336" width="69.7109375" style="48" customWidth="1"/>
    <col min="3337" max="3337" width="44.7109375" style="48" customWidth="1"/>
    <col min="3338" max="3338" width="65.7109375" style="48" customWidth="1"/>
    <col min="3339" max="3401" width="0" style="48" hidden="1" customWidth="1"/>
    <col min="3402" max="3409" width="30.7109375" style="48" customWidth="1"/>
    <col min="3410" max="3410" width="55" style="48" customWidth="1"/>
    <col min="3411" max="3446" width="0" style="48" hidden="1" customWidth="1"/>
    <col min="3447" max="3447" width="55.7109375" style="48" customWidth="1"/>
    <col min="3448" max="3448" width="142.42578125" style="48" customWidth="1"/>
    <col min="3449" max="3584" width="10.7109375" style="48"/>
    <col min="3585" max="3585" width="6.5703125" style="48" customWidth="1"/>
    <col min="3586" max="3586" width="125.42578125" style="48" customWidth="1"/>
    <col min="3587" max="3587" width="99.28515625" style="48" customWidth="1"/>
    <col min="3588" max="3588" width="34.7109375" style="48" customWidth="1"/>
    <col min="3589" max="3589" width="36.7109375" style="48" customWidth="1"/>
    <col min="3590" max="3590" width="69.5703125" style="48" customWidth="1"/>
    <col min="3591" max="3591" width="61.7109375" style="48" customWidth="1"/>
    <col min="3592" max="3592" width="69.7109375" style="48" customWidth="1"/>
    <col min="3593" max="3593" width="44.7109375" style="48" customWidth="1"/>
    <col min="3594" max="3594" width="65.7109375" style="48" customWidth="1"/>
    <col min="3595" max="3657" width="0" style="48" hidden="1" customWidth="1"/>
    <col min="3658" max="3665" width="30.7109375" style="48" customWidth="1"/>
    <col min="3666" max="3666" width="55" style="48" customWidth="1"/>
    <col min="3667" max="3702" width="0" style="48" hidden="1" customWidth="1"/>
    <col min="3703" max="3703" width="55.7109375" style="48" customWidth="1"/>
    <col min="3704" max="3704" width="142.42578125" style="48" customWidth="1"/>
    <col min="3705" max="3840" width="10.7109375" style="48"/>
    <col min="3841" max="3841" width="6.5703125" style="48" customWidth="1"/>
    <col min="3842" max="3842" width="125.42578125" style="48" customWidth="1"/>
    <col min="3843" max="3843" width="99.28515625" style="48" customWidth="1"/>
    <col min="3844" max="3844" width="34.7109375" style="48" customWidth="1"/>
    <col min="3845" max="3845" width="36.7109375" style="48" customWidth="1"/>
    <col min="3846" max="3846" width="69.5703125" style="48" customWidth="1"/>
    <col min="3847" max="3847" width="61.7109375" style="48" customWidth="1"/>
    <col min="3848" max="3848" width="69.7109375" style="48" customWidth="1"/>
    <col min="3849" max="3849" width="44.7109375" style="48" customWidth="1"/>
    <col min="3850" max="3850" width="65.7109375" style="48" customWidth="1"/>
    <col min="3851" max="3913" width="0" style="48" hidden="1" customWidth="1"/>
    <col min="3914" max="3921" width="30.7109375" style="48" customWidth="1"/>
    <col min="3922" max="3922" width="55" style="48" customWidth="1"/>
    <col min="3923" max="3958" width="0" style="48" hidden="1" customWidth="1"/>
    <col min="3959" max="3959" width="55.7109375" style="48" customWidth="1"/>
    <col min="3960" max="3960" width="142.42578125" style="48" customWidth="1"/>
    <col min="3961" max="4096" width="10.7109375" style="48"/>
    <col min="4097" max="4097" width="6.5703125" style="48" customWidth="1"/>
    <col min="4098" max="4098" width="125.42578125" style="48" customWidth="1"/>
    <col min="4099" max="4099" width="99.28515625" style="48" customWidth="1"/>
    <col min="4100" max="4100" width="34.7109375" style="48" customWidth="1"/>
    <col min="4101" max="4101" width="36.7109375" style="48" customWidth="1"/>
    <col min="4102" max="4102" width="69.5703125" style="48" customWidth="1"/>
    <col min="4103" max="4103" width="61.7109375" style="48" customWidth="1"/>
    <col min="4104" max="4104" width="69.7109375" style="48" customWidth="1"/>
    <col min="4105" max="4105" width="44.7109375" style="48" customWidth="1"/>
    <col min="4106" max="4106" width="65.7109375" style="48" customWidth="1"/>
    <col min="4107" max="4169" width="0" style="48" hidden="1" customWidth="1"/>
    <col min="4170" max="4177" width="30.7109375" style="48" customWidth="1"/>
    <col min="4178" max="4178" width="55" style="48" customWidth="1"/>
    <col min="4179" max="4214" width="0" style="48" hidden="1" customWidth="1"/>
    <col min="4215" max="4215" width="55.7109375" style="48" customWidth="1"/>
    <col min="4216" max="4216" width="142.42578125" style="48" customWidth="1"/>
    <col min="4217" max="4352" width="10.7109375" style="48"/>
    <col min="4353" max="4353" width="6.5703125" style="48" customWidth="1"/>
    <col min="4354" max="4354" width="125.42578125" style="48" customWidth="1"/>
    <col min="4355" max="4355" width="99.28515625" style="48" customWidth="1"/>
    <col min="4356" max="4356" width="34.7109375" style="48" customWidth="1"/>
    <col min="4357" max="4357" width="36.7109375" style="48" customWidth="1"/>
    <col min="4358" max="4358" width="69.5703125" style="48" customWidth="1"/>
    <col min="4359" max="4359" width="61.7109375" style="48" customWidth="1"/>
    <col min="4360" max="4360" width="69.7109375" style="48" customWidth="1"/>
    <col min="4361" max="4361" width="44.7109375" style="48" customWidth="1"/>
    <col min="4362" max="4362" width="65.7109375" style="48" customWidth="1"/>
    <col min="4363" max="4425" width="0" style="48" hidden="1" customWidth="1"/>
    <col min="4426" max="4433" width="30.7109375" style="48" customWidth="1"/>
    <col min="4434" max="4434" width="55" style="48" customWidth="1"/>
    <col min="4435" max="4470" width="0" style="48" hidden="1" customWidth="1"/>
    <col min="4471" max="4471" width="55.7109375" style="48" customWidth="1"/>
    <col min="4472" max="4472" width="142.42578125" style="48" customWidth="1"/>
    <col min="4473" max="4608" width="10.7109375" style="48"/>
    <col min="4609" max="4609" width="6.5703125" style="48" customWidth="1"/>
    <col min="4610" max="4610" width="125.42578125" style="48" customWidth="1"/>
    <col min="4611" max="4611" width="99.28515625" style="48" customWidth="1"/>
    <col min="4612" max="4612" width="34.7109375" style="48" customWidth="1"/>
    <col min="4613" max="4613" width="36.7109375" style="48" customWidth="1"/>
    <col min="4614" max="4614" width="69.5703125" style="48" customWidth="1"/>
    <col min="4615" max="4615" width="61.7109375" style="48" customWidth="1"/>
    <col min="4616" max="4616" width="69.7109375" style="48" customWidth="1"/>
    <col min="4617" max="4617" width="44.7109375" style="48" customWidth="1"/>
    <col min="4618" max="4618" width="65.7109375" style="48" customWidth="1"/>
    <col min="4619" max="4681" width="0" style="48" hidden="1" customWidth="1"/>
    <col min="4682" max="4689" width="30.7109375" style="48" customWidth="1"/>
    <col min="4690" max="4690" width="55" style="48" customWidth="1"/>
    <col min="4691" max="4726" width="0" style="48" hidden="1" customWidth="1"/>
    <col min="4727" max="4727" width="55.7109375" style="48" customWidth="1"/>
    <col min="4728" max="4728" width="142.42578125" style="48" customWidth="1"/>
    <col min="4729" max="4864" width="10.7109375" style="48"/>
    <col min="4865" max="4865" width="6.5703125" style="48" customWidth="1"/>
    <col min="4866" max="4866" width="125.42578125" style="48" customWidth="1"/>
    <col min="4867" max="4867" width="99.28515625" style="48" customWidth="1"/>
    <col min="4868" max="4868" width="34.7109375" style="48" customWidth="1"/>
    <col min="4869" max="4869" width="36.7109375" style="48" customWidth="1"/>
    <col min="4870" max="4870" width="69.5703125" style="48" customWidth="1"/>
    <col min="4871" max="4871" width="61.7109375" style="48" customWidth="1"/>
    <col min="4872" max="4872" width="69.7109375" style="48" customWidth="1"/>
    <col min="4873" max="4873" width="44.7109375" style="48" customWidth="1"/>
    <col min="4874" max="4874" width="65.7109375" style="48" customWidth="1"/>
    <col min="4875" max="4937" width="0" style="48" hidden="1" customWidth="1"/>
    <col min="4938" max="4945" width="30.7109375" style="48" customWidth="1"/>
    <col min="4946" max="4946" width="55" style="48" customWidth="1"/>
    <col min="4947" max="4982" width="0" style="48" hidden="1" customWidth="1"/>
    <col min="4983" max="4983" width="55.7109375" style="48" customWidth="1"/>
    <col min="4984" max="4984" width="142.42578125" style="48" customWidth="1"/>
    <col min="4985" max="5120" width="10.7109375" style="48"/>
    <col min="5121" max="5121" width="6.5703125" style="48" customWidth="1"/>
    <col min="5122" max="5122" width="125.42578125" style="48" customWidth="1"/>
    <col min="5123" max="5123" width="99.28515625" style="48" customWidth="1"/>
    <col min="5124" max="5124" width="34.7109375" style="48" customWidth="1"/>
    <col min="5125" max="5125" width="36.7109375" style="48" customWidth="1"/>
    <col min="5126" max="5126" width="69.5703125" style="48" customWidth="1"/>
    <col min="5127" max="5127" width="61.7109375" style="48" customWidth="1"/>
    <col min="5128" max="5128" width="69.7109375" style="48" customWidth="1"/>
    <col min="5129" max="5129" width="44.7109375" style="48" customWidth="1"/>
    <col min="5130" max="5130" width="65.7109375" style="48" customWidth="1"/>
    <col min="5131" max="5193" width="0" style="48" hidden="1" customWidth="1"/>
    <col min="5194" max="5201" width="30.7109375" style="48" customWidth="1"/>
    <col min="5202" max="5202" width="55" style="48" customWidth="1"/>
    <col min="5203" max="5238" width="0" style="48" hidden="1" customWidth="1"/>
    <col min="5239" max="5239" width="55.7109375" style="48" customWidth="1"/>
    <col min="5240" max="5240" width="142.42578125" style="48" customWidth="1"/>
    <col min="5241" max="5376" width="10.7109375" style="48"/>
    <col min="5377" max="5377" width="6.5703125" style="48" customWidth="1"/>
    <col min="5378" max="5378" width="125.42578125" style="48" customWidth="1"/>
    <col min="5379" max="5379" width="99.28515625" style="48" customWidth="1"/>
    <col min="5380" max="5380" width="34.7109375" style="48" customWidth="1"/>
    <col min="5381" max="5381" width="36.7109375" style="48" customWidth="1"/>
    <col min="5382" max="5382" width="69.5703125" style="48" customWidth="1"/>
    <col min="5383" max="5383" width="61.7109375" style="48" customWidth="1"/>
    <col min="5384" max="5384" width="69.7109375" style="48" customWidth="1"/>
    <col min="5385" max="5385" width="44.7109375" style="48" customWidth="1"/>
    <col min="5386" max="5386" width="65.7109375" style="48" customWidth="1"/>
    <col min="5387" max="5449" width="0" style="48" hidden="1" customWidth="1"/>
    <col min="5450" max="5457" width="30.7109375" style="48" customWidth="1"/>
    <col min="5458" max="5458" width="55" style="48" customWidth="1"/>
    <col min="5459" max="5494" width="0" style="48" hidden="1" customWidth="1"/>
    <col min="5495" max="5495" width="55.7109375" style="48" customWidth="1"/>
    <col min="5496" max="5496" width="142.42578125" style="48" customWidth="1"/>
    <col min="5497" max="5632" width="10.7109375" style="48"/>
    <col min="5633" max="5633" width="6.5703125" style="48" customWidth="1"/>
    <col min="5634" max="5634" width="125.42578125" style="48" customWidth="1"/>
    <col min="5635" max="5635" width="99.28515625" style="48" customWidth="1"/>
    <col min="5636" max="5636" width="34.7109375" style="48" customWidth="1"/>
    <col min="5637" max="5637" width="36.7109375" style="48" customWidth="1"/>
    <col min="5638" max="5638" width="69.5703125" style="48" customWidth="1"/>
    <col min="5639" max="5639" width="61.7109375" style="48" customWidth="1"/>
    <col min="5640" max="5640" width="69.7109375" style="48" customWidth="1"/>
    <col min="5641" max="5641" width="44.7109375" style="48" customWidth="1"/>
    <col min="5642" max="5642" width="65.7109375" style="48" customWidth="1"/>
    <col min="5643" max="5705" width="0" style="48" hidden="1" customWidth="1"/>
    <col min="5706" max="5713" width="30.7109375" style="48" customWidth="1"/>
    <col min="5714" max="5714" width="55" style="48" customWidth="1"/>
    <col min="5715" max="5750" width="0" style="48" hidden="1" customWidth="1"/>
    <col min="5751" max="5751" width="55.7109375" style="48" customWidth="1"/>
    <col min="5752" max="5752" width="142.42578125" style="48" customWidth="1"/>
    <col min="5753" max="5888" width="10.7109375" style="48"/>
    <col min="5889" max="5889" width="6.5703125" style="48" customWidth="1"/>
    <col min="5890" max="5890" width="125.42578125" style="48" customWidth="1"/>
    <col min="5891" max="5891" width="99.28515625" style="48" customWidth="1"/>
    <col min="5892" max="5892" width="34.7109375" style="48" customWidth="1"/>
    <col min="5893" max="5893" width="36.7109375" style="48" customWidth="1"/>
    <col min="5894" max="5894" width="69.5703125" style="48" customWidth="1"/>
    <col min="5895" max="5895" width="61.7109375" style="48" customWidth="1"/>
    <col min="5896" max="5896" width="69.7109375" style="48" customWidth="1"/>
    <col min="5897" max="5897" width="44.7109375" style="48" customWidth="1"/>
    <col min="5898" max="5898" width="65.7109375" style="48" customWidth="1"/>
    <col min="5899" max="5961" width="0" style="48" hidden="1" customWidth="1"/>
    <col min="5962" max="5969" width="30.7109375" style="48" customWidth="1"/>
    <col min="5970" max="5970" width="55" style="48" customWidth="1"/>
    <col min="5971" max="6006" width="0" style="48" hidden="1" customWidth="1"/>
    <col min="6007" max="6007" width="55.7109375" style="48" customWidth="1"/>
    <col min="6008" max="6008" width="142.42578125" style="48" customWidth="1"/>
    <col min="6009" max="6144" width="10.7109375" style="48"/>
    <col min="6145" max="6145" width="6.5703125" style="48" customWidth="1"/>
    <col min="6146" max="6146" width="125.42578125" style="48" customWidth="1"/>
    <col min="6147" max="6147" width="99.28515625" style="48" customWidth="1"/>
    <col min="6148" max="6148" width="34.7109375" style="48" customWidth="1"/>
    <col min="6149" max="6149" width="36.7109375" style="48" customWidth="1"/>
    <col min="6150" max="6150" width="69.5703125" style="48" customWidth="1"/>
    <col min="6151" max="6151" width="61.7109375" style="48" customWidth="1"/>
    <col min="6152" max="6152" width="69.7109375" style="48" customWidth="1"/>
    <col min="6153" max="6153" width="44.7109375" style="48" customWidth="1"/>
    <col min="6154" max="6154" width="65.7109375" style="48" customWidth="1"/>
    <col min="6155" max="6217" width="0" style="48" hidden="1" customWidth="1"/>
    <col min="6218" max="6225" width="30.7109375" style="48" customWidth="1"/>
    <col min="6226" max="6226" width="55" style="48" customWidth="1"/>
    <col min="6227" max="6262" width="0" style="48" hidden="1" customWidth="1"/>
    <col min="6263" max="6263" width="55.7109375" style="48" customWidth="1"/>
    <col min="6264" max="6264" width="142.42578125" style="48" customWidth="1"/>
    <col min="6265" max="6400" width="10.7109375" style="48"/>
    <col min="6401" max="6401" width="6.5703125" style="48" customWidth="1"/>
    <col min="6402" max="6402" width="125.42578125" style="48" customWidth="1"/>
    <col min="6403" max="6403" width="99.28515625" style="48" customWidth="1"/>
    <col min="6404" max="6404" width="34.7109375" style="48" customWidth="1"/>
    <col min="6405" max="6405" width="36.7109375" style="48" customWidth="1"/>
    <col min="6406" max="6406" width="69.5703125" style="48" customWidth="1"/>
    <col min="6407" max="6407" width="61.7109375" style="48" customWidth="1"/>
    <col min="6408" max="6408" width="69.7109375" style="48" customWidth="1"/>
    <col min="6409" max="6409" width="44.7109375" style="48" customWidth="1"/>
    <col min="6410" max="6410" width="65.7109375" style="48" customWidth="1"/>
    <col min="6411" max="6473" width="0" style="48" hidden="1" customWidth="1"/>
    <col min="6474" max="6481" width="30.7109375" style="48" customWidth="1"/>
    <col min="6482" max="6482" width="55" style="48" customWidth="1"/>
    <col min="6483" max="6518" width="0" style="48" hidden="1" customWidth="1"/>
    <col min="6519" max="6519" width="55.7109375" style="48" customWidth="1"/>
    <col min="6520" max="6520" width="142.42578125" style="48" customWidth="1"/>
    <col min="6521" max="6656" width="10.7109375" style="48"/>
    <col min="6657" max="6657" width="6.5703125" style="48" customWidth="1"/>
    <col min="6658" max="6658" width="125.42578125" style="48" customWidth="1"/>
    <col min="6659" max="6659" width="99.28515625" style="48" customWidth="1"/>
    <col min="6660" max="6660" width="34.7109375" style="48" customWidth="1"/>
    <col min="6661" max="6661" width="36.7109375" style="48" customWidth="1"/>
    <col min="6662" max="6662" width="69.5703125" style="48" customWidth="1"/>
    <col min="6663" max="6663" width="61.7109375" style="48" customWidth="1"/>
    <col min="6664" max="6664" width="69.7109375" style="48" customWidth="1"/>
    <col min="6665" max="6665" width="44.7109375" style="48" customWidth="1"/>
    <col min="6666" max="6666" width="65.7109375" style="48" customWidth="1"/>
    <col min="6667" max="6729" width="0" style="48" hidden="1" customWidth="1"/>
    <col min="6730" max="6737" width="30.7109375" style="48" customWidth="1"/>
    <col min="6738" max="6738" width="55" style="48" customWidth="1"/>
    <col min="6739" max="6774" width="0" style="48" hidden="1" customWidth="1"/>
    <col min="6775" max="6775" width="55.7109375" style="48" customWidth="1"/>
    <col min="6776" max="6776" width="142.42578125" style="48" customWidth="1"/>
    <col min="6777" max="6912" width="10.7109375" style="48"/>
    <col min="6913" max="6913" width="6.5703125" style="48" customWidth="1"/>
    <col min="6914" max="6914" width="125.42578125" style="48" customWidth="1"/>
    <col min="6915" max="6915" width="99.28515625" style="48" customWidth="1"/>
    <col min="6916" max="6916" width="34.7109375" style="48" customWidth="1"/>
    <col min="6917" max="6917" width="36.7109375" style="48" customWidth="1"/>
    <col min="6918" max="6918" width="69.5703125" style="48" customWidth="1"/>
    <col min="6919" max="6919" width="61.7109375" style="48" customWidth="1"/>
    <col min="6920" max="6920" width="69.7109375" style="48" customWidth="1"/>
    <col min="6921" max="6921" width="44.7109375" style="48" customWidth="1"/>
    <col min="6922" max="6922" width="65.7109375" style="48" customWidth="1"/>
    <col min="6923" max="6985" width="0" style="48" hidden="1" customWidth="1"/>
    <col min="6986" max="6993" width="30.7109375" style="48" customWidth="1"/>
    <col min="6994" max="6994" width="55" style="48" customWidth="1"/>
    <col min="6995" max="7030" width="0" style="48" hidden="1" customWidth="1"/>
    <col min="7031" max="7031" width="55.7109375" style="48" customWidth="1"/>
    <col min="7032" max="7032" width="142.42578125" style="48" customWidth="1"/>
    <col min="7033" max="7168" width="10.7109375" style="48"/>
    <col min="7169" max="7169" width="6.5703125" style="48" customWidth="1"/>
    <col min="7170" max="7170" width="125.42578125" style="48" customWidth="1"/>
    <col min="7171" max="7171" width="99.28515625" style="48" customWidth="1"/>
    <col min="7172" max="7172" width="34.7109375" style="48" customWidth="1"/>
    <col min="7173" max="7173" width="36.7109375" style="48" customWidth="1"/>
    <col min="7174" max="7174" width="69.5703125" style="48" customWidth="1"/>
    <col min="7175" max="7175" width="61.7109375" style="48" customWidth="1"/>
    <col min="7176" max="7176" width="69.7109375" style="48" customWidth="1"/>
    <col min="7177" max="7177" width="44.7109375" style="48" customWidth="1"/>
    <col min="7178" max="7178" width="65.7109375" style="48" customWidth="1"/>
    <col min="7179" max="7241" width="0" style="48" hidden="1" customWidth="1"/>
    <col min="7242" max="7249" width="30.7109375" style="48" customWidth="1"/>
    <col min="7250" max="7250" width="55" style="48" customWidth="1"/>
    <col min="7251" max="7286" width="0" style="48" hidden="1" customWidth="1"/>
    <col min="7287" max="7287" width="55.7109375" style="48" customWidth="1"/>
    <col min="7288" max="7288" width="142.42578125" style="48" customWidth="1"/>
    <col min="7289" max="7424" width="10.7109375" style="48"/>
    <col min="7425" max="7425" width="6.5703125" style="48" customWidth="1"/>
    <col min="7426" max="7426" width="125.42578125" style="48" customWidth="1"/>
    <col min="7427" max="7427" width="99.28515625" style="48" customWidth="1"/>
    <col min="7428" max="7428" width="34.7109375" style="48" customWidth="1"/>
    <col min="7429" max="7429" width="36.7109375" style="48" customWidth="1"/>
    <col min="7430" max="7430" width="69.5703125" style="48" customWidth="1"/>
    <col min="7431" max="7431" width="61.7109375" style="48" customWidth="1"/>
    <col min="7432" max="7432" width="69.7109375" style="48" customWidth="1"/>
    <col min="7433" max="7433" width="44.7109375" style="48" customWidth="1"/>
    <col min="7434" max="7434" width="65.7109375" style="48" customWidth="1"/>
    <col min="7435" max="7497" width="0" style="48" hidden="1" customWidth="1"/>
    <col min="7498" max="7505" width="30.7109375" style="48" customWidth="1"/>
    <col min="7506" max="7506" width="55" style="48" customWidth="1"/>
    <col min="7507" max="7542" width="0" style="48" hidden="1" customWidth="1"/>
    <col min="7543" max="7543" width="55.7109375" style="48" customWidth="1"/>
    <col min="7544" max="7544" width="142.42578125" style="48" customWidth="1"/>
    <col min="7545" max="7680" width="10.7109375" style="48"/>
    <col min="7681" max="7681" width="6.5703125" style="48" customWidth="1"/>
    <col min="7682" max="7682" width="125.42578125" style="48" customWidth="1"/>
    <col min="7683" max="7683" width="99.28515625" style="48" customWidth="1"/>
    <col min="7684" max="7684" width="34.7109375" style="48" customWidth="1"/>
    <col min="7685" max="7685" width="36.7109375" style="48" customWidth="1"/>
    <col min="7686" max="7686" width="69.5703125" style="48" customWidth="1"/>
    <col min="7687" max="7687" width="61.7109375" style="48" customWidth="1"/>
    <col min="7688" max="7688" width="69.7109375" style="48" customWidth="1"/>
    <col min="7689" max="7689" width="44.7109375" style="48" customWidth="1"/>
    <col min="7690" max="7690" width="65.7109375" style="48" customWidth="1"/>
    <col min="7691" max="7753" width="0" style="48" hidden="1" customWidth="1"/>
    <col min="7754" max="7761" width="30.7109375" style="48" customWidth="1"/>
    <col min="7762" max="7762" width="55" style="48" customWidth="1"/>
    <col min="7763" max="7798" width="0" style="48" hidden="1" customWidth="1"/>
    <col min="7799" max="7799" width="55.7109375" style="48" customWidth="1"/>
    <col min="7800" max="7800" width="142.42578125" style="48" customWidth="1"/>
    <col min="7801" max="7936" width="10.7109375" style="48"/>
    <col min="7937" max="7937" width="6.5703125" style="48" customWidth="1"/>
    <col min="7938" max="7938" width="125.42578125" style="48" customWidth="1"/>
    <col min="7939" max="7939" width="99.28515625" style="48" customWidth="1"/>
    <col min="7940" max="7940" width="34.7109375" style="48" customWidth="1"/>
    <col min="7941" max="7941" width="36.7109375" style="48" customWidth="1"/>
    <col min="7942" max="7942" width="69.5703125" style="48" customWidth="1"/>
    <col min="7943" max="7943" width="61.7109375" style="48" customWidth="1"/>
    <col min="7944" max="7944" width="69.7109375" style="48" customWidth="1"/>
    <col min="7945" max="7945" width="44.7109375" style="48" customWidth="1"/>
    <col min="7946" max="7946" width="65.7109375" style="48" customWidth="1"/>
    <col min="7947" max="8009" width="0" style="48" hidden="1" customWidth="1"/>
    <col min="8010" max="8017" width="30.7109375" style="48" customWidth="1"/>
    <col min="8018" max="8018" width="55" style="48" customWidth="1"/>
    <col min="8019" max="8054" width="0" style="48" hidden="1" customWidth="1"/>
    <col min="8055" max="8055" width="55.7109375" style="48" customWidth="1"/>
    <col min="8056" max="8056" width="142.42578125" style="48" customWidth="1"/>
    <col min="8057" max="8192" width="10.7109375" style="48"/>
    <col min="8193" max="8193" width="6.5703125" style="48" customWidth="1"/>
    <col min="8194" max="8194" width="125.42578125" style="48" customWidth="1"/>
    <col min="8195" max="8195" width="99.28515625" style="48" customWidth="1"/>
    <col min="8196" max="8196" width="34.7109375" style="48" customWidth="1"/>
    <col min="8197" max="8197" width="36.7109375" style="48" customWidth="1"/>
    <col min="8198" max="8198" width="69.5703125" style="48" customWidth="1"/>
    <col min="8199" max="8199" width="61.7109375" style="48" customWidth="1"/>
    <col min="8200" max="8200" width="69.7109375" style="48" customWidth="1"/>
    <col min="8201" max="8201" width="44.7109375" style="48" customWidth="1"/>
    <col min="8202" max="8202" width="65.7109375" style="48" customWidth="1"/>
    <col min="8203" max="8265" width="0" style="48" hidden="1" customWidth="1"/>
    <col min="8266" max="8273" width="30.7109375" style="48" customWidth="1"/>
    <col min="8274" max="8274" width="55" style="48" customWidth="1"/>
    <col min="8275" max="8310" width="0" style="48" hidden="1" customWidth="1"/>
    <col min="8311" max="8311" width="55.7109375" style="48" customWidth="1"/>
    <col min="8312" max="8312" width="142.42578125" style="48" customWidth="1"/>
    <col min="8313" max="8448" width="10.7109375" style="48"/>
    <col min="8449" max="8449" width="6.5703125" style="48" customWidth="1"/>
    <col min="8450" max="8450" width="125.42578125" style="48" customWidth="1"/>
    <col min="8451" max="8451" width="99.28515625" style="48" customWidth="1"/>
    <col min="8452" max="8452" width="34.7109375" style="48" customWidth="1"/>
    <col min="8453" max="8453" width="36.7109375" style="48" customWidth="1"/>
    <col min="8454" max="8454" width="69.5703125" style="48" customWidth="1"/>
    <col min="8455" max="8455" width="61.7109375" style="48" customWidth="1"/>
    <col min="8456" max="8456" width="69.7109375" style="48" customWidth="1"/>
    <col min="8457" max="8457" width="44.7109375" style="48" customWidth="1"/>
    <col min="8458" max="8458" width="65.7109375" style="48" customWidth="1"/>
    <col min="8459" max="8521" width="0" style="48" hidden="1" customWidth="1"/>
    <col min="8522" max="8529" width="30.7109375" style="48" customWidth="1"/>
    <col min="8530" max="8530" width="55" style="48" customWidth="1"/>
    <col min="8531" max="8566" width="0" style="48" hidden="1" customWidth="1"/>
    <col min="8567" max="8567" width="55.7109375" style="48" customWidth="1"/>
    <col min="8568" max="8568" width="142.42578125" style="48" customWidth="1"/>
    <col min="8569" max="8704" width="10.7109375" style="48"/>
    <col min="8705" max="8705" width="6.5703125" style="48" customWidth="1"/>
    <col min="8706" max="8706" width="125.42578125" style="48" customWidth="1"/>
    <col min="8707" max="8707" width="99.28515625" style="48" customWidth="1"/>
    <col min="8708" max="8708" width="34.7109375" style="48" customWidth="1"/>
    <col min="8709" max="8709" width="36.7109375" style="48" customWidth="1"/>
    <col min="8710" max="8710" width="69.5703125" style="48" customWidth="1"/>
    <col min="8711" max="8711" width="61.7109375" style="48" customWidth="1"/>
    <col min="8712" max="8712" width="69.7109375" style="48" customWidth="1"/>
    <col min="8713" max="8713" width="44.7109375" style="48" customWidth="1"/>
    <col min="8714" max="8714" width="65.7109375" style="48" customWidth="1"/>
    <col min="8715" max="8777" width="0" style="48" hidden="1" customWidth="1"/>
    <col min="8778" max="8785" width="30.7109375" style="48" customWidth="1"/>
    <col min="8786" max="8786" width="55" style="48" customWidth="1"/>
    <col min="8787" max="8822" width="0" style="48" hidden="1" customWidth="1"/>
    <col min="8823" max="8823" width="55.7109375" style="48" customWidth="1"/>
    <col min="8824" max="8824" width="142.42578125" style="48" customWidth="1"/>
    <col min="8825" max="8960" width="10.7109375" style="48"/>
    <col min="8961" max="8961" width="6.5703125" style="48" customWidth="1"/>
    <col min="8962" max="8962" width="125.42578125" style="48" customWidth="1"/>
    <col min="8963" max="8963" width="99.28515625" style="48" customWidth="1"/>
    <col min="8964" max="8964" width="34.7109375" style="48" customWidth="1"/>
    <col min="8965" max="8965" width="36.7109375" style="48" customWidth="1"/>
    <col min="8966" max="8966" width="69.5703125" style="48" customWidth="1"/>
    <col min="8967" max="8967" width="61.7109375" style="48" customWidth="1"/>
    <col min="8968" max="8968" width="69.7109375" style="48" customWidth="1"/>
    <col min="8969" max="8969" width="44.7109375" style="48" customWidth="1"/>
    <col min="8970" max="8970" width="65.7109375" style="48" customWidth="1"/>
    <col min="8971" max="9033" width="0" style="48" hidden="1" customWidth="1"/>
    <col min="9034" max="9041" width="30.7109375" style="48" customWidth="1"/>
    <col min="9042" max="9042" width="55" style="48" customWidth="1"/>
    <col min="9043" max="9078" width="0" style="48" hidden="1" customWidth="1"/>
    <col min="9079" max="9079" width="55.7109375" style="48" customWidth="1"/>
    <col min="9080" max="9080" width="142.42578125" style="48" customWidth="1"/>
    <col min="9081" max="9216" width="10.7109375" style="48"/>
    <col min="9217" max="9217" width="6.5703125" style="48" customWidth="1"/>
    <col min="9218" max="9218" width="125.42578125" style="48" customWidth="1"/>
    <col min="9219" max="9219" width="99.28515625" style="48" customWidth="1"/>
    <col min="9220" max="9220" width="34.7109375" style="48" customWidth="1"/>
    <col min="9221" max="9221" width="36.7109375" style="48" customWidth="1"/>
    <col min="9222" max="9222" width="69.5703125" style="48" customWidth="1"/>
    <col min="9223" max="9223" width="61.7109375" style="48" customWidth="1"/>
    <col min="9224" max="9224" width="69.7109375" style="48" customWidth="1"/>
    <col min="9225" max="9225" width="44.7109375" style="48" customWidth="1"/>
    <col min="9226" max="9226" width="65.7109375" style="48" customWidth="1"/>
    <col min="9227" max="9289" width="0" style="48" hidden="1" customWidth="1"/>
    <col min="9290" max="9297" width="30.7109375" style="48" customWidth="1"/>
    <col min="9298" max="9298" width="55" style="48" customWidth="1"/>
    <col min="9299" max="9334" width="0" style="48" hidden="1" customWidth="1"/>
    <col min="9335" max="9335" width="55.7109375" style="48" customWidth="1"/>
    <col min="9336" max="9336" width="142.42578125" style="48" customWidth="1"/>
    <col min="9337" max="9472" width="10.7109375" style="48"/>
    <col min="9473" max="9473" width="6.5703125" style="48" customWidth="1"/>
    <col min="9474" max="9474" width="125.42578125" style="48" customWidth="1"/>
    <col min="9475" max="9475" width="99.28515625" style="48" customWidth="1"/>
    <col min="9476" max="9476" width="34.7109375" style="48" customWidth="1"/>
    <col min="9477" max="9477" width="36.7109375" style="48" customWidth="1"/>
    <col min="9478" max="9478" width="69.5703125" style="48" customWidth="1"/>
    <col min="9479" max="9479" width="61.7109375" style="48" customWidth="1"/>
    <col min="9480" max="9480" width="69.7109375" style="48" customWidth="1"/>
    <col min="9481" max="9481" width="44.7109375" style="48" customWidth="1"/>
    <col min="9482" max="9482" width="65.7109375" style="48" customWidth="1"/>
    <col min="9483" max="9545" width="0" style="48" hidden="1" customWidth="1"/>
    <col min="9546" max="9553" width="30.7109375" style="48" customWidth="1"/>
    <col min="9554" max="9554" width="55" style="48" customWidth="1"/>
    <col min="9555" max="9590" width="0" style="48" hidden="1" customWidth="1"/>
    <col min="9591" max="9591" width="55.7109375" style="48" customWidth="1"/>
    <col min="9592" max="9592" width="142.42578125" style="48" customWidth="1"/>
    <col min="9593" max="9728" width="10.7109375" style="48"/>
    <col min="9729" max="9729" width="6.5703125" style="48" customWidth="1"/>
    <col min="9730" max="9730" width="125.42578125" style="48" customWidth="1"/>
    <col min="9731" max="9731" width="99.28515625" style="48" customWidth="1"/>
    <col min="9732" max="9732" width="34.7109375" style="48" customWidth="1"/>
    <col min="9733" max="9733" width="36.7109375" style="48" customWidth="1"/>
    <col min="9734" max="9734" width="69.5703125" style="48" customWidth="1"/>
    <col min="9735" max="9735" width="61.7109375" style="48" customWidth="1"/>
    <col min="9736" max="9736" width="69.7109375" style="48" customWidth="1"/>
    <col min="9737" max="9737" width="44.7109375" style="48" customWidth="1"/>
    <col min="9738" max="9738" width="65.7109375" style="48" customWidth="1"/>
    <col min="9739" max="9801" width="0" style="48" hidden="1" customWidth="1"/>
    <col min="9802" max="9809" width="30.7109375" style="48" customWidth="1"/>
    <col min="9810" max="9810" width="55" style="48" customWidth="1"/>
    <col min="9811" max="9846" width="0" style="48" hidden="1" customWidth="1"/>
    <col min="9847" max="9847" width="55.7109375" style="48" customWidth="1"/>
    <col min="9848" max="9848" width="142.42578125" style="48" customWidth="1"/>
    <col min="9849" max="9984" width="10.7109375" style="48"/>
    <col min="9985" max="9985" width="6.5703125" style="48" customWidth="1"/>
    <col min="9986" max="9986" width="125.42578125" style="48" customWidth="1"/>
    <col min="9987" max="9987" width="99.28515625" style="48" customWidth="1"/>
    <col min="9988" max="9988" width="34.7109375" style="48" customWidth="1"/>
    <col min="9989" max="9989" width="36.7109375" style="48" customWidth="1"/>
    <col min="9990" max="9990" width="69.5703125" style="48" customWidth="1"/>
    <col min="9991" max="9991" width="61.7109375" style="48" customWidth="1"/>
    <col min="9992" max="9992" width="69.7109375" style="48" customWidth="1"/>
    <col min="9993" max="9993" width="44.7109375" style="48" customWidth="1"/>
    <col min="9994" max="9994" width="65.7109375" style="48" customWidth="1"/>
    <col min="9995" max="10057" width="0" style="48" hidden="1" customWidth="1"/>
    <col min="10058" max="10065" width="30.7109375" style="48" customWidth="1"/>
    <col min="10066" max="10066" width="55" style="48" customWidth="1"/>
    <col min="10067" max="10102" width="0" style="48" hidden="1" customWidth="1"/>
    <col min="10103" max="10103" width="55.7109375" style="48" customWidth="1"/>
    <col min="10104" max="10104" width="142.42578125" style="48" customWidth="1"/>
    <col min="10105" max="10240" width="10.7109375" style="48"/>
    <col min="10241" max="10241" width="6.5703125" style="48" customWidth="1"/>
    <col min="10242" max="10242" width="125.42578125" style="48" customWidth="1"/>
    <col min="10243" max="10243" width="99.28515625" style="48" customWidth="1"/>
    <col min="10244" max="10244" width="34.7109375" style="48" customWidth="1"/>
    <col min="10245" max="10245" width="36.7109375" style="48" customWidth="1"/>
    <col min="10246" max="10246" width="69.5703125" style="48" customWidth="1"/>
    <col min="10247" max="10247" width="61.7109375" style="48" customWidth="1"/>
    <col min="10248" max="10248" width="69.7109375" style="48" customWidth="1"/>
    <col min="10249" max="10249" width="44.7109375" style="48" customWidth="1"/>
    <col min="10250" max="10250" width="65.7109375" style="48" customWidth="1"/>
    <col min="10251" max="10313" width="0" style="48" hidden="1" customWidth="1"/>
    <col min="10314" max="10321" width="30.7109375" style="48" customWidth="1"/>
    <col min="10322" max="10322" width="55" style="48" customWidth="1"/>
    <col min="10323" max="10358" width="0" style="48" hidden="1" customWidth="1"/>
    <col min="10359" max="10359" width="55.7109375" style="48" customWidth="1"/>
    <col min="10360" max="10360" width="142.42578125" style="48" customWidth="1"/>
    <col min="10361" max="10496" width="10.7109375" style="48"/>
    <col min="10497" max="10497" width="6.5703125" style="48" customWidth="1"/>
    <col min="10498" max="10498" width="125.42578125" style="48" customWidth="1"/>
    <col min="10499" max="10499" width="99.28515625" style="48" customWidth="1"/>
    <col min="10500" max="10500" width="34.7109375" style="48" customWidth="1"/>
    <col min="10501" max="10501" width="36.7109375" style="48" customWidth="1"/>
    <col min="10502" max="10502" width="69.5703125" style="48" customWidth="1"/>
    <col min="10503" max="10503" width="61.7109375" style="48" customWidth="1"/>
    <col min="10504" max="10504" width="69.7109375" style="48" customWidth="1"/>
    <col min="10505" max="10505" width="44.7109375" style="48" customWidth="1"/>
    <col min="10506" max="10506" width="65.7109375" style="48" customWidth="1"/>
    <col min="10507" max="10569" width="0" style="48" hidden="1" customWidth="1"/>
    <col min="10570" max="10577" width="30.7109375" style="48" customWidth="1"/>
    <col min="10578" max="10578" width="55" style="48" customWidth="1"/>
    <col min="10579" max="10614" width="0" style="48" hidden="1" customWidth="1"/>
    <col min="10615" max="10615" width="55.7109375" style="48" customWidth="1"/>
    <col min="10616" max="10616" width="142.42578125" style="48" customWidth="1"/>
    <col min="10617" max="10752" width="10.7109375" style="48"/>
    <col min="10753" max="10753" width="6.5703125" style="48" customWidth="1"/>
    <col min="10754" max="10754" width="125.42578125" style="48" customWidth="1"/>
    <col min="10755" max="10755" width="99.28515625" style="48" customWidth="1"/>
    <col min="10756" max="10756" width="34.7109375" style="48" customWidth="1"/>
    <col min="10757" max="10757" width="36.7109375" style="48" customWidth="1"/>
    <col min="10758" max="10758" width="69.5703125" style="48" customWidth="1"/>
    <col min="10759" max="10759" width="61.7109375" style="48" customWidth="1"/>
    <col min="10760" max="10760" width="69.7109375" style="48" customWidth="1"/>
    <col min="10761" max="10761" width="44.7109375" style="48" customWidth="1"/>
    <col min="10762" max="10762" width="65.7109375" style="48" customWidth="1"/>
    <col min="10763" max="10825" width="0" style="48" hidden="1" customWidth="1"/>
    <col min="10826" max="10833" width="30.7109375" style="48" customWidth="1"/>
    <col min="10834" max="10834" width="55" style="48" customWidth="1"/>
    <col min="10835" max="10870" width="0" style="48" hidden="1" customWidth="1"/>
    <col min="10871" max="10871" width="55.7109375" style="48" customWidth="1"/>
    <col min="10872" max="10872" width="142.42578125" style="48" customWidth="1"/>
    <col min="10873" max="11008" width="10.7109375" style="48"/>
    <col min="11009" max="11009" width="6.5703125" style="48" customWidth="1"/>
    <col min="11010" max="11010" width="125.42578125" style="48" customWidth="1"/>
    <col min="11011" max="11011" width="99.28515625" style="48" customWidth="1"/>
    <col min="11012" max="11012" width="34.7109375" style="48" customWidth="1"/>
    <col min="11013" max="11013" width="36.7109375" style="48" customWidth="1"/>
    <col min="11014" max="11014" width="69.5703125" style="48" customWidth="1"/>
    <col min="11015" max="11015" width="61.7109375" style="48" customWidth="1"/>
    <col min="11016" max="11016" width="69.7109375" style="48" customWidth="1"/>
    <col min="11017" max="11017" width="44.7109375" style="48" customWidth="1"/>
    <col min="11018" max="11018" width="65.7109375" style="48" customWidth="1"/>
    <col min="11019" max="11081" width="0" style="48" hidden="1" customWidth="1"/>
    <col min="11082" max="11089" width="30.7109375" style="48" customWidth="1"/>
    <col min="11090" max="11090" width="55" style="48" customWidth="1"/>
    <col min="11091" max="11126" width="0" style="48" hidden="1" customWidth="1"/>
    <col min="11127" max="11127" width="55.7109375" style="48" customWidth="1"/>
    <col min="11128" max="11128" width="142.42578125" style="48" customWidth="1"/>
    <col min="11129" max="11264" width="10.7109375" style="48"/>
    <col min="11265" max="11265" width="6.5703125" style="48" customWidth="1"/>
    <col min="11266" max="11266" width="125.42578125" style="48" customWidth="1"/>
    <col min="11267" max="11267" width="99.28515625" style="48" customWidth="1"/>
    <col min="11268" max="11268" width="34.7109375" style="48" customWidth="1"/>
    <col min="11269" max="11269" width="36.7109375" style="48" customWidth="1"/>
    <col min="11270" max="11270" width="69.5703125" style="48" customWidth="1"/>
    <col min="11271" max="11271" width="61.7109375" style="48" customWidth="1"/>
    <col min="11272" max="11272" width="69.7109375" style="48" customWidth="1"/>
    <col min="11273" max="11273" width="44.7109375" style="48" customWidth="1"/>
    <col min="11274" max="11274" width="65.7109375" style="48" customWidth="1"/>
    <col min="11275" max="11337" width="0" style="48" hidden="1" customWidth="1"/>
    <col min="11338" max="11345" width="30.7109375" style="48" customWidth="1"/>
    <col min="11346" max="11346" width="55" style="48" customWidth="1"/>
    <col min="11347" max="11382" width="0" style="48" hidden="1" customWidth="1"/>
    <col min="11383" max="11383" width="55.7109375" style="48" customWidth="1"/>
    <col min="11384" max="11384" width="142.42578125" style="48" customWidth="1"/>
    <col min="11385" max="11520" width="10.7109375" style="48"/>
    <col min="11521" max="11521" width="6.5703125" style="48" customWidth="1"/>
    <col min="11522" max="11522" width="125.42578125" style="48" customWidth="1"/>
    <col min="11523" max="11523" width="99.28515625" style="48" customWidth="1"/>
    <col min="11524" max="11524" width="34.7109375" style="48" customWidth="1"/>
    <col min="11525" max="11525" width="36.7109375" style="48" customWidth="1"/>
    <col min="11526" max="11526" width="69.5703125" style="48" customWidth="1"/>
    <col min="11527" max="11527" width="61.7109375" style="48" customWidth="1"/>
    <col min="11528" max="11528" width="69.7109375" style="48" customWidth="1"/>
    <col min="11529" max="11529" width="44.7109375" style="48" customWidth="1"/>
    <col min="11530" max="11530" width="65.7109375" style="48" customWidth="1"/>
    <col min="11531" max="11593" width="0" style="48" hidden="1" customWidth="1"/>
    <col min="11594" max="11601" width="30.7109375" style="48" customWidth="1"/>
    <col min="11602" max="11602" width="55" style="48" customWidth="1"/>
    <col min="11603" max="11638" width="0" style="48" hidden="1" customWidth="1"/>
    <col min="11639" max="11639" width="55.7109375" style="48" customWidth="1"/>
    <col min="11640" max="11640" width="142.42578125" style="48" customWidth="1"/>
    <col min="11641" max="11776" width="10.7109375" style="48"/>
    <col min="11777" max="11777" width="6.5703125" style="48" customWidth="1"/>
    <col min="11778" max="11778" width="125.42578125" style="48" customWidth="1"/>
    <col min="11779" max="11779" width="99.28515625" style="48" customWidth="1"/>
    <col min="11780" max="11780" width="34.7109375" style="48" customWidth="1"/>
    <col min="11781" max="11781" width="36.7109375" style="48" customWidth="1"/>
    <col min="11782" max="11782" width="69.5703125" style="48" customWidth="1"/>
    <col min="11783" max="11783" width="61.7109375" style="48" customWidth="1"/>
    <col min="11784" max="11784" width="69.7109375" style="48" customWidth="1"/>
    <col min="11785" max="11785" width="44.7109375" style="48" customWidth="1"/>
    <col min="11786" max="11786" width="65.7109375" style="48" customWidth="1"/>
    <col min="11787" max="11849" width="0" style="48" hidden="1" customWidth="1"/>
    <col min="11850" max="11857" width="30.7109375" style="48" customWidth="1"/>
    <col min="11858" max="11858" width="55" style="48" customWidth="1"/>
    <col min="11859" max="11894" width="0" style="48" hidden="1" customWidth="1"/>
    <col min="11895" max="11895" width="55.7109375" style="48" customWidth="1"/>
    <col min="11896" max="11896" width="142.42578125" style="48" customWidth="1"/>
    <col min="11897" max="12032" width="10.7109375" style="48"/>
    <col min="12033" max="12033" width="6.5703125" style="48" customWidth="1"/>
    <col min="12034" max="12034" width="125.42578125" style="48" customWidth="1"/>
    <col min="12035" max="12035" width="99.28515625" style="48" customWidth="1"/>
    <col min="12036" max="12036" width="34.7109375" style="48" customWidth="1"/>
    <col min="12037" max="12037" width="36.7109375" style="48" customWidth="1"/>
    <col min="12038" max="12038" width="69.5703125" style="48" customWidth="1"/>
    <col min="12039" max="12039" width="61.7109375" style="48" customWidth="1"/>
    <col min="12040" max="12040" width="69.7109375" style="48" customWidth="1"/>
    <col min="12041" max="12041" width="44.7109375" style="48" customWidth="1"/>
    <col min="12042" max="12042" width="65.7109375" style="48" customWidth="1"/>
    <col min="12043" max="12105" width="0" style="48" hidden="1" customWidth="1"/>
    <col min="12106" max="12113" width="30.7109375" style="48" customWidth="1"/>
    <col min="12114" max="12114" width="55" style="48" customWidth="1"/>
    <col min="12115" max="12150" width="0" style="48" hidden="1" customWidth="1"/>
    <col min="12151" max="12151" width="55.7109375" style="48" customWidth="1"/>
    <col min="12152" max="12152" width="142.42578125" style="48" customWidth="1"/>
    <col min="12153" max="12288" width="10.7109375" style="48"/>
    <col min="12289" max="12289" width="6.5703125" style="48" customWidth="1"/>
    <col min="12290" max="12290" width="125.42578125" style="48" customWidth="1"/>
    <col min="12291" max="12291" width="99.28515625" style="48" customWidth="1"/>
    <col min="12292" max="12292" width="34.7109375" style="48" customWidth="1"/>
    <col min="12293" max="12293" width="36.7109375" style="48" customWidth="1"/>
    <col min="12294" max="12294" width="69.5703125" style="48" customWidth="1"/>
    <col min="12295" max="12295" width="61.7109375" style="48" customWidth="1"/>
    <col min="12296" max="12296" width="69.7109375" style="48" customWidth="1"/>
    <col min="12297" max="12297" width="44.7109375" style="48" customWidth="1"/>
    <col min="12298" max="12298" width="65.7109375" style="48" customWidth="1"/>
    <col min="12299" max="12361" width="0" style="48" hidden="1" customWidth="1"/>
    <col min="12362" max="12369" width="30.7109375" style="48" customWidth="1"/>
    <col min="12370" max="12370" width="55" style="48" customWidth="1"/>
    <col min="12371" max="12406" width="0" style="48" hidden="1" customWidth="1"/>
    <col min="12407" max="12407" width="55.7109375" style="48" customWidth="1"/>
    <col min="12408" max="12408" width="142.42578125" style="48" customWidth="1"/>
    <col min="12409" max="12544" width="10.7109375" style="48"/>
    <col min="12545" max="12545" width="6.5703125" style="48" customWidth="1"/>
    <col min="12546" max="12546" width="125.42578125" style="48" customWidth="1"/>
    <col min="12547" max="12547" width="99.28515625" style="48" customWidth="1"/>
    <col min="12548" max="12548" width="34.7109375" style="48" customWidth="1"/>
    <col min="12549" max="12549" width="36.7109375" style="48" customWidth="1"/>
    <col min="12550" max="12550" width="69.5703125" style="48" customWidth="1"/>
    <col min="12551" max="12551" width="61.7109375" style="48" customWidth="1"/>
    <col min="12552" max="12552" width="69.7109375" style="48" customWidth="1"/>
    <col min="12553" max="12553" width="44.7109375" style="48" customWidth="1"/>
    <col min="12554" max="12554" width="65.7109375" style="48" customWidth="1"/>
    <col min="12555" max="12617" width="0" style="48" hidden="1" customWidth="1"/>
    <col min="12618" max="12625" width="30.7109375" style="48" customWidth="1"/>
    <col min="12626" max="12626" width="55" style="48" customWidth="1"/>
    <col min="12627" max="12662" width="0" style="48" hidden="1" customWidth="1"/>
    <col min="12663" max="12663" width="55.7109375" style="48" customWidth="1"/>
    <col min="12664" max="12664" width="142.42578125" style="48" customWidth="1"/>
    <col min="12665" max="12800" width="10.7109375" style="48"/>
    <col min="12801" max="12801" width="6.5703125" style="48" customWidth="1"/>
    <col min="12802" max="12802" width="125.42578125" style="48" customWidth="1"/>
    <col min="12803" max="12803" width="99.28515625" style="48" customWidth="1"/>
    <col min="12804" max="12804" width="34.7109375" style="48" customWidth="1"/>
    <col min="12805" max="12805" width="36.7109375" style="48" customWidth="1"/>
    <col min="12806" max="12806" width="69.5703125" style="48" customWidth="1"/>
    <col min="12807" max="12807" width="61.7109375" style="48" customWidth="1"/>
    <col min="12808" max="12808" width="69.7109375" style="48" customWidth="1"/>
    <col min="12809" max="12809" width="44.7109375" style="48" customWidth="1"/>
    <col min="12810" max="12810" width="65.7109375" style="48" customWidth="1"/>
    <col min="12811" max="12873" width="0" style="48" hidden="1" customWidth="1"/>
    <col min="12874" max="12881" width="30.7109375" style="48" customWidth="1"/>
    <col min="12882" max="12882" width="55" style="48" customWidth="1"/>
    <col min="12883" max="12918" width="0" style="48" hidden="1" customWidth="1"/>
    <col min="12919" max="12919" width="55.7109375" style="48" customWidth="1"/>
    <col min="12920" max="12920" width="142.42578125" style="48" customWidth="1"/>
    <col min="12921" max="13056" width="10.7109375" style="48"/>
    <col min="13057" max="13057" width="6.5703125" style="48" customWidth="1"/>
    <col min="13058" max="13058" width="125.42578125" style="48" customWidth="1"/>
    <col min="13059" max="13059" width="99.28515625" style="48" customWidth="1"/>
    <col min="13060" max="13060" width="34.7109375" style="48" customWidth="1"/>
    <col min="13061" max="13061" width="36.7109375" style="48" customWidth="1"/>
    <col min="13062" max="13062" width="69.5703125" style="48" customWidth="1"/>
    <col min="13063" max="13063" width="61.7109375" style="48" customWidth="1"/>
    <col min="13064" max="13064" width="69.7109375" style="48" customWidth="1"/>
    <col min="13065" max="13065" width="44.7109375" style="48" customWidth="1"/>
    <col min="13066" max="13066" width="65.7109375" style="48" customWidth="1"/>
    <col min="13067" max="13129" width="0" style="48" hidden="1" customWidth="1"/>
    <col min="13130" max="13137" width="30.7109375" style="48" customWidth="1"/>
    <col min="13138" max="13138" width="55" style="48" customWidth="1"/>
    <col min="13139" max="13174" width="0" style="48" hidden="1" customWidth="1"/>
    <col min="13175" max="13175" width="55.7109375" style="48" customWidth="1"/>
    <col min="13176" max="13176" width="142.42578125" style="48" customWidth="1"/>
    <col min="13177" max="13312" width="10.7109375" style="48"/>
    <col min="13313" max="13313" width="6.5703125" style="48" customWidth="1"/>
    <col min="13314" max="13314" width="125.42578125" style="48" customWidth="1"/>
    <col min="13315" max="13315" width="99.28515625" style="48" customWidth="1"/>
    <col min="13316" max="13316" width="34.7109375" style="48" customWidth="1"/>
    <col min="13317" max="13317" width="36.7109375" style="48" customWidth="1"/>
    <col min="13318" max="13318" width="69.5703125" style="48" customWidth="1"/>
    <col min="13319" max="13319" width="61.7109375" style="48" customWidth="1"/>
    <col min="13320" max="13320" width="69.7109375" style="48" customWidth="1"/>
    <col min="13321" max="13321" width="44.7109375" style="48" customWidth="1"/>
    <col min="13322" max="13322" width="65.7109375" style="48" customWidth="1"/>
    <col min="13323" max="13385" width="0" style="48" hidden="1" customWidth="1"/>
    <col min="13386" max="13393" width="30.7109375" style="48" customWidth="1"/>
    <col min="13394" max="13394" width="55" style="48" customWidth="1"/>
    <col min="13395" max="13430" width="0" style="48" hidden="1" customWidth="1"/>
    <col min="13431" max="13431" width="55.7109375" style="48" customWidth="1"/>
    <col min="13432" max="13432" width="142.42578125" style="48" customWidth="1"/>
    <col min="13433" max="13568" width="10.7109375" style="48"/>
    <col min="13569" max="13569" width="6.5703125" style="48" customWidth="1"/>
    <col min="13570" max="13570" width="125.42578125" style="48" customWidth="1"/>
    <col min="13571" max="13571" width="99.28515625" style="48" customWidth="1"/>
    <col min="13572" max="13572" width="34.7109375" style="48" customWidth="1"/>
    <col min="13573" max="13573" width="36.7109375" style="48" customWidth="1"/>
    <col min="13574" max="13574" width="69.5703125" style="48" customWidth="1"/>
    <col min="13575" max="13575" width="61.7109375" style="48" customWidth="1"/>
    <col min="13576" max="13576" width="69.7109375" style="48" customWidth="1"/>
    <col min="13577" max="13577" width="44.7109375" style="48" customWidth="1"/>
    <col min="13578" max="13578" width="65.7109375" style="48" customWidth="1"/>
    <col min="13579" max="13641" width="0" style="48" hidden="1" customWidth="1"/>
    <col min="13642" max="13649" width="30.7109375" style="48" customWidth="1"/>
    <col min="13650" max="13650" width="55" style="48" customWidth="1"/>
    <col min="13651" max="13686" width="0" style="48" hidden="1" customWidth="1"/>
    <col min="13687" max="13687" width="55.7109375" style="48" customWidth="1"/>
    <col min="13688" max="13688" width="142.42578125" style="48" customWidth="1"/>
    <col min="13689" max="13824" width="10.7109375" style="48"/>
    <col min="13825" max="13825" width="6.5703125" style="48" customWidth="1"/>
    <col min="13826" max="13826" width="125.42578125" style="48" customWidth="1"/>
    <col min="13827" max="13827" width="99.28515625" style="48" customWidth="1"/>
    <col min="13828" max="13828" width="34.7109375" style="48" customWidth="1"/>
    <col min="13829" max="13829" width="36.7109375" style="48" customWidth="1"/>
    <col min="13830" max="13830" width="69.5703125" style="48" customWidth="1"/>
    <col min="13831" max="13831" width="61.7109375" style="48" customWidth="1"/>
    <col min="13832" max="13832" width="69.7109375" style="48" customWidth="1"/>
    <col min="13833" max="13833" width="44.7109375" style="48" customWidth="1"/>
    <col min="13834" max="13834" width="65.7109375" style="48" customWidth="1"/>
    <col min="13835" max="13897" width="0" style="48" hidden="1" customWidth="1"/>
    <col min="13898" max="13905" width="30.7109375" style="48" customWidth="1"/>
    <col min="13906" max="13906" width="55" style="48" customWidth="1"/>
    <col min="13907" max="13942" width="0" style="48" hidden="1" customWidth="1"/>
    <col min="13943" max="13943" width="55.7109375" style="48" customWidth="1"/>
    <col min="13944" max="13944" width="142.42578125" style="48" customWidth="1"/>
    <col min="13945" max="14080" width="10.7109375" style="48"/>
    <col min="14081" max="14081" width="6.5703125" style="48" customWidth="1"/>
    <col min="14082" max="14082" width="125.42578125" style="48" customWidth="1"/>
    <col min="14083" max="14083" width="99.28515625" style="48" customWidth="1"/>
    <col min="14084" max="14084" width="34.7109375" style="48" customWidth="1"/>
    <col min="14085" max="14085" width="36.7109375" style="48" customWidth="1"/>
    <col min="14086" max="14086" width="69.5703125" style="48" customWidth="1"/>
    <col min="14087" max="14087" width="61.7109375" style="48" customWidth="1"/>
    <col min="14088" max="14088" width="69.7109375" style="48" customWidth="1"/>
    <col min="14089" max="14089" width="44.7109375" style="48" customWidth="1"/>
    <col min="14090" max="14090" width="65.7109375" style="48" customWidth="1"/>
    <col min="14091" max="14153" width="0" style="48" hidden="1" customWidth="1"/>
    <col min="14154" max="14161" width="30.7109375" style="48" customWidth="1"/>
    <col min="14162" max="14162" width="55" style="48" customWidth="1"/>
    <col min="14163" max="14198" width="0" style="48" hidden="1" customWidth="1"/>
    <col min="14199" max="14199" width="55.7109375" style="48" customWidth="1"/>
    <col min="14200" max="14200" width="142.42578125" style="48" customWidth="1"/>
    <col min="14201" max="14336" width="10.7109375" style="48"/>
    <col min="14337" max="14337" width="6.5703125" style="48" customWidth="1"/>
    <col min="14338" max="14338" width="125.42578125" style="48" customWidth="1"/>
    <col min="14339" max="14339" width="99.28515625" style="48" customWidth="1"/>
    <col min="14340" max="14340" width="34.7109375" style="48" customWidth="1"/>
    <col min="14341" max="14341" width="36.7109375" style="48" customWidth="1"/>
    <col min="14342" max="14342" width="69.5703125" style="48" customWidth="1"/>
    <col min="14343" max="14343" width="61.7109375" style="48" customWidth="1"/>
    <col min="14344" max="14344" width="69.7109375" style="48" customWidth="1"/>
    <col min="14345" max="14345" width="44.7109375" style="48" customWidth="1"/>
    <col min="14346" max="14346" width="65.7109375" style="48" customWidth="1"/>
    <col min="14347" max="14409" width="0" style="48" hidden="1" customWidth="1"/>
    <col min="14410" max="14417" width="30.7109375" style="48" customWidth="1"/>
    <col min="14418" max="14418" width="55" style="48" customWidth="1"/>
    <col min="14419" max="14454" width="0" style="48" hidden="1" customWidth="1"/>
    <col min="14455" max="14455" width="55.7109375" style="48" customWidth="1"/>
    <col min="14456" max="14456" width="142.42578125" style="48" customWidth="1"/>
    <col min="14457" max="14592" width="10.7109375" style="48"/>
    <col min="14593" max="14593" width="6.5703125" style="48" customWidth="1"/>
    <col min="14594" max="14594" width="125.42578125" style="48" customWidth="1"/>
    <col min="14595" max="14595" width="99.28515625" style="48" customWidth="1"/>
    <col min="14596" max="14596" width="34.7109375" style="48" customWidth="1"/>
    <col min="14597" max="14597" width="36.7109375" style="48" customWidth="1"/>
    <col min="14598" max="14598" width="69.5703125" style="48" customWidth="1"/>
    <col min="14599" max="14599" width="61.7109375" style="48" customWidth="1"/>
    <col min="14600" max="14600" width="69.7109375" style="48" customWidth="1"/>
    <col min="14601" max="14601" width="44.7109375" style="48" customWidth="1"/>
    <col min="14602" max="14602" width="65.7109375" style="48" customWidth="1"/>
    <col min="14603" max="14665" width="0" style="48" hidden="1" customWidth="1"/>
    <col min="14666" max="14673" width="30.7109375" style="48" customWidth="1"/>
    <col min="14674" max="14674" width="55" style="48" customWidth="1"/>
    <col min="14675" max="14710" width="0" style="48" hidden="1" customWidth="1"/>
    <col min="14711" max="14711" width="55.7109375" style="48" customWidth="1"/>
    <col min="14712" max="14712" width="142.42578125" style="48" customWidth="1"/>
    <col min="14713" max="14848" width="10.7109375" style="48"/>
    <col min="14849" max="14849" width="6.5703125" style="48" customWidth="1"/>
    <col min="14850" max="14850" width="125.42578125" style="48" customWidth="1"/>
    <col min="14851" max="14851" width="99.28515625" style="48" customWidth="1"/>
    <col min="14852" max="14852" width="34.7109375" style="48" customWidth="1"/>
    <col min="14853" max="14853" width="36.7109375" style="48" customWidth="1"/>
    <col min="14854" max="14854" width="69.5703125" style="48" customWidth="1"/>
    <col min="14855" max="14855" width="61.7109375" style="48" customWidth="1"/>
    <col min="14856" max="14856" width="69.7109375" style="48" customWidth="1"/>
    <col min="14857" max="14857" width="44.7109375" style="48" customWidth="1"/>
    <col min="14858" max="14858" width="65.7109375" style="48" customWidth="1"/>
    <col min="14859" max="14921" width="0" style="48" hidden="1" customWidth="1"/>
    <col min="14922" max="14929" width="30.7109375" style="48" customWidth="1"/>
    <col min="14930" max="14930" width="55" style="48" customWidth="1"/>
    <col min="14931" max="14966" width="0" style="48" hidden="1" customWidth="1"/>
    <col min="14967" max="14967" width="55.7109375" style="48" customWidth="1"/>
    <col min="14968" max="14968" width="142.42578125" style="48" customWidth="1"/>
    <col min="14969" max="15104" width="10.7109375" style="48"/>
    <col min="15105" max="15105" width="6.5703125" style="48" customWidth="1"/>
    <col min="15106" max="15106" width="125.42578125" style="48" customWidth="1"/>
    <col min="15107" max="15107" width="99.28515625" style="48" customWidth="1"/>
    <col min="15108" max="15108" width="34.7109375" style="48" customWidth="1"/>
    <col min="15109" max="15109" width="36.7109375" style="48" customWidth="1"/>
    <col min="15110" max="15110" width="69.5703125" style="48" customWidth="1"/>
    <col min="15111" max="15111" width="61.7109375" style="48" customWidth="1"/>
    <col min="15112" max="15112" width="69.7109375" style="48" customWidth="1"/>
    <col min="15113" max="15113" width="44.7109375" style="48" customWidth="1"/>
    <col min="15114" max="15114" width="65.7109375" style="48" customWidth="1"/>
    <col min="15115" max="15177" width="0" style="48" hidden="1" customWidth="1"/>
    <col min="15178" max="15185" width="30.7109375" style="48" customWidth="1"/>
    <col min="15186" max="15186" width="55" style="48" customWidth="1"/>
    <col min="15187" max="15222" width="0" style="48" hidden="1" customWidth="1"/>
    <col min="15223" max="15223" width="55.7109375" style="48" customWidth="1"/>
    <col min="15224" max="15224" width="142.42578125" style="48" customWidth="1"/>
    <col min="15225" max="15360" width="10.7109375" style="48"/>
    <col min="15361" max="15361" width="6.5703125" style="48" customWidth="1"/>
    <col min="15362" max="15362" width="125.42578125" style="48" customWidth="1"/>
    <col min="15363" max="15363" width="99.28515625" style="48" customWidth="1"/>
    <col min="15364" max="15364" width="34.7109375" style="48" customWidth="1"/>
    <col min="15365" max="15365" width="36.7109375" style="48" customWidth="1"/>
    <col min="15366" max="15366" width="69.5703125" style="48" customWidth="1"/>
    <col min="15367" max="15367" width="61.7109375" style="48" customWidth="1"/>
    <col min="15368" max="15368" width="69.7109375" style="48" customWidth="1"/>
    <col min="15369" max="15369" width="44.7109375" style="48" customWidth="1"/>
    <col min="15370" max="15370" width="65.7109375" style="48" customWidth="1"/>
    <col min="15371" max="15433" width="0" style="48" hidden="1" customWidth="1"/>
    <col min="15434" max="15441" width="30.7109375" style="48" customWidth="1"/>
    <col min="15442" max="15442" width="55" style="48" customWidth="1"/>
    <col min="15443" max="15478" width="0" style="48" hidden="1" customWidth="1"/>
    <col min="15479" max="15479" width="55.7109375" style="48" customWidth="1"/>
    <col min="15480" max="15480" width="142.42578125" style="48" customWidth="1"/>
    <col min="15481" max="15616" width="10.7109375" style="48"/>
    <col min="15617" max="15617" width="6.5703125" style="48" customWidth="1"/>
    <col min="15618" max="15618" width="125.42578125" style="48" customWidth="1"/>
    <col min="15619" max="15619" width="99.28515625" style="48" customWidth="1"/>
    <col min="15620" max="15620" width="34.7109375" style="48" customWidth="1"/>
    <col min="15621" max="15621" width="36.7109375" style="48" customWidth="1"/>
    <col min="15622" max="15622" width="69.5703125" style="48" customWidth="1"/>
    <col min="15623" max="15623" width="61.7109375" style="48" customWidth="1"/>
    <col min="15624" max="15624" width="69.7109375" style="48" customWidth="1"/>
    <col min="15625" max="15625" width="44.7109375" style="48" customWidth="1"/>
    <col min="15626" max="15626" width="65.7109375" style="48" customWidth="1"/>
    <col min="15627" max="15689" width="0" style="48" hidden="1" customWidth="1"/>
    <col min="15690" max="15697" width="30.7109375" style="48" customWidth="1"/>
    <col min="15698" max="15698" width="55" style="48" customWidth="1"/>
    <col min="15699" max="15734" width="0" style="48" hidden="1" customWidth="1"/>
    <col min="15735" max="15735" width="55.7109375" style="48" customWidth="1"/>
    <col min="15736" max="15736" width="142.42578125" style="48" customWidth="1"/>
    <col min="15737" max="15872" width="10.7109375" style="48"/>
    <col min="15873" max="15873" width="6.5703125" style="48" customWidth="1"/>
    <col min="15874" max="15874" width="125.42578125" style="48" customWidth="1"/>
    <col min="15875" max="15875" width="99.28515625" style="48" customWidth="1"/>
    <col min="15876" max="15876" width="34.7109375" style="48" customWidth="1"/>
    <col min="15877" max="15877" width="36.7109375" style="48" customWidth="1"/>
    <col min="15878" max="15878" width="69.5703125" style="48" customWidth="1"/>
    <col min="15879" max="15879" width="61.7109375" style="48" customWidth="1"/>
    <col min="15880" max="15880" width="69.7109375" style="48" customWidth="1"/>
    <col min="15881" max="15881" width="44.7109375" style="48" customWidth="1"/>
    <col min="15882" max="15882" width="65.7109375" style="48" customWidth="1"/>
    <col min="15883" max="15945" width="0" style="48" hidden="1" customWidth="1"/>
    <col min="15946" max="15953" width="30.7109375" style="48" customWidth="1"/>
    <col min="15954" max="15954" width="55" style="48" customWidth="1"/>
    <col min="15955" max="15990" width="0" style="48" hidden="1" customWidth="1"/>
    <col min="15991" max="15991" width="55.7109375" style="48" customWidth="1"/>
    <col min="15992" max="15992" width="142.42578125" style="48" customWidth="1"/>
    <col min="15993" max="16128" width="10.7109375" style="48"/>
    <col min="16129" max="16129" width="6.5703125" style="48" customWidth="1"/>
    <col min="16130" max="16130" width="125.42578125" style="48" customWidth="1"/>
    <col min="16131" max="16131" width="99.28515625" style="48" customWidth="1"/>
    <col min="16132" max="16132" width="34.7109375" style="48" customWidth="1"/>
    <col min="16133" max="16133" width="36.7109375" style="48" customWidth="1"/>
    <col min="16134" max="16134" width="69.5703125" style="48" customWidth="1"/>
    <col min="16135" max="16135" width="61.7109375" style="48" customWidth="1"/>
    <col min="16136" max="16136" width="69.7109375" style="48" customWidth="1"/>
    <col min="16137" max="16137" width="44.7109375" style="48" customWidth="1"/>
    <col min="16138" max="16138" width="65.7109375" style="48" customWidth="1"/>
    <col min="16139" max="16201" width="0" style="48" hidden="1" customWidth="1"/>
    <col min="16202" max="16209" width="30.7109375" style="48" customWidth="1"/>
    <col min="16210" max="16210" width="55" style="48" customWidth="1"/>
    <col min="16211" max="16246" width="0" style="48" hidden="1" customWidth="1"/>
    <col min="16247" max="16247" width="55.7109375" style="48" customWidth="1"/>
    <col min="16248" max="16248" width="142.42578125" style="48" customWidth="1"/>
    <col min="16249" max="16384" width="10.7109375" style="48"/>
  </cols>
  <sheetData>
    <row r="2" spans="2:120">
      <c r="B2" s="482" t="s">
        <v>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</row>
    <row r="3" spans="2:120" ht="115.5" customHeight="1"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482"/>
      <c r="BI3" s="482"/>
      <c r="BJ3" s="482"/>
      <c r="BK3" s="482"/>
      <c r="BL3" s="482"/>
      <c r="BM3" s="482"/>
      <c r="BN3" s="482"/>
      <c r="BO3" s="482"/>
      <c r="BP3" s="482"/>
      <c r="BQ3" s="482"/>
      <c r="BR3" s="482"/>
      <c r="BS3" s="482"/>
      <c r="BT3" s="482"/>
      <c r="BU3" s="482"/>
      <c r="BV3" s="482"/>
      <c r="BW3" s="482"/>
      <c r="BX3" s="482"/>
      <c r="BY3" s="482"/>
      <c r="BZ3" s="482"/>
      <c r="CA3" s="482"/>
      <c r="CB3" s="482"/>
      <c r="CC3" s="482"/>
      <c r="CD3" s="482"/>
      <c r="CE3" s="482"/>
      <c r="CF3" s="482"/>
      <c r="CG3" s="482"/>
      <c r="CH3" s="482"/>
      <c r="CI3" s="482"/>
      <c r="CJ3" s="482"/>
      <c r="CK3" s="482"/>
      <c r="CL3" s="482"/>
      <c r="CM3" s="482"/>
      <c r="CN3" s="482"/>
      <c r="CO3" s="482"/>
      <c r="CP3" s="482"/>
      <c r="CQ3" s="482"/>
      <c r="CR3" s="482"/>
      <c r="CS3" s="482"/>
      <c r="CT3" s="482"/>
      <c r="CU3" s="482"/>
      <c r="CV3" s="482"/>
      <c r="CW3" s="482"/>
      <c r="CX3" s="482"/>
      <c r="CY3" s="482"/>
      <c r="CZ3" s="482"/>
      <c r="DA3" s="482"/>
      <c r="DB3" s="482"/>
      <c r="DC3" s="482"/>
      <c r="DD3" s="482"/>
      <c r="DE3" s="482"/>
      <c r="DF3" s="482"/>
      <c r="DG3" s="482"/>
      <c r="DH3" s="482"/>
      <c r="DI3" s="482"/>
      <c r="DJ3" s="482"/>
      <c r="DK3" s="482"/>
      <c r="DL3" s="482"/>
      <c r="DM3" s="482"/>
      <c r="DN3" s="482"/>
      <c r="DO3" s="482"/>
      <c r="DP3" s="482"/>
    </row>
    <row r="4" spans="2:120" ht="127.5" customHeight="1">
      <c r="B4" s="483" t="s">
        <v>95</v>
      </c>
      <c r="C4" s="483"/>
      <c r="D4" s="483"/>
      <c r="E4" s="483"/>
      <c r="F4" s="2"/>
    </row>
    <row r="5" spans="2:120" ht="70.150000000000006" customHeight="1">
      <c r="B5" s="484" t="s">
        <v>30</v>
      </c>
      <c r="C5" s="484"/>
      <c r="D5" s="484"/>
      <c r="E5" s="484"/>
      <c r="F5" s="5"/>
      <c r="G5" s="485" t="s">
        <v>23</v>
      </c>
      <c r="H5" s="52" t="s">
        <v>24</v>
      </c>
      <c r="J5" s="53"/>
      <c r="K5" s="54"/>
      <c r="L5" s="54"/>
      <c r="P5" s="55"/>
      <c r="Q5" s="55"/>
      <c r="R5" s="55"/>
      <c r="S5" s="55"/>
      <c r="T5" s="56"/>
      <c r="U5" s="56"/>
    </row>
    <row r="6" spans="2:120" ht="157.5" customHeight="1">
      <c r="B6" s="488" t="s">
        <v>22</v>
      </c>
      <c r="C6" s="488"/>
      <c r="D6" s="488"/>
      <c r="E6" s="488"/>
      <c r="F6" s="2"/>
      <c r="G6" s="486"/>
      <c r="H6" s="57" t="s">
        <v>26</v>
      </c>
      <c r="J6" s="58"/>
      <c r="K6" s="59"/>
      <c r="L6" s="59"/>
      <c r="P6" s="55"/>
      <c r="Q6" s="55"/>
      <c r="R6" s="55"/>
      <c r="S6" s="55"/>
      <c r="T6" s="60"/>
      <c r="U6" s="60"/>
    </row>
    <row r="7" spans="2:120" ht="77.25" customHeight="1">
      <c r="B7" s="264" t="s">
        <v>31</v>
      </c>
      <c r="C7" s="264"/>
      <c r="D7" s="264"/>
      <c r="E7" s="264"/>
      <c r="F7" s="5"/>
      <c r="G7" s="486"/>
      <c r="H7" s="61" t="s">
        <v>25</v>
      </c>
      <c r="P7" s="55"/>
      <c r="Q7" s="55"/>
      <c r="R7" s="55"/>
      <c r="S7" s="55"/>
      <c r="T7" s="56"/>
      <c r="U7" s="56"/>
    </row>
    <row r="8" spans="2:120" ht="77.650000000000006" customHeight="1">
      <c r="B8" s="488" t="s">
        <v>32</v>
      </c>
      <c r="C8" s="488"/>
      <c r="D8" s="488"/>
      <c r="E8" s="488"/>
      <c r="F8" s="2"/>
      <c r="G8" s="487"/>
      <c r="H8" s="62" t="s">
        <v>27</v>
      </c>
      <c r="P8" s="55"/>
      <c r="Q8" s="55"/>
      <c r="R8" s="55"/>
      <c r="S8" s="55"/>
      <c r="T8" s="56"/>
      <c r="U8" s="56"/>
    </row>
    <row r="9" spans="2:120" ht="103.5" customHeight="1">
      <c r="B9" s="264" t="s">
        <v>33</v>
      </c>
      <c r="C9" s="264"/>
      <c r="D9" s="264"/>
      <c r="E9" s="264"/>
      <c r="F9" s="5"/>
      <c r="K9" s="489" t="s">
        <v>96</v>
      </c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89"/>
      <c r="BR9" s="489"/>
      <c r="BS9" s="489"/>
      <c r="BT9" s="489"/>
      <c r="BU9" s="489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  <c r="CP9" s="489"/>
      <c r="CQ9" s="489"/>
      <c r="CR9" s="489"/>
      <c r="CS9" s="489"/>
      <c r="CT9" s="489"/>
      <c r="CU9" s="489"/>
      <c r="CV9" s="489"/>
      <c r="CW9" s="489"/>
      <c r="CX9" s="489"/>
      <c r="CY9" s="489"/>
      <c r="CZ9" s="489"/>
      <c r="DA9" s="489"/>
      <c r="DB9" s="489"/>
      <c r="DC9" s="489"/>
      <c r="DD9" s="489"/>
      <c r="DE9" s="489"/>
      <c r="DF9" s="489"/>
      <c r="DG9" s="489"/>
      <c r="DH9" s="489"/>
      <c r="DI9" s="489"/>
      <c r="DJ9" s="489"/>
      <c r="DK9" s="489"/>
      <c r="DL9" s="489"/>
      <c r="DM9" s="489"/>
      <c r="DN9" s="489"/>
      <c r="DO9" s="489"/>
      <c r="DP9" s="489"/>
    </row>
    <row r="10" spans="2:120" ht="90" customHeight="1">
      <c r="B10" s="326" t="s">
        <v>35</v>
      </c>
      <c r="C10" s="326" t="s">
        <v>36</v>
      </c>
      <c r="D10" s="328" t="s">
        <v>37</v>
      </c>
      <c r="E10" s="329"/>
      <c r="F10" s="326" t="s">
        <v>38</v>
      </c>
      <c r="G10" s="326" t="s">
        <v>39</v>
      </c>
      <c r="H10" s="334" t="s">
        <v>40</v>
      </c>
      <c r="I10" s="335"/>
      <c r="J10" s="326" t="s">
        <v>58</v>
      </c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0"/>
      <c r="AM10" s="490"/>
      <c r="AN10" s="490"/>
      <c r="AO10" s="490"/>
      <c r="AP10" s="490"/>
      <c r="AQ10" s="490"/>
      <c r="AR10" s="490"/>
      <c r="AS10" s="490"/>
      <c r="AT10" s="490"/>
      <c r="AU10" s="490"/>
      <c r="AV10" s="490"/>
      <c r="AW10" s="490"/>
      <c r="AX10" s="490"/>
      <c r="AY10" s="490"/>
      <c r="AZ10" s="490"/>
      <c r="BA10" s="490"/>
      <c r="BB10" s="490"/>
      <c r="BC10" s="490"/>
      <c r="BD10" s="490"/>
      <c r="BE10" s="490"/>
      <c r="BF10" s="490"/>
      <c r="BG10" s="490"/>
      <c r="BH10" s="490"/>
      <c r="BI10" s="490"/>
      <c r="BJ10" s="490"/>
      <c r="BK10" s="490"/>
      <c r="BL10" s="490"/>
      <c r="BM10" s="490"/>
      <c r="BN10" s="490"/>
      <c r="BO10" s="490"/>
      <c r="BP10" s="490"/>
      <c r="BQ10" s="490"/>
      <c r="BR10" s="490"/>
      <c r="BS10" s="490"/>
      <c r="BT10" s="490"/>
      <c r="BU10" s="490"/>
      <c r="BV10" s="490"/>
      <c r="BW10" s="490"/>
      <c r="BX10" s="490"/>
      <c r="BY10" s="490"/>
      <c r="BZ10" s="490"/>
      <c r="CA10" s="490"/>
      <c r="CB10" s="490"/>
      <c r="CC10" s="490"/>
      <c r="CD10" s="490"/>
      <c r="CE10" s="490"/>
      <c r="CF10" s="490"/>
      <c r="CG10" s="490"/>
      <c r="CH10" s="490"/>
      <c r="CI10" s="490"/>
      <c r="CJ10" s="490"/>
      <c r="CK10" s="490"/>
      <c r="CL10" s="490"/>
      <c r="CM10" s="490"/>
      <c r="CN10" s="490"/>
      <c r="CO10" s="490"/>
      <c r="CP10" s="490"/>
      <c r="CQ10" s="490"/>
      <c r="CR10" s="490"/>
      <c r="CS10" s="490"/>
      <c r="CT10" s="490"/>
      <c r="CU10" s="490"/>
      <c r="CV10" s="490"/>
      <c r="CW10" s="490"/>
      <c r="CX10" s="490"/>
      <c r="CY10" s="490"/>
      <c r="CZ10" s="490"/>
      <c r="DA10" s="490"/>
      <c r="DB10" s="490"/>
      <c r="DC10" s="490"/>
      <c r="DD10" s="490"/>
      <c r="DE10" s="490"/>
      <c r="DF10" s="490"/>
      <c r="DG10" s="490"/>
      <c r="DH10" s="490"/>
      <c r="DI10" s="490"/>
      <c r="DJ10" s="490"/>
      <c r="DK10" s="490"/>
      <c r="DL10" s="490"/>
      <c r="DM10" s="490"/>
      <c r="DN10" s="490"/>
      <c r="DO10" s="490"/>
      <c r="DP10" s="490"/>
    </row>
    <row r="11" spans="2:120" ht="25.15" customHeight="1">
      <c r="B11" s="327"/>
      <c r="C11" s="327"/>
      <c r="D11" s="330"/>
      <c r="E11" s="331"/>
      <c r="F11" s="327"/>
      <c r="G11" s="327"/>
      <c r="H11" s="326" t="s">
        <v>97</v>
      </c>
      <c r="I11" s="326" t="s">
        <v>98</v>
      </c>
      <c r="J11" s="327"/>
      <c r="K11" s="494" t="s">
        <v>44</v>
      </c>
      <c r="L11" s="495"/>
      <c r="M11" s="495"/>
      <c r="N11" s="495"/>
      <c r="O11" s="495"/>
      <c r="P11" s="495"/>
      <c r="Q11" s="495"/>
      <c r="R11" s="495"/>
      <c r="S11" s="496"/>
      <c r="T11" s="337" t="s">
        <v>45</v>
      </c>
      <c r="U11" s="338"/>
      <c r="V11" s="338"/>
      <c r="W11" s="338"/>
      <c r="X11" s="338"/>
      <c r="Y11" s="338"/>
      <c r="Z11" s="338"/>
      <c r="AA11" s="338"/>
      <c r="AB11" s="339"/>
      <c r="AC11" s="337" t="s">
        <v>46</v>
      </c>
      <c r="AD11" s="338"/>
      <c r="AE11" s="338"/>
      <c r="AF11" s="338"/>
      <c r="AG11" s="338"/>
      <c r="AH11" s="338"/>
      <c r="AI11" s="338"/>
      <c r="AJ11" s="338"/>
      <c r="AK11" s="339"/>
      <c r="AL11" s="337" t="s">
        <v>47</v>
      </c>
      <c r="AM11" s="338"/>
      <c r="AN11" s="338"/>
      <c r="AO11" s="338"/>
      <c r="AP11" s="338"/>
      <c r="AQ11" s="338"/>
      <c r="AR11" s="338"/>
      <c r="AS11" s="338"/>
      <c r="AT11" s="339"/>
      <c r="AU11" s="337" t="s">
        <v>48</v>
      </c>
      <c r="AV11" s="338"/>
      <c r="AW11" s="338"/>
      <c r="AX11" s="338"/>
      <c r="AY11" s="338"/>
      <c r="AZ11" s="338"/>
      <c r="BA11" s="338"/>
      <c r="BB11" s="338"/>
      <c r="BC11" s="339"/>
      <c r="BD11" s="337" t="s">
        <v>49</v>
      </c>
      <c r="BE11" s="338"/>
      <c r="BF11" s="338"/>
      <c r="BG11" s="338"/>
      <c r="BH11" s="338"/>
      <c r="BI11" s="338"/>
      <c r="BJ11" s="338"/>
      <c r="BK11" s="338"/>
      <c r="BL11" s="339"/>
      <c r="BM11" s="337" t="s">
        <v>50</v>
      </c>
      <c r="BN11" s="338"/>
      <c r="BO11" s="338"/>
      <c r="BP11" s="338"/>
      <c r="BQ11" s="338"/>
      <c r="BR11" s="338"/>
      <c r="BS11" s="338"/>
      <c r="BT11" s="338"/>
      <c r="BU11" s="339"/>
      <c r="BV11" s="337" t="s">
        <v>51</v>
      </c>
      <c r="BW11" s="338"/>
      <c r="BX11" s="338"/>
      <c r="BY11" s="338"/>
      <c r="BZ11" s="338"/>
      <c r="CA11" s="338"/>
      <c r="CB11" s="338"/>
      <c r="CC11" s="338"/>
      <c r="CD11" s="339"/>
      <c r="CE11" s="337" t="s">
        <v>52</v>
      </c>
      <c r="CF11" s="338"/>
      <c r="CG11" s="338"/>
      <c r="CH11" s="338"/>
      <c r="CI11" s="338"/>
      <c r="CJ11" s="338"/>
      <c r="CK11" s="338"/>
      <c r="CL11" s="338"/>
      <c r="CM11" s="339"/>
      <c r="CN11" s="337" t="s">
        <v>53</v>
      </c>
      <c r="CO11" s="338"/>
      <c r="CP11" s="338"/>
      <c r="CQ11" s="338"/>
      <c r="CR11" s="338"/>
      <c r="CS11" s="338"/>
      <c r="CT11" s="338"/>
      <c r="CU11" s="338"/>
      <c r="CV11" s="339"/>
      <c r="CW11" s="337" t="s">
        <v>54</v>
      </c>
      <c r="CX11" s="338"/>
      <c r="CY11" s="338"/>
      <c r="CZ11" s="338"/>
      <c r="DA11" s="338"/>
      <c r="DB11" s="338"/>
      <c r="DC11" s="338"/>
      <c r="DD11" s="338"/>
      <c r="DE11" s="339"/>
      <c r="DF11" s="337" t="s">
        <v>55</v>
      </c>
      <c r="DG11" s="338"/>
      <c r="DH11" s="338"/>
      <c r="DI11" s="338"/>
      <c r="DJ11" s="338"/>
      <c r="DK11" s="338"/>
      <c r="DL11" s="338"/>
      <c r="DM11" s="338"/>
      <c r="DN11" s="339"/>
      <c r="DO11" s="444" t="s">
        <v>56</v>
      </c>
      <c r="DP11" s="366" t="s">
        <v>57</v>
      </c>
    </row>
    <row r="12" spans="2:120" ht="48" customHeight="1">
      <c r="B12" s="327"/>
      <c r="C12" s="327"/>
      <c r="D12" s="330"/>
      <c r="E12" s="331"/>
      <c r="F12" s="327"/>
      <c r="G12" s="327"/>
      <c r="H12" s="327"/>
      <c r="I12" s="327"/>
      <c r="J12" s="336"/>
      <c r="K12" s="497"/>
      <c r="L12" s="498"/>
      <c r="M12" s="498"/>
      <c r="N12" s="498"/>
      <c r="O12" s="498"/>
      <c r="P12" s="498"/>
      <c r="Q12" s="498"/>
      <c r="R12" s="498"/>
      <c r="S12" s="499"/>
      <c r="T12" s="340"/>
      <c r="U12" s="341"/>
      <c r="V12" s="341"/>
      <c r="W12" s="341"/>
      <c r="X12" s="341"/>
      <c r="Y12" s="341"/>
      <c r="Z12" s="341"/>
      <c r="AA12" s="341"/>
      <c r="AB12" s="342"/>
      <c r="AC12" s="340"/>
      <c r="AD12" s="341"/>
      <c r="AE12" s="341"/>
      <c r="AF12" s="341"/>
      <c r="AG12" s="341"/>
      <c r="AH12" s="341"/>
      <c r="AI12" s="341"/>
      <c r="AJ12" s="341"/>
      <c r="AK12" s="342"/>
      <c r="AL12" s="340"/>
      <c r="AM12" s="341"/>
      <c r="AN12" s="341"/>
      <c r="AO12" s="341"/>
      <c r="AP12" s="341"/>
      <c r="AQ12" s="341"/>
      <c r="AR12" s="341"/>
      <c r="AS12" s="341"/>
      <c r="AT12" s="342"/>
      <c r="AU12" s="340"/>
      <c r="AV12" s="341"/>
      <c r="AW12" s="341"/>
      <c r="AX12" s="341"/>
      <c r="AY12" s="341"/>
      <c r="AZ12" s="341"/>
      <c r="BA12" s="341"/>
      <c r="BB12" s="341"/>
      <c r="BC12" s="342"/>
      <c r="BD12" s="340"/>
      <c r="BE12" s="341"/>
      <c r="BF12" s="341"/>
      <c r="BG12" s="341"/>
      <c r="BH12" s="341"/>
      <c r="BI12" s="341"/>
      <c r="BJ12" s="341"/>
      <c r="BK12" s="341"/>
      <c r="BL12" s="342"/>
      <c r="BM12" s="340"/>
      <c r="BN12" s="341"/>
      <c r="BO12" s="341"/>
      <c r="BP12" s="341"/>
      <c r="BQ12" s="341"/>
      <c r="BR12" s="341"/>
      <c r="BS12" s="341"/>
      <c r="BT12" s="341"/>
      <c r="BU12" s="342"/>
      <c r="BV12" s="340"/>
      <c r="BW12" s="341"/>
      <c r="BX12" s="341"/>
      <c r="BY12" s="341"/>
      <c r="BZ12" s="341"/>
      <c r="CA12" s="341"/>
      <c r="CB12" s="341"/>
      <c r="CC12" s="341"/>
      <c r="CD12" s="342"/>
      <c r="CE12" s="340"/>
      <c r="CF12" s="341"/>
      <c r="CG12" s="341"/>
      <c r="CH12" s="341"/>
      <c r="CI12" s="341"/>
      <c r="CJ12" s="341"/>
      <c r="CK12" s="341"/>
      <c r="CL12" s="341"/>
      <c r="CM12" s="342"/>
      <c r="CN12" s="340"/>
      <c r="CO12" s="341"/>
      <c r="CP12" s="341"/>
      <c r="CQ12" s="341"/>
      <c r="CR12" s="341"/>
      <c r="CS12" s="341"/>
      <c r="CT12" s="341"/>
      <c r="CU12" s="341"/>
      <c r="CV12" s="342"/>
      <c r="CW12" s="340"/>
      <c r="CX12" s="341"/>
      <c r="CY12" s="341"/>
      <c r="CZ12" s="341"/>
      <c r="DA12" s="341"/>
      <c r="DB12" s="341"/>
      <c r="DC12" s="341"/>
      <c r="DD12" s="341"/>
      <c r="DE12" s="342"/>
      <c r="DF12" s="340"/>
      <c r="DG12" s="341"/>
      <c r="DH12" s="341"/>
      <c r="DI12" s="341"/>
      <c r="DJ12" s="341"/>
      <c r="DK12" s="341"/>
      <c r="DL12" s="341"/>
      <c r="DM12" s="341"/>
      <c r="DN12" s="342"/>
      <c r="DO12" s="367"/>
      <c r="DP12" s="367"/>
    </row>
    <row r="13" spans="2:120" ht="78" customHeight="1">
      <c r="B13" s="327"/>
      <c r="C13" s="327"/>
      <c r="D13" s="330"/>
      <c r="E13" s="331"/>
      <c r="F13" s="327"/>
      <c r="G13" s="327"/>
      <c r="H13" s="327"/>
      <c r="I13" s="327"/>
      <c r="J13" s="366" t="s">
        <v>41</v>
      </c>
      <c r="K13" s="500"/>
      <c r="L13" s="501"/>
      <c r="M13" s="501"/>
      <c r="N13" s="501"/>
      <c r="O13" s="501"/>
      <c r="P13" s="501"/>
      <c r="Q13" s="501"/>
      <c r="R13" s="501"/>
      <c r="S13" s="502"/>
      <c r="T13" s="343"/>
      <c r="U13" s="344"/>
      <c r="V13" s="344"/>
      <c r="W13" s="344"/>
      <c r="X13" s="344"/>
      <c r="Y13" s="344"/>
      <c r="Z13" s="344"/>
      <c r="AA13" s="344"/>
      <c r="AB13" s="345"/>
      <c r="AC13" s="343"/>
      <c r="AD13" s="344"/>
      <c r="AE13" s="344"/>
      <c r="AF13" s="344"/>
      <c r="AG13" s="344"/>
      <c r="AH13" s="344"/>
      <c r="AI13" s="344"/>
      <c r="AJ13" s="344"/>
      <c r="AK13" s="345"/>
      <c r="AL13" s="343"/>
      <c r="AM13" s="344"/>
      <c r="AN13" s="344"/>
      <c r="AO13" s="344"/>
      <c r="AP13" s="344"/>
      <c r="AQ13" s="344"/>
      <c r="AR13" s="344"/>
      <c r="AS13" s="344"/>
      <c r="AT13" s="345"/>
      <c r="AU13" s="343"/>
      <c r="AV13" s="344"/>
      <c r="AW13" s="344"/>
      <c r="AX13" s="344"/>
      <c r="AY13" s="344"/>
      <c r="AZ13" s="344"/>
      <c r="BA13" s="344"/>
      <c r="BB13" s="344"/>
      <c r="BC13" s="345"/>
      <c r="BD13" s="343"/>
      <c r="BE13" s="344"/>
      <c r="BF13" s="344"/>
      <c r="BG13" s="344"/>
      <c r="BH13" s="344"/>
      <c r="BI13" s="344"/>
      <c r="BJ13" s="344"/>
      <c r="BK13" s="344"/>
      <c r="BL13" s="345"/>
      <c r="BM13" s="343"/>
      <c r="BN13" s="344"/>
      <c r="BO13" s="344"/>
      <c r="BP13" s="344"/>
      <c r="BQ13" s="344"/>
      <c r="BR13" s="344"/>
      <c r="BS13" s="344"/>
      <c r="BT13" s="344"/>
      <c r="BU13" s="345"/>
      <c r="BV13" s="343"/>
      <c r="BW13" s="344"/>
      <c r="BX13" s="344"/>
      <c r="BY13" s="344"/>
      <c r="BZ13" s="344"/>
      <c r="CA13" s="344"/>
      <c r="CB13" s="344"/>
      <c r="CC13" s="344"/>
      <c r="CD13" s="345"/>
      <c r="CE13" s="343"/>
      <c r="CF13" s="344"/>
      <c r="CG13" s="344"/>
      <c r="CH13" s="344"/>
      <c r="CI13" s="344"/>
      <c r="CJ13" s="344"/>
      <c r="CK13" s="344"/>
      <c r="CL13" s="344"/>
      <c r="CM13" s="345"/>
      <c r="CN13" s="343"/>
      <c r="CO13" s="344"/>
      <c r="CP13" s="344"/>
      <c r="CQ13" s="344"/>
      <c r="CR13" s="344"/>
      <c r="CS13" s="344"/>
      <c r="CT13" s="344"/>
      <c r="CU13" s="344"/>
      <c r="CV13" s="345"/>
      <c r="CW13" s="343"/>
      <c r="CX13" s="344"/>
      <c r="CY13" s="344"/>
      <c r="CZ13" s="344"/>
      <c r="DA13" s="344"/>
      <c r="DB13" s="344"/>
      <c r="DC13" s="344"/>
      <c r="DD13" s="344"/>
      <c r="DE13" s="345"/>
      <c r="DF13" s="343"/>
      <c r="DG13" s="344"/>
      <c r="DH13" s="344"/>
      <c r="DI13" s="344"/>
      <c r="DJ13" s="344"/>
      <c r="DK13" s="344"/>
      <c r="DL13" s="344"/>
      <c r="DM13" s="344"/>
      <c r="DN13" s="345"/>
      <c r="DO13" s="367"/>
      <c r="DP13" s="367"/>
    </row>
    <row r="14" spans="2:120" ht="100.15" customHeight="1">
      <c r="B14" s="327"/>
      <c r="C14" s="327"/>
      <c r="D14" s="332"/>
      <c r="E14" s="333"/>
      <c r="F14" s="327"/>
      <c r="G14" s="327"/>
      <c r="H14" s="327"/>
      <c r="I14" s="327"/>
      <c r="J14" s="367"/>
      <c r="K14" s="63" t="s">
        <v>59</v>
      </c>
      <c r="L14" s="63" t="s">
        <v>60</v>
      </c>
      <c r="M14" s="63" t="s">
        <v>61</v>
      </c>
      <c r="N14" s="63" t="s">
        <v>62</v>
      </c>
      <c r="O14" s="63" t="s">
        <v>63</v>
      </c>
      <c r="P14" s="63" t="s">
        <v>64</v>
      </c>
      <c r="Q14" s="63" t="s">
        <v>65</v>
      </c>
      <c r="R14" s="63" t="s">
        <v>66</v>
      </c>
      <c r="S14" s="63" t="s">
        <v>67</v>
      </c>
      <c r="T14" s="63" t="s">
        <v>59</v>
      </c>
      <c r="U14" s="63" t="s">
        <v>60</v>
      </c>
      <c r="V14" s="63" t="s">
        <v>61</v>
      </c>
      <c r="W14" s="63" t="s">
        <v>62</v>
      </c>
      <c r="X14" s="63" t="s">
        <v>63</v>
      </c>
      <c r="Y14" s="63" t="s">
        <v>64</v>
      </c>
      <c r="Z14" s="63" t="s">
        <v>65</v>
      </c>
      <c r="AA14" s="63" t="s">
        <v>66</v>
      </c>
      <c r="AB14" s="63" t="s">
        <v>67</v>
      </c>
      <c r="AC14" s="63" t="s">
        <v>59</v>
      </c>
      <c r="AD14" s="63" t="s">
        <v>60</v>
      </c>
      <c r="AE14" s="63" t="s">
        <v>61</v>
      </c>
      <c r="AF14" s="63" t="s">
        <v>62</v>
      </c>
      <c r="AG14" s="63" t="s">
        <v>63</v>
      </c>
      <c r="AH14" s="63" t="s">
        <v>64</v>
      </c>
      <c r="AI14" s="63" t="s">
        <v>65</v>
      </c>
      <c r="AJ14" s="63" t="s">
        <v>66</v>
      </c>
      <c r="AK14" s="63" t="s">
        <v>67</v>
      </c>
      <c r="AL14" s="63" t="s">
        <v>59</v>
      </c>
      <c r="AM14" s="63" t="s">
        <v>60</v>
      </c>
      <c r="AN14" s="63" t="s">
        <v>61</v>
      </c>
      <c r="AO14" s="63" t="s">
        <v>62</v>
      </c>
      <c r="AP14" s="63" t="s">
        <v>63</v>
      </c>
      <c r="AQ14" s="63" t="s">
        <v>64</v>
      </c>
      <c r="AR14" s="63" t="s">
        <v>65</v>
      </c>
      <c r="AS14" s="63" t="s">
        <v>66</v>
      </c>
      <c r="AT14" s="63" t="s">
        <v>67</v>
      </c>
      <c r="AU14" s="63" t="s">
        <v>59</v>
      </c>
      <c r="AV14" s="63" t="s">
        <v>60</v>
      </c>
      <c r="AW14" s="63" t="s">
        <v>61</v>
      </c>
      <c r="AX14" s="63" t="s">
        <v>62</v>
      </c>
      <c r="AY14" s="63" t="s">
        <v>63</v>
      </c>
      <c r="AZ14" s="63" t="s">
        <v>64</v>
      </c>
      <c r="BA14" s="63" t="s">
        <v>65</v>
      </c>
      <c r="BB14" s="63" t="s">
        <v>66</v>
      </c>
      <c r="BC14" s="63" t="s">
        <v>67</v>
      </c>
      <c r="BD14" s="63" t="s">
        <v>59</v>
      </c>
      <c r="BE14" s="63" t="s">
        <v>60</v>
      </c>
      <c r="BF14" s="63" t="s">
        <v>61</v>
      </c>
      <c r="BG14" s="63" t="s">
        <v>62</v>
      </c>
      <c r="BH14" s="63" t="s">
        <v>63</v>
      </c>
      <c r="BI14" s="63" t="s">
        <v>64</v>
      </c>
      <c r="BJ14" s="63" t="s">
        <v>65</v>
      </c>
      <c r="BK14" s="63" t="s">
        <v>66</v>
      </c>
      <c r="BL14" s="63" t="s">
        <v>67</v>
      </c>
      <c r="BM14" s="63" t="s">
        <v>59</v>
      </c>
      <c r="BN14" s="63" t="s">
        <v>60</v>
      </c>
      <c r="BO14" s="63" t="s">
        <v>61</v>
      </c>
      <c r="BP14" s="63" t="s">
        <v>62</v>
      </c>
      <c r="BQ14" s="63" t="s">
        <v>63</v>
      </c>
      <c r="BR14" s="63" t="s">
        <v>64</v>
      </c>
      <c r="BS14" s="63" t="s">
        <v>65</v>
      </c>
      <c r="BT14" s="63" t="s">
        <v>66</v>
      </c>
      <c r="BU14" s="63" t="s">
        <v>67</v>
      </c>
      <c r="BV14" s="63" t="s">
        <v>59</v>
      </c>
      <c r="BW14" s="63" t="s">
        <v>60</v>
      </c>
      <c r="BX14" s="63" t="s">
        <v>61</v>
      </c>
      <c r="BY14" s="63" t="s">
        <v>62</v>
      </c>
      <c r="BZ14" s="63" t="s">
        <v>63</v>
      </c>
      <c r="CA14" s="63" t="s">
        <v>64</v>
      </c>
      <c r="CB14" s="63" t="s">
        <v>65</v>
      </c>
      <c r="CC14" s="63" t="s">
        <v>66</v>
      </c>
      <c r="CD14" s="63" t="s">
        <v>67</v>
      </c>
      <c r="CE14" s="63" t="s">
        <v>59</v>
      </c>
      <c r="CF14" s="63" t="s">
        <v>60</v>
      </c>
      <c r="CG14" s="63" t="s">
        <v>61</v>
      </c>
      <c r="CH14" s="63" t="s">
        <v>62</v>
      </c>
      <c r="CI14" s="63" t="s">
        <v>63</v>
      </c>
      <c r="CJ14" s="63" t="s">
        <v>64</v>
      </c>
      <c r="CK14" s="63" t="s">
        <v>65</v>
      </c>
      <c r="CL14" s="63" t="s">
        <v>66</v>
      </c>
      <c r="CM14" s="63" t="s">
        <v>67</v>
      </c>
      <c r="CN14" s="63" t="s">
        <v>59</v>
      </c>
      <c r="CO14" s="63" t="s">
        <v>60</v>
      </c>
      <c r="CP14" s="63" t="s">
        <v>61</v>
      </c>
      <c r="CQ14" s="63" t="s">
        <v>62</v>
      </c>
      <c r="CR14" s="63" t="s">
        <v>63</v>
      </c>
      <c r="CS14" s="63" t="s">
        <v>64</v>
      </c>
      <c r="CT14" s="63" t="s">
        <v>65</v>
      </c>
      <c r="CU14" s="63" t="s">
        <v>66</v>
      </c>
      <c r="CV14" s="63" t="s">
        <v>67</v>
      </c>
      <c r="CW14" s="63" t="s">
        <v>59</v>
      </c>
      <c r="CX14" s="63" t="s">
        <v>60</v>
      </c>
      <c r="CY14" s="63" t="s">
        <v>61</v>
      </c>
      <c r="CZ14" s="63" t="s">
        <v>62</v>
      </c>
      <c r="DA14" s="63" t="s">
        <v>63</v>
      </c>
      <c r="DB14" s="63" t="s">
        <v>64</v>
      </c>
      <c r="DC14" s="63" t="s">
        <v>65</v>
      </c>
      <c r="DD14" s="63" t="s">
        <v>66</v>
      </c>
      <c r="DE14" s="63" t="s">
        <v>67</v>
      </c>
      <c r="DF14" s="63" t="s">
        <v>59</v>
      </c>
      <c r="DG14" s="63" t="s">
        <v>60</v>
      </c>
      <c r="DH14" s="63" t="s">
        <v>61</v>
      </c>
      <c r="DI14" s="63" t="s">
        <v>62</v>
      </c>
      <c r="DJ14" s="63" t="s">
        <v>63</v>
      </c>
      <c r="DK14" s="63" t="s">
        <v>64</v>
      </c>
      <c r="DL14" s="63" t="s">
        <v>65</v>
      </c>
      <c r="DM14" s="63" t="s">
        <v>66</v>
      </c>
      <c r="DN14" s="63" t="s">
        <v>67</v>
      </c>
      <c r="DO14" s="367"/>
      <c r="DP14" s="367"/>
    </row>
    <row r="15" spans="2:120" ht="227.25" hidden="1" customHeight="1">
      <c r="B15" s="491" t="s">
        <v>68</v>
      </c>
      <c r="C15" s="491" t="s">
        <v>69</v>
      </c>
      <c r="D15" s="491" t="s">
        <v>2</v>
      </c>
      <c r="E15" s="491"/>
      <c r="F15" s="491" t="s">
        <v>99</v>
      </c>
      <c r="G15" s="492">
        <v>733</v>
      </c>
      <c r="H15" s="493" t="s">
        <v>100</v>
      </c>
      <c r="I15" s="492">
        <v>495</v>
      </c>
      <c r="J15" s="64" t="s">
        <v>72</v>
      </c>
      <c r="K15" s="450">
        <v>0</v>
      </c>
      <c r="L15" s="451"/>
      <c r="M15" s="451"/>
      <c r="N15" s="451"/>
      <c r="O15" s="451"/>
      <c r="P15" s="451"/>
      <c r="Q15" s="451"/>
      <c r="R15" s="451"/>
      <c r="S15" s="65">
        <f>SUM(K15)</f>
        <v>0</v>
      </c>
      <c r="T15" s="450">
        <v>0</v>
      </c>
      <c r="U15" s="451"/>
      <c r="V15" s="451"/>
      <c r="W15" s="451"/>
      <c r="X15" s="451"/>
      <c r="Y15" s="451"/>
      <c r="Z15" s="451"/>
      <c r="AA15" s="451"/>
      <c r="AB15" s="65">
        <f>SUM(T15)</f>
        <v>0</v>
      </c>
      <c r="AC15" s="450">
        <v>0</v>
      </c>
      <c r="AD15" s="451"/>
      <c r="AE15" s="451"/>
      <c r="AF15" s="451"/>
      <c r="AG15" s="451"/>
      <c r="AH15" s="451"/>
      <c r="AI15" s="451"/>
      <c r="AJ15" s="451"/>
      <c r="AK15" s="65">
        <f>SUM(AC15)</f>
        <v>0</v>
      </c>
      <c r="AL15" s="450">
        <v>0</v>
      </c>
      <c r="AM15" s="451"/>
      <c r="AN15" s="451"/>
      <c r="AO15" s="451"/>
      <c r="AP15" s="451"/>
      <c r="AQ15" s="451"/>
      <c r="AR15" s="451"/>
      <c r="AS15" s="451"/>
      <c r="AT15" s="65">
        <f>SUM(AL15)</f>
        <v>0</v>
      </c>
      <c r="AU15" s="450">
        <v>0</v>
      </c>
      <c r="AV15" s="451"/>
      <c r="AW15" s="451"/>
      <c r="AX15" s="451"/>
      <c r="AY15" s="451"/>
      <c r="AZ15" s="451"/>
      <c r="BA15" s="451"/>
      <c r="BB15" s="451"/>
      <c r="BC15" s="65">
        <f>SUM(AU15)</f>
        <v>0</v>
      </c>
      <c r="BD15" s="450">
        <v>84</v>
      </c>
      <c r="BE15" s="451"/>
      <c r="BF15" s="451"/>
      <c r="BG15" s="451"/>
      <c r="BH15" s="451"/>
      <c r="BI15" s="451"/>
      <c r="BJ15" s="451"/>
      <c r="BK15" s="451"/>
      <c r="BL15" s="65">
        <f>SUM(BD15)</f>
        <v>84</v>
      </c>
      <c r="BM15" s="450">
        <v>80</v>
      </c>
      <c r="BN15" s="451"/>
      <c r="BO15" s="451"/>
      <c r="BP15" s="451"/>
      <c r="BQ15" s="451"/>
      <c r="BR15" s="451"/>
      <c r="BS15" s="451"/>
      <c r="BT15" s="451"/>
      <c r="BU15" s="65">
        <f>SUM(BM15)</f>
        <v>80</v>
      </c>
      <c r="BV15" s="450">
        <v>80</v>
      </c>
      <c r="BW15" s="451"/>
      <c r="BX15" s="451"/>
      <c r="BY15" s="451"/>
      <c r="BZ15" s="451"/>
      <c r="CA15" s="451"/>
      <c r="CB15" s="451"/>
      <c r="CC15" s="451"/>
      <c r="CD15" s="65">
        <f>SUM(BV15)</f>
        <v>80</v>
      </c>
      <c r="CE15" s="450">
        <v>80</v>
      </c>
      <c r="CF15" s="451"/>
      <c r="CG15" s="451"/>
      <c r="CH15" s="451"/>
      <c r="CI15" s="451"/>
      <c r="CJ15" s="451"/>
      <c r="CK15" s="451"/>
      <c r="CL15" s="451"/>
      <c r="CM15" s="65">
        <f>SUM(CE15)</f>
        <v>80</v>
      </c>
      <c r="CN15" s="450">
        <v>91</v>
      </c>
      <c r="CO15" s="451"/>
      <c r="CP15" s="451"/>
      <c r="CQ15" s="451"/>
      <c r="CR15" s="451"/>
      <c r="CS15" s="451"/>
      <c r="CT15" s="451"/>
      <c r="CU15" s="451"/>
      <c r="CV15" s="65">
        <f>SUM(CN15)</f>
        <v>91</v>
      </c>
      <c r="CW15" s="450">
        <v>80</v>
      </c>
      <c r="CX15" s="451"/>
      <c r="CY15" s="451"/>
      <c r="CZ15" s="451"/>
      <c r="DA15" s="451"/>
      <c r="DB15" s="451"/>
      <c r="DC15" s="451"/>
      <c r="DD15" s="451"/>
      <c r="DE15" s="65">
        <f>SUM(CW15)</f>
        <v>80</v>
      </c>
      <c r="DF15" s="450">
        <v>0</v>
      </c>
      <c r="DG15" s="451"/>
      <c r="DH15" s="451"/>
      <c r="DI15" s="451"/>
      <c r="DJ15" s="451"/>
      <c r="DK15" s="451"/>
      <c r="DL15" s="451"/>
      <c r="DM15" s="451"/>
      <c r="DN15" s="65">
        <f>SUM(DF15)</f>
        <v>0</v>
      </c>
      <c r="DO15" s="66">
        <f>SUM(DN15,DE15,CV15,CM15,CD15,BU15,BL15,BC15,AT15,AK15,AB15,S15)</f>
        <v>495</v>
      </c>
      <c r="DP15" s="67"/>
    </row>
    <row r="16" spans="2:120" ht="279.75" customHeight="1">
      <c r="B16" s="491"/>
      <c r="C16" s="491"/>
      <c r="D16" s="491"/>
      <c r="E16" s="491"/>
      <c r="F16" s="491"/>
      <c r="G16" s="491"/>
      <c r="H16" s="493"/>
      <c r="I16" s="491"/>
      <c r="J16" s="68" t="s">
        <v>73</v>
      </c>
      <c r="K16" s="69">
        <v>34</v>
      </c>
      <c r="L16" s="69">
        <v>30</v>
      </c>
      <c r="M16" s="69">
        <v>22</v>
      </c>
      <c r="N16" s="69">
        <v>16</v>
      </c>
      <c r="O16" s="69">
        <v>25</v>
      </c>
      <c r="P16" s="69">
        <v>0</v>
      </c>
      <c r="Q16" s="69">
        <v>0</v>
      </c>
      <c r="R16" s="69">
        <v>0</v>
      </c>
      <c r="S16" s="69">
        <f>SUM(K16:R16)</f>
        <v>127</v>
      </c>
      <c r="T16" s="67">
        <v>8</v>
      </c>
      <c r="U16" s="67">
        <v>6</v>
      </c>
      <c r="V16" s="67">
        <v>0</v>
      </c>
      <c r="W16" s="67">
        <v>0</v>
      </c>
      <c r="X16" s="67">
        <v>3</v>
      </c>
      <c r="Y16" s="67">
        <v>1</v>
      </c>
      <c r="Z16" s="67">
        <v>0</v>
      </c>
      <c r="AA16" s="67">
        <v>0</v>
      </c>
      <c r="AB16" s="67">
        <f>SUM(T16:AA16)</f>
        <v>18</v>
      </c>
      <c r="AC16" s="65">
        <v>10</v>
      </c>
      <c r="AD16" s="65">
        <v>19</v>
      </c>
      <c r="AE16" s="65">
        <v>13</v>
      </c>
      <c r="AF16" s="65">
        <v>3</v>
      </c>
      <c r="AG16" s="65">
        <v>15</v>
      </c>
      <c r="AH16" s="65">
        <v>9</v>
      </c>
      <c r="AI16" s="65">
        <v>0</v>
      </c>
      <c r="AJ16" s="65">
        <v>0</v>
      </c>
      <c r="AK16" s="65">
        <f>SUM(AC16:AJ16)</f>
        <v>69</v>
      </c>
      <c r="AL16" s="65">
        <v>0</v>
      </c>
      <c r="AM16" s="65">
        <v>0</v>
      </c>
      <c r="AN16" s="65">
        <v>0</v>
      </c>
      <c r="AO16" s="65">
        <v>0</v>
      </c>
      <c r="AP16" s="65">
        <v>1</v>
      </c>
      <c r="AQ16" s="65">
        <v>0</v>
      </c>
      <c r="AR16" s="65">
        <v>0</v>
      </c>
      <c r="AS16" s="65">
        <v>0</v>
      </c>
      <c r="AT16" s="65">
        <f>SUM(AL16:AS16)</f>
        <v>1</v>
      </c>
      <c r="AU16" s="65">
        <v>81</v>
      </c>
      <c r="AV16" s="65">
        <v>77</v>
      </c>
      <c r="AW16" s="65">
        <v>14</v>
      </c>
      <c r="AX16" s="65">
        <v>11</v>
      </c>
      <c r="AY16" s="65">
        <v>7</v>
      </c>
      <c r="AZ16" s="65">
        <v>0</v>
      </c>
      <c r="BA16" s="65">
        <v>0</v>
      </c>
      <c r="BB16" s="65">
        <v>0</v>
      </c>
      <c r="BC16" s="65">
        <f>SUM(AU16:BB16)</f>
        <v>190</v>
      </c>
      <c r="BD16" s="65">
        <v>3</v>
      </c>
      <c r="BE16" s="65">
        <v>2</v>
      </c>
      <c r="BF16" s="65">
        <v>2</v>
      </c>
      <c r="BG16" s="65">
        <v>0</v>
      </c>
      <c r="BH16" s="65">
        <v>1</v>
      </c>
      <c r="BI16" s="65">
        <v>0</v>
      </c>
      <c r="BJ16" s="65">
        <v>0</v>
      </c>
      <c r="BK16" s="65">
        <v>0</v>
      </c>
      <c r="BL16" s="65">
        <f>SUM(BD16:BK16)</f>
        <v>8</v>
      </c>
      <c r="BM16" s="65"/>
      <c r="BN16" s="65"/>
      <c r="BO16" s="65"/>
      <c r="BP16" s="65"/>
      <c r="BQ16" s="65"/>
      <c r="BR16" s="65"/>
      <c r="BS16" s="65"/>
      <c r="BT16" s="65"/>
      <c r="BU16" s="65">
        <f t="shared" ref="BU16:BU58" si="0">SUM(BM16)</f>
        <v>0</v>
      </c>
      <c r="BV16" s="65"/>
      <c r="BW16" s="65"/>
      <c r="BX16" s="65"/>
      <c r="BY16" s="65"/>
      <c r="BZ16" s="65"/>
      <c r="CA16" s="65"/>
      <c r="CB16" s="65"/>
      <c r="CC16" s="65"/>
      <c r="CD16" s="65">
        <f t="shared" ref="CD16:CD58" si="1">SUM(BV16)</f>
        <v>0</v>
      </c>
      <c r="CE16" s="65"/>
      <c r="CF16" s="65"/>
      <c r="CG16" s="65"/>
      <c r="CH16" s="65"/>
      <c r="CI16" s="65"/>
      <c r="CJ16" s="65"/>
      <c r="CK16" s="65"/>
      <c r="CL16" s="65"/>
      <c r="CM16" s="65">
        <f t="shared" ref="CM16:CM58" si="2">SUM(CE16)</f>
        <v>0</v>
      </c>
      <c r="CN16" s="65"/>
      <c r="CO16" s="65"/>
      <c r="CP16" s="65"/>
      <c r="CQ16" s="65"/>
      <c r="CR16" s="65"/>
      <c r="CS16" s="65"/>
      <c r="CT16" s="65"/>
      <c r="CU16" s="65"/>
      <c r="CV16" s="65">
        <f t="shared" ref="CV16:CV58" si="3">SUM(CN16)</f>
        <v>0</v>
      </c>
      <c r="CW16" s="65"/>
      <c r="CX16" s="65"/>
      <c r="CY16" s="65"/>
      <c r="CZ16" s="65"/>
      <c r="DA16" s="65"/>
      <c r="DB16" s="65"/>
      <c r="DC16" s="65"/>
      <c r="DD16" s="65"/>
      <c r="DE16" s="65">
        <f t="shared" ref="DE16:DE58" si="4">SUM(CW16)</f>
        <v>0</v>
      </c>
      <c r="DF16" s="65"/>
      <c r="DG16" s="65"/>
      <c r="DH16" s="65"/>
      <c r="DI16" s="65"/>
      <c r="DJ16" s="65"/>
      <c r="DK16" s="65"/>
      <c r="DL16" s="65"/>
      <c r="DM16" s="65"/>
      <c r="DN16" s="65">
        <f t="shared" ref="DN16:DN58" si="5">SUM(DF16)</f>
        <v>0</v>
      </c>
      <c r="DO16" s="66">
        <f t="shared" ref="DO16:DO58" si="6">SUM(DN16,DE16,CV16,CM16,CD16,BU16,BL16,BC16,AT16,AK16,AB16,S16)</f>
        <v>413</v>
      </c>
      <c r="DP16" s="65" t="s">
        <v>253</v>
      </c>
    </row>
    <row r="17" spans="2:120" ht="306" hidden="1" customHeight="1">
      <c r="B17" s="491" t="s">
        <v>68</v>
      </c>
      <c r="C17" s="491" t="s">
        <v>69</v>
      </c>
      <c r="D17" s="491" t="s">
        <v>2</v>
      </c>
      <c r="E17" s="491"/>
      <c r="F17" s="491" t="s">
        <v>99</v>
      </c>
      <c r="G17" s="492">
        <v>1179</v>
      </c>
      <c r="H17" s="493" t="s">
        <v>101</v>
      </c>
      <c r="I17" s="491">
        <v>375</v>
      </c>
      <c r="J17" s="64" t="s">
        <v>72</v>
      </c>
      <c r="K17" s="503">
        <v>0</v>
      </c>
      <c r="L17" s="504"/>
      <c r="M17" s="504"/>
      <c r="N17" s="504"/>
      <c r="O17" s="504"/>
      <c r="P17" s="504"/>
      <c r="Q17" s="504"/>
      <c r="R17" s="504"/>
      <c r="S17" s="69">
        <f t="shared" ref="S17:S58" si="7">SUM(K17:R17)</f>
        <v>0</v>
      </c>
      <c r="T17" s="505">
        <v>0</v>
      </c>
      <c r="U17" s="506"/>
      <c r="V17" s="506"/>
      <c r="W17" s="506"/>
      <c r="X17" s="506"/>
      <c r="Y17" s="506"/>
      <c r="Z17" s="506"/>
      <c r="AA17" s="506"/>
      <c r="AB17" s="67">
        <f t="shared" ref="AB17:AB58" si="8">SUM(T17:AA17)</f>
        <v>0</v>
      </c>
      <c r="AC17" s="450">
        <v>36</v>
      </c>
      <c r="AD17" s="451"/>
      <c r="AE17" s="451"/>
      <c r="AF17" s="451"/>
      <c r="AG17" s="451"/>
      <c r="AH17" s="451"/>
      <c r="AI17" s="451"/>
      <c r="AJ17" s="451"/>
      <c r="AK17" s="65">
        <f t="shared" ref="AK17:AK58" si="9">SUM(AC17:AJ17)</f>
        <v>36</v>
      </c>
      <c r="AL17" s="450">
        <v>35</v>
      </c>
      <c r="AM17" s="451"/>
      <c r="AN17" s="451"/>
      <c r="AO17" s="451"/>
      <c r="AP17" s="451"/>
      <c r="AQ17" s="451"/>
      <c r="AR17" s="451"/>
      <c r="AS17" s="451"/>
      <c r="AT17" s="65">
        <f t="shared" ref="AT17:AT58" si="10">SUM(AL17:AS17)</f>
        <v>35</v>
      </c>
      <c r="AU17" s="450">
        <v>30</v>
      </c>
      <c r="AV17" s="451"/>
      <c r="AW17" s="451"/>
      <c r="AX17" s="451"/>
      <c r="AY17" s="451"/>
      <c r="AZ17" s="451"/>
      <c r="BA17" s="451"/>
      <c r="BB17" s="451"/>
      <c r="BC17" s="65">
        <f t="shared" ref="BC17:BC58" si="11">SUM(AU17:BB17)</f>
        <v>30</v>
      </c>
      <c r="BD17" s="450">
        <v>40</v>
      </c>
      <c r="BE17" s="451"/>
      <c r="BF17" s="451"/>
      <c r="BG17" s="451"/>
      <c r="BH17" s="451"/>
      <c r="BI17" s="451"/>
      <c r="BJ17" s="451"/>
      <c r="BK17" s="451"/>
      <c r="BL17" s="65">
        <f t="shared" ref="BL17:BL58" si="12">SUM(BD17:BK17)</f>
        <v>40</v>
      </c>
      <c r="BM17" s="450">
        <v>30</v>
      </c>
      <c r="BN17" s="451"/>
      <c r="BO17" s="451"/>
      <c r="BP17" s="451"/>
      <c r="BQ17" s="451"/>
      <c r="BR17" s="451"/>
      <c r="BS17" s="451"/>
      <c r="BT17" s="451"/>
      <c r="BU17" s="65">
        <f t="shared" si="0"/>
        <v>30</v>
      </c>
      <c r="BV17" s="450">
        <v>40</v>
      </c>
      <c r="BW17" s="451"/>
      <c r="BX17" s="451"/>
      <c r="BY17" s="451"/>
      <c r="BZ17" s="451"/>
      <c r="CA17" s="451"/>
      <c r="CB17" s="451"/>
      <c r="CC17" s="451"/>
      <c r="CD17" s="65">
        <f t="shared" si="1"/>
        <v>40</v>
      </c>
      <c r="CE17" s="450">
        <v>50</v>
      </c>
      <c r="CF17" s="451"/>
      <c r="CG17" s="451"/>
      <c r="CH17" s="451"/>
      <c r="CI17" s="451"/>
      <c r="CJ17" s="451"/>
      <c r="CK17" s="451"/>
      <c r="CL17" s="451"/>
      <c r="CM17" s="65">
        <f t="shared" si="2"/>
        <v>50</v>
      </c>
      <c r="CN17" s="450">
        <v>50</v>
      </c>
      <c r="CO17" s="451"/>
      <c r="CP17" s="451"/>
      <c r="CQ17" s="451"/>
      <c r="CR17" s="451"/>
      <c r="CS17" s="451"/>
      <c r="CT17" s="451"/>
      <c r="CU17" s="451"/>
      <c r="CV17" s="65">
        <f t="shared" si="3"/>
        <v>50</v>
      </c>
      <c r="CW17" s="450">
        <v>50</v>
      </c>
      <c r="CX17" s="451"/>
      <c r="CY17" s="451"/>
      <c r="CZ17" s="451"/>
      <c r="DA17" s="451"/>
      <c r="DB17" s="451"/>
      <c r="DC17" s="451"/>
      <c r="DD17" s="451"/>
      <c r="DE17" s="65">
        <f t="shared" si="4"/>
        <v>50</v>
      </c>
      <c r="DF17" s="450">
        <v>14</v>
      </c>
      <c r="DG17" s="451"/>
      <c r="DH17" s="451"/>
      <c r="DI17" s="451"/>
      <c r="DJ17" s="451"/>
      <c r="DK17" s="451"/>
      <c r="DL17" s="451"/>
      <c r="DM17" s="451"/>
      <c r="DN17" s="65">
        <f t="shared" si="5"/>
        <v>14</v>
      </c>
      <c r="DO17" s="66">
        <f t="shared" si="6"/>
        <v>375</v>
      </c>
      <c r="DP17" s="67"/>
    </row>
    <row r="18" spans="2:120" ht="186" customHeight="1">
      <c r="B18" s="491"/>
      <c r="C18" s="491"/>
      <c r="D18" s="491"/>
      <c r="E18" s="491"/>
      <c r="F18" s="491"/>
      <c r="G18" s="491"/>
      <c r="H18" s="493"/>
      <c r="I18" s="491"/>
      <c r="J18" s="68" t="s">
        <v>73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f t="shared" si="7"/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f t="shared" si="8"/>
        <v>0</v>
      </c>
      <c r="AC18" s="65">
        <v>6</v>
      </c>
      <c r="AD18" s="65">
        <v>14</v>
      </c>
      <c r="AE18" s="65">
        <v>4</v>
      </c>
      <c r="AF18" s="65">
        <v>3</v>
      </c>
      <c r="AG18" s="65">
        <v>15</v>
      </c>
      <c r="AH18" s="65">
        <v>9</v>
      </c>
      <c r="AI18" s="65">
        <v>0</v>
      </c>
      <c r="AJ18" s="65">
        <v>0</v>
      </c>
      <c r="AK18" s="65">
        <f t="shared" si="9"/>
        <v>51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f t="shared" si="10"/>
        <v>0</v>
      </c>
      <c r="AU18" s="65">
        <v>23</v>
      </c>
      <c r="AV18" s="65">
        <v>30</v>
      </c>
      <c r="AW18" s="65">
        <v>18</v>
      </c>
      <c r="AX18" s="65">
        <v>16</v>
      </c>
      <c r="AY18" s="65">
        <v>27</v>
      </c>
      <c r="AZ18" s="65">
        <v>0</v>
      </c>
      <c r="BA18" s="65">
        <v>0</v>
      </c>
      <c r="BB18" s="65">
        <v>0</v>
      </c>
      <c r="BC18" s="65">
        <f t="shared" si="11"/>
        <v>114</v>
      </c>
      <c r="BD18" s="65">
        <v>182</v>
      </c>
      <c r="BE18" s="65">
        <v>160</v>
      </c>
      <c r="BF18" s="65">
        <v>103</v>
      </c>
      <c r="BG18" s="65">
        <v>97</v>
      </c>
      <c r="BH18" s="65">
        <v>67</v>
      </c>
      <c r="BI18" s="65">
        <v>38</v>
      </c>
      <c r="BJ18" s="65">
        <v>6</v>
      </c>
      <c r="BK18" s="65">
        <v>3</v>
      </c>
      <c r="BL18" s="65">
        <f t="shared" si="12"/>
        <v>656</v>
      </c>
      <c r="BM18" s="65"/>
      <c r="BN18" s="65"/>
      <c r="BO18" s="65"/>
      <c r="BP18" s="65"/>
      <c r="BQ18" s="65"/>
      <c r="BR18" s="65"/>
      <c r="BS18" s="65"/>
      <c r="BT18" s="65"/>
      <c r="BU18" s="65">
        <f t="shared" si="0"/>
        <v>0</v>
      </c>
      <c r="BV18" s="65"/>
      <c r="BW18" s="65"/>
      <c r="BX18" s="65"/>
      <c r="BY18" s="65"/>
      <c r="BZ18" s="65"/>
      <c r="CA18" s="65"/>
      <c r="CB18" s="65"/>
      <c r="CC18" s="65"/>
      <c r="CD18" s="65">
        <f t="shared" si="1"/>
        <v>0</v>
      </c>
      <c r="CE18" s="65"/>
      <c r="CF18" s="65"/>
      <c r="CG18" s="65"/>
      <c r="CH18" s="65"/>
      <c r="CI18" s="65"/>
      <c r="CJ18" s="65"/>
      <c r="CK18" s="65"/>
      <c r="CL18" s="65"/>
      <c r="CM18" s="65">
        <f t="shared" si="2"/>
        <v>0</v>
      </c>
      <c r="CN18" s="65"/>
      <c r="CO18" s="65"/>
      <c r="CP18" s="65"/>
      <c r="CQ18" s="65"/>
      <c r="CR18" s="65"/>
      <c r="CS18" s="65"/>
      <c r="CT18" s="65"/>
      <c r="CU18" s="65"/>
      <c r="CV18" s="65">
        <f t="shared" si="3"/>
        <v>0</v>
      </c>
      <c r="CW18" s="65"/>
      <c r="CX18" s="65"/>
      <c r="CY18" s="65"/>
      <c r="CZ18" s="65"/>
      <c r="DA18" s="65"/>
      <c r="DB18" s="65"/>
      <c r="DC18" s="65"/>
      <c r="DD18" s="65"/>
      <c r="DE18" s="65">
        <f t="shared" si="4"/>
        <v>0</v>
      </c>
      <c r="DF18" s="65"/>
      <c r="DG18" s="65"/>
      <c r="DH18" s="65"/>
      <c r="DI18" s="65"/>
      <c r="DJ18" s="65"/>
      <c r="DK18" s="65"/>
      <c r="DL18" s="65"/>
      <c r="DM18" s="65"/>
      <c r="DN18" s="65">
        <f t="shared" si="5"/>
        <v>0</v>
      </c>
      <c r="DO18" s="66">
        <f t="shared" si="6"/>
        <v>821</v>
      </c>
      <c r="DP18" s="67" t="s">
        <v>102</v>
      </c>
    </row>
    <row r="19" spans="2:120" ht="253.5" hidden="1" customHeight="1">
      <c r="B19" s="507" t="s">
        <v>103</v>
      </c>
      <c r="C19" s="507" t="s">
        <v>104</v>
      </c>
      <c r="D19" s="509" t="s">
        <v>2</v>
      </c>
      <c r="E19" s="510"/>
      <c r="F19" s="491" t="s">
        <v>105</v>
      </c>
      <c r="G19" s="492">
        <v>1051</v>
      </c>
      <c r="H19" s="513" t="s">
        <v>106</v>
      </c>
      <c r="I19" s="492">
        <v>709</v>
      </c>
      <c r="J19" s="64" t="s">
        <v>72</v>
      </c>
      <c r="K19" s="503">
        <v>0</v>
      </c>
      <c r="L19" s="504"/>
      <c r="M19" s="504"/>
      <c r="N19" s="504"/>
      <c r="O19" s="504"/>
      <c r="P19" s="504"/>
      <c r="Q19" s="504"/>
      <c r="R19" s="504"/>
      <c r="S19" s="69">
        <f t="shared" si="7"/>
        <v>0</v>
      </c>
      <c r="T19" s="505">
        <v>5</v>
      </c>
      <c r="U19" s="506"/>
      <c r="V19" s="506"/>
      <c r="W19" s="506"/>
      <c r="X19" s="506"/>
      <c r="Y19" s="506"/>
      <c r="Z19" s="506"/>
      <c r="AA19" s="506"/>
      <c r="AB19" s="67">
        <f t="shared" si="8"/>
        <v>5</v>
      </c>
      <c r="AC19" s="450">
        <v>0</v>
      </c>
      <c r="AD19" s="451"/>
      <c r="AE19" s="451"/>
      <c r="AF19" s="451"/>
      <c r="AG19" s="451"/>
      <c r="AH19" s="451"/>
      <c r="AI19" s="451"/>
      <c r="AJ19" s="451"/>
      <c r="AK19" s="65">
        <f t="shared" si="9"/>
        <v>0</v>
      </c>
      <c r="AL19" s="450">
        <v>5</v>
      </c>
      <c r="AM19" s="451"/>
      <c r="AN19" s="451"/>
      <c r="AO19" s="451"/>
      <c r="AP19" s="451"/>
      <c r="AQ19" s="451"/>
      <c r="AR19" s="451"/>
      <c r="AS19" s="451"/>
      <c r="AT19" s="65">
        <f t="shared" si="10"/>
        <v>5</v>
      </c>
      <c r="AU19" s="450">
        <v>0</v>
      </c>
      <c r="AV19" s="451"/>
      <c r="AW19" s="451"/>
      <c r="AX19" s="451"/>
      <c r="AY19" s="451"/>
      <c r="AZ19" s="451"/>
      <c r="BA19" s="451"/>
      <c r="BB19" s="451"/>
      <c r="BC19" s="65">
        <f t="shared" si="11"/>
        <v>0</v>
      </c>
      <c r="BD19" s="450">
        <v>20</v>
      </c>
      <c r="BE19" s="451"/>
      <c r="BF19" s="451"/>
      <c r="BG19" s="451"/>
      <c r="BH19" s="451"/>
      <c r="BI19" s="451"/>
      <c r="BJ19" s="451"/>
      <c r="BK19" s="451"/>
      <c r="BL19" s="65">
        <f t="shared" si="12"/>
        <v>20</v>
      </c>
      <c r="BM19" s="450">
        <v>16</v>
      </c>
      <c r="BN19" s="451"/>
      <c r="BO19" s="451"/>
      <c r="BP19" s="451"/>
      <c r="BQ19" s="451"/>
      <c r="BR19" s="451"/>
      <c r="BS19" s="451"/>
      <c r="BT19" s="451"/>
      <c r="BU19" s="65">
        <f t="shared" si="0"/>
        <v>16</v>
      </c>
      <c r="BV19" s="450">
        <v>13</v>
      </c>
      <c r="BW19" s="451"/>
      <c r="BX19" s="451"/>
      <c r="BY19" s="451"/>
      <c r="BZ19" s="451"/>
      <c r="CA19" s="451"/>
      <c r="CB19" s="451"/>
      <c r="CC19" s="451"/>
      <c r="CD19" s="65">
        <f t="shared" si="1"/>
        <v>13</v>
      </c>
      <c r="CE19" s="450">
        <v>100</v>
      </c>
      <c r="CF19" s="451"/>
      <c r="CG19" s="451"/>
      <c r="CH19" s="451"/>
      <c r="CI19" s="451"/>
      <c r="CJ19" s="451"/>
      <c r="CK19" s="451"/>
      <c r="CL19" s="451"/>
      <c r="CM19" s="65">
        <v>100</v>
      </c>
      <c r="CN19" s="450">
        <v>550</v>
      </c>
      <c r="CO19" s="451"/>
      <c r="CP19" s="451"/>
      <c r="CQ19" s="451"/>
      <c r="CR19" s="451"/>
      <c r="CS19" s="451"/>
      <c r="CT19" s="451"/>
      <c r="CU19" s="451"/>
      <c r="CV19" s="65">
        <f t="shared" si="3"/>
        <v>550</v>
      </c>
      <c r="CW19" s="450">
        <v>0</v>
      </c>
      <c r="CX19" s="451"/>
      <c r="CY19" s="451"/>
      <c r="CZ19" s="451"/>
      <c r="DA19" s="451"/>
      <c r="DB19" s="451"/>
      <c r="DC19" s="451"/>
      <c r="DD19" s="451"/>
      <c r="DE19" s="65">
        <f t="shared" si="4"/>
        <v>0</v>
      </c>
      <c r="DF19" s="450">
        <v>0</v>
      </c>
      <c r="DG19" s="451"/>
      <c r="DH19" s="451"/>
      <c r="DI19" s="451"/>
      <c r="DJ19" s="451"/>
      <c r="DK19" s="451"/>
      <c r="DL19" s="451"/>
      <c r="DM19" s="451"/>
      <c r="DN19" s="65">
        <f t="shared" si="5"/>
        <v>0</v>
      </c>
      <c r="DO19" s="66">
        <f t="shared" si="6"/>
        <v>709</v>
      </c>
      <c r="DP19" s="67"/>
    </row>
    <row r="20" spans="2:120" ht="238.5" customHeight="1">
      <c r="B20" s="508"/>
      <c r="C20" s="508"/>
      <c r="D20" s="511"/>
      <c r="E20" s="512"/>
      <c r="F20" s="491"/>
      <c r="G20" s="491"/>
      <c r="H20" s="513"/>
      <c r="I20" s="492"/>
      <c r="J20" s="68" t="s">
        <v>73</v>
      </c>
      <c r="K20" s="69">
        <v>9</v>
      </c>
      <c r="L20" s="69">
        <v>11</v>
      </c>
      <c r="M20" s="69">
        <v>5</v>
      </c>
      <c r="N20" s="69">
        <v>4</v>
      </c>
      <c r="O20" s="69">
        <v>2</v>
      </c>
      <c r="P20" s="69">
        <v>3</v>
      </c>
      <c r="Q20" s="69">
        <v>3</v>
      </c>
      <c r="R20" s="69">
        <v>0</v>
      </c>
      <c r="S20" s="69">
        <f t="shared" si="7"/>
        <v>37</v>
      </c>
      <c r="T20" s="67">
        <f>T36+T40</f>
        <v>8</v>
      </c>
      <c r="U20" s="67">
        <f t="shared" ref="U20:AA20" si="13">U36+U40</f>
        <v>6</v>
      </c>
      <c r="V20" s="67">
        <f t="shared" si="13"/>
        <v>3</v>
      </c>
      <c r="W20" s="67">
        <f t="shared" si="13"/>
        <v>0</v>
      </c>
      <c r="X20" s="67">
        <f t="shared" si="13"/>
        <v>3</v>
      </c>
      <c r="Y20" s="67">
        <f t="shared" si="13"/>
        <v>0</v>
      </c>
      <c r="Z20" s="67">
        <f t="shared" si="13"/>
        <v>1</v>
      </c>
      <c r="AA20" s="67">
        <f t="shared" si="13"/>
        <v>0</v>
      </c>
      <c r="AB20" s="67">
        <f t="shared" si="8"/>
        <v>21</v>
      </c>
      <c r="AC20" s="65">
        <f>AC34+AC36+AC38+AC40</f>
        <v>14</v>
      </c>
      <c r="AD20" s="65">
        <f t="shared" ref="AD20:AJ20" si="14">AD34+AD36+AD38+AD40</f>
        <v>22</v>
      </c>
      <c r="AE20" s="65">
        <f t="shared" si="14"/>
        <v>39</v>
      </c>
      <c r="AF20" s="65">
        <f t="shared" si="14"/>
        <v>17</v>
      </c>
      <c r="AG20" s="65">
        <f t="shared" si="14"/>
        <v>18</v>
      </c>
      <c r="AH20" s="65">
        <f t="shared" si="14"/>
        <v>11</v>
      </c>
      <c r="AI20" s="65">
        <f t="shared" si="14"/>
        <v>0</v>
      </c>
      <c r="AJ20" s="65">
        <f t="shared" si="14"/>
        <v>0</v>
      </c>
      <c r="AK20" s="65">
        <f t="shared" si="9"/>
        <v>121</v>
      </c>
      <c r="AL20" s="65">
        <f>AL34+AL36+AL38+AL40</f>
        <v>40</v>
      </c>
      <c r="AM20" s="65">
        <f t="shared" ref="AM20:AS20" si="15">AM34+AM36+AM38+AM40</f>
        <v>37</v>
      </c>
      <c r="AN20" s="65">
        <f t="shared" si="15"/>
        <v>23</v>
      </c>
      <c r="AO20" s="65">
        <f t="shared" si="15"/>
        <v>16</v>
      </c>
      <c r="AP20" s="65">
        <f t="shared" si="15"/>
        <v>30</v>
      </c>
      <c r="AQ20" s="65">
        <f t="shared" si="15"/>
        <v>5</v>
      </c>
      <c r="AR20" s="65">
        <f t="shared" si="15"/>
        <v>2</v>
      </c>
      <c r="AS20" s="65">
        <f t="shared" si="15"/>
        <v>0</v>
      </c>
      <c r="AT20" s="65">
        <f t="shared" si="10"/>
        <v>153</v>
      </c>
      <c r="AU20" s="65">
        <f>AU34+AU36+AU38+AU40</f>
        <v>59</v>
      </c>
      <c r="AV20" s="65">
        <f t="shared" ref="AV20:BB20" si="16">AV34+AV36+AV38+AV40</f>
        <v>54</v>
      </c>
      <c r="AW20" s="65">
        <f t="shared" si="16"/>
        <v>45</v>
      </c>
      <c r="AX20" s="65">
        <f t="shared" si="16"/>
        <v>29</v>
      </c>
      <c r="AY20" s="65">
        <f t="shared" si="16"/>
        <v>10</v>
      </c>
      <c r="AZ20" s="65">
        <f t="shared" si="16"/>
        <v>91</v>
      </c>
      <c r="BA20" s="65">
        <f t="shared" si="16"/>
        <v>0</v>
      </c>
      <c r="BB20" s="65">
        <f t="shared" si="16"/>
        <v>0</v>
      </c>
      <c r="BC20" s="65">
        <f t="shared" si="11"/>
        <v>288</v>
      </c>
      <c r="BD20" s="65">
        <f>BD34+BD36+BD38+BD40</f>
        <v>104</v>
      </c>
      <c r="BE20" s="65">
        <f t="shared" ref="BE20:BK20" si="17">BE34+BE36+BE38+BE40</f>
        <v>108</v>
      </c>
      <c r="BF20" s="65">
        <f t="shared" si="17"/>
        <v>125</v>
      </c>
      <c r="BG20" s="65">
        <f t="shared" si="17"/>
        <v>107</v>
      </c>
      <c r="BH20" s="65">
        <f t="shared" si="17"/>
        <v>2</v>
      </c>
      <c r="BI20" s="65">
        <f t="shared" si="17"/>
        <v>2</v>
      </c>
      <c r="BJ20" s="65">
        <f t="shared" si="17"/>
        <v>0</v>
      </c>
      <c r="BK20" s="65">
        <f t="shared" si="17"/>
        <v>0</v>
      </c>
      <c r="BL20" s="65">
        <f t="shared" si="12"/>
        <v>448</v>
      </c>
      <c r="BM20" s="65"/>
      <c r="BN20" s="65"/>
      <c r="BO20" s="65"/>
      <c r="BP20" s="65"/>
      <c r="BQ20" s="65"/>
      <c r="BR20" s="65"/>
      <c r="BS20" s="65"/>
      <c r="BT20" s="65"/>
      <c r="BU20" s="65">
        <f t="shared" si="0"/>
        <v>0</v>
      </c>
      <c r="BV20" s="65"/>
      <c r="BW20" s="65"/>
      <c r="BX20" s="65"/>
      <c r="BY20" s="65"/>
      <c r="BZ20" s="65"/>
      <c r="CA20" s="65"/>
      <c r="CB20" s="65"/>
      <c r="CC20" s="65"/>
      <c r="CD20" s="65">
        <f t="shared" si="1"/>
        <v>0</v>
      </c>
      <c r="CE20" s="65"/>
      <c r="CF20" s="65"/>
      <c r="CG20" s="65"/>
      <c r="CH20" s="65"/>
      <c r="CI20" s="65"/>
      <c r="CJ20" s="65"/>
      <c r="CK20" s="65"/>
      <c r="CL20" s="65"/>
      <c r="CM20" s="65">
        <f t="shared" si="2"/>
        <v>0</v>
      </c>
      <c r="CN20" s="65"/>
      <c r="CO20" s="65"/>
      <c r="CP20" s="65"/>
      <c r="CQ20" s="65"/>
      <c r="CR20" s="65"/>
      <c r="CS20" s="65"/>
      <c r="CT20" s="65"/>
      <c r="CU20" s="65"/>
      <c r="CV20" s="65">
        <f t="shared" si="3"/>
        <v>0</v>
      </c>
      <c r="CW20" s="65"/>
      <c r="CX20" s="65"/>
      <c r="CY20" s="65"/>
      <c r="CZ20" s="65"/>
      <c r="DA20" s="65"/>
      <c r="DB20" s="65"/>
      <c r="DC20" s="65"/>
      <c r="DD20" s="65"/>
      <c r="DE20" s="65">
        <f t="shared" si="4"/>
        <v>0</v>
      </c>
      <c r="DF20" s="65"/>
      <c r="DG20" s="65"/>
      <c r="DH20" s="65"/>
      <c r="DI20" s="65"/>
      <c r="DJ20" s="65"/>
      <c r="DK20" s="65"/>
      <c r="DL20" s="65"/>
      <c r="DM20" s="65"/>
      <c r="DN20" s="65">
        <f t="shared" si="5"/>
        <v>0</v>
      </c>
      <c r="DO20" s="66">
        <f t="shared" si="6"/>
        <v>1068</v>
      </c>
      <c r="DP20" s="67" t="s">
        <v>102</v>
      </c>
    </row>
    <row r="21" spans="2:120" ht="234.75" hidden="1" customHeight="1">
      <c r="B21" s="507" t="s">
        <v>74</v>
      </c>
      <c r="C21" s="507" t="s">
        <v>107</v>
      </c>
      <c r="D21" s="509" t="s">
        <v>2</v>
      </c>
      <c r="E21" s="510"/>
      <c r="F21" s="491" t="s">
        <v>105</v>
      </c>
      <c r="G21" s="492">
        <v>1606</v>
      </c>
      <c r="H21" s="514" t="s">
        <v>108</v>
      </c>
      <c r="I21" s="491">
        <v>495</v>
      </c>
      <c r="J21" s="64" t="s">
        <v>72</v>
      </c>
      <c r="K21" s="503">
        <v>30</v>
      </c>
      <c r="L21" s="504"/>
      <c r="M21" s="504"/>
      <c r="N21" s="504"/>
      <c r="O21" s="504"/>
      <c r="P21" s="504"/>
      <c r="Q21" s="504"/>
      <c r="R21" s="504"/>
      <c r="S21" s="69">
        <f t="shared" si="7"/>
        <v>30</v>
      </c>
      <c r="T21" s="505">
        <v>30</v>
      </c>
      <c r="U21" s="506"/>
      <c r="V21" s="506"/>
      <c r="W21" s="506"/>
      <c r="X21" s="506"/>
      <c r="Y21" s="506"/>
      <c r="Z21" s="506"/>
      <c r="AA21" s="506"/>
      <c r="AB21" s="67">
        <f t="shared" si="8"/>
        <v>30</v>
      </c>
      <c r="AC21" s="450">
        <v>35</v>
      </c>
      <c r="AD21" s="451"/>
      <c r="AE21" s="451"/>
      <c r="AF21" s="451"/>
      <c r="AG21" s="451"/>
      <c r="AH21" s="451"/>
      <c r="AI21" s="451"/>
      <c r="AJ21" s="451"/>
      <c r="AK21" s="65">
        <f t="shared" si="9"/>
        <v>35</v>
      </c>
      <c r="AL21" s="450">
        <v>0</v>
      </c>
      <c r="AM21" s="451"/>
      <c r="AN21" s="451"/>
      <c r="AO21" s="451"/>
      <c r="AP21" s="451"/>
      <c r="AQ21" s="451"/>
      <c r="AR21" s="451"/>
      <c r="AS21" s="451"/>
      <c r="AT21" s="65">
        <f t="shared" si="10"/>
        <v>0</v>
      </c>
      <c r="AU21" s="450">
        <v>0</v>
      </c>
      <c r="AV21" s="451"/>
      <c r="AW21" s="451"/>
      <c r="AX21" s="451"/>
      <c r="AY21" s="451"/>
      <c r="AZ21" s="451"/>
      <c r="BA21" s="451"/>
      <c r="BB21" s="451"/>
      <c r="BC21" s="65">
        <f t="shared" si="11"/>
        <v>0</v>
      </c>
      <c r="BD21" s="450">
        <v>0</v>
      </c>
      <c r="BE21" s="451"/>
      <c r="BF21" s="451"/>
      <c r="BG21" s="451"/>
      <c r="BH21" s="451"/>
      <c r="BI21" s="451"/>
      <c r="BJ21" s="451"/>
      <c r="BK21" s="451"/>
      <c r="BL21" s="65">
        <f t="shared" si="12"/>
        <v>0</v>
      </c>
      <c r="BM21" s="450">
        <v>300</v>
      </c>
      <c r="BN21" s="451"/>
      <c r="BO21" s="451"/>
      <c r="BP21" s="451"/>
      <c r="BQ21" s="451"/>
      <c r="BR21" s="451"/>
      <c r="BS21" s="451"/>
      <c r="BT21" s="451"/>
      <c r="BU21" s="65">
        <f t="shared" si="0"/>
        <v>300</v>
      </c>
      <c r="BV21" s="450">
        <v>0</v>
      </c>
      <c r="BW21" s="451"/>
      <c r="BX21" s="451"/>
      <c r="BY21" s="451"/>
      <c r="BZ21" s="451"/>
      <c r="CA21" s="451"/>
      <c r="CB21" s="451"/>
      <c r="CC21" s="451"/>
      <c r="CD21" s="65">
        <f t="shared" si="1"/>
        <v>0</v>
      </c>
      <c r="CE21" s="450">
        <v>50</v>
      </c>
      <c r="CF21" s="451"/>
      <c r="CG21" s="451"/>
      <c r="CH21" s="451"/>
      <c r="CI21" s="451"/>
      <c r="CJ21" s="451"/>
      <c r="CK21" s="451"/>
      <c r="CL21" s="451"/>
      <c r="CM21" s="65">
        <f t="shared" si="2"/>
        <v>50</v>
      </c>
      <c r="CN21" s="450">
        <v>0</v>
      </c>
      <c r="CO21" s="451"/>
      <c r="CP21" s="451"/>
      <c r="CQ21" s="451"/>
      <c r="CR21" s="451"/>
      <c r="CS21" s="451"/>
      <c r="CT21" s="451"/>
      <c r="CU21" s="451"/>
      <c r="CV21" s="65">
        <f t="shared" si="3"/>
        <v>0</v>
      </c>
      <c r="CW21" s="450">
        <v>50</v>
      </c>
      <c r="CX21" s="451"/>
      <c r="CY21" s="451"/>
      <c r="CZ21" s="451"/>
      <c r="DA21" s="451"/>
      <c r="DB21" s="451"/>
      <c r="DC21" s="451"/>
      <c r="DD21" s="451"/>
      <c r="DE21" s="65">
        <f t="shared" si="4"/>
        <v>50</v>
      </c>
      <c r="DF21" s="450">
        <v>0</v>
      </c>
      <c r="DG21" s="451"/>
      <c r="DH21" s="451"/>
      <c r="DI21" s="451"/>
      <c r="DJ21" s="451"/>
      <c r="DK21" s="451"/>
      <c r="DL21" s="451"/>
      <c r="DM21" s="451"/>
      <c r="DN21" s="65">
        <f t="shared" si="5"/>
        <v>0</v>
      </c>
      <c r="DO21" s="66">
        <f t="shared" si="6"/>
        <v>495</v>
      </c>
      <c r="DP21" s="67"/>
    </row>
    <row r="22" spans="2:120" ht="234.75" customHeight="1">
      <c r="B22" s="508"/>
      <c r="C22" s="508"/>
      <c r="D22" s="511"/>
      <c r="E22" s="512"/>
      <c r="F22" s="491"/>
      <c r="G22" s="491"/>
      <c r="H22" s="514"/>
      <c r="I22" s="491"/>
      <c r="J22" s="68" t="s">
        <v>73</v>
      </c>
      <c r="K22" s="69">
        <v>153</v>
      </c>
      <c r="L22" s="69">
        <v>132</v>
      </c>
      <c r="M22" s="69">
        <v>82</v>
      </c>
      <c r="N22" s="69">
        <v>45</v>
      </c>
      <c r="O22" s="69">
        <v>109</v>
      </c>
      <c r="P22" s="69">
        <v>25</v>
      </c>
      <c r="Q22" s="69">
        <v>5</v>
      </c>
      <c r="R22" s="69">
        <v>0</v>
      </c>
      <c r="S22" s="69">
        <f t="shared" si="7"/>
        <v>551</v>
      </c>
      <c r="T22" s="67">
        <v>98</v>
      </c>
      <c r="U22" s="67">
        <v>71</v>
      </c>
      <c r="V22" s="67">
        <v>56</v>
      </c>
      <c r="W22" s="67">
        <v>13</v>
      </c>
      <c r="X22" s="67">
        <v>0</v>
      </c>
      <c r="Y22" s="67">
        <v>0</v>
      </c>
      <c r="Z22" s="67">
        <v>0</v>
      </c>
      <c r="AA22" s="67">
        <v>0</v>
      </c>
      <c r="AB22" s="67">
        <f t="shared" si="8"/>
        <v>238</v>
      </c>
      <c r="AC22" s="65">
        <v>131</v>
      </c>
      <c r="AD22" s="65">
        <v>136</v>
      </c>
      <c r="AE22" s="65">
        <v>70</v>
      </c>
      <c r="AF22" s="65">
        <v>65</v>
      </c>
      <c r="AG22" s="65">
        <v>178</v>
      </c>
      <c r="AH22" s="65">
        <v>30</v>
      </c>
      <c r="AI22" s="65">
        <v>11</v>
      </c>
      <c r="AJ22" s="65">
        <v>12</v>
      </c>
      <c r="AK22" s="65">
        <f t="shared" si="9"/>
        <v>633</v>
      </c>
      <c r="AL22" s="65">
        <v>65</v>
      </c>
      <c r="AM22" s="65">
        <v>73</v>
      </c>
      <c r="AN22" s="65">
        <v>51</v>
      </c>
      <c r="AO22" s="65">
        <v>30</v>
      </c>
      <c r="AP22" s="65">
        <v>40</v>
      </c>
      <c r="AQ22" s="65">
        <v>37</v>
      </c>
      <c r="AR22" s="65">
        <v>36</v>
      </c>
      <c r="AS22" s="65">
        <v>16</v>
      </c>
      <c r="AT22" s="65">
        <f t="shared" si="10"/>
        <v>348</v>
      </c>
      <c r="AU22" s="65">
        <v>269</v>
      </c>
      <c r="AV22" s="65">
        <v>188</v>
      </c>
      <c r="AW22" s="65">
        <v>76</v>
      </c>
      <c r="AX22" s="65">
        <v>73</v>
      </c>
      <c r="AY22" s="65">
        <v>136</v>
      </c>
      <c r="AZ22" s="65">
        <v>48</v>
      </c>
      <c r="BA22" s="65">
        <v>33</v>
      </c>
      <c r="BB22" s="65">
        <v>9</v>
      </c>
      <c r="BC22" s="65">
        <f t="shared" si="11"/>
        <v>832</v>
      </c>
      <c r="BD22" s="65">
        <v>0</v>
      </c>
      <c r="BE22" s="65">
        <v>0</v>
      </c>
      <c r="BF22" s="65">
        <v>0</v>
      </c>
      <c r="BG22" s="65">
        <v>0</v>
      </c>
      <c r="BH22" s="65">
        <v>0</v>
      </c>
      <c r="BI22" s="65">
        <v>0</v>
      </c>
      <c r="BJ22" s="65">
        <v>0</v>
      </c>
      <c r="BK22" s="65">
        <v>0</v>
      </c>
      <c r="BL22" s="65">
        <f>SUM(BD22:BK22)</f>
        <v>0</v>
      </c>
      <c r="BM22" s="65"/>
      <c r="BN22" s="65"/>
      <c r="BO22" s="65"/>
      <c r="BP22" s="65"/>
      <c r="BQ22" s="65"/>
      <c r="BR22" s="65"/>
      <c r="BS22" s="65"/>
      <c r="BT22" s="65"/>
      <c r="BU22" s="65">
        <f t="shared" si="0"/>
        <v>0</v>
      </c>
      <c r="BV22" s="65"/>
      <c r="BW22" s="65"/>
      <c r="BX22" s="65"/>
      <c r="BY22" s="65"/>
      <c r="BZ22" s="65"/>
      <c r="CA22" s="65"/>
      <c r="CB22" s="65"/>
      <c r="CC22" s="65"/>
      <c r="CD22" s="65">
        <f t="shared" si="1"/>
        <v>0</v>
      </c>
      <c r="CE22" s="65"/>
      <c r="CF22" s="65"/>
      <c r="CG22" s="65"/>
      <c r="CH22" s="65"/>
      <c r="CI22" s="65"/>
      <c r="CJ22" s="65"/>
      <c r="CK22" s="65"/>
      <c r="CL22" s="65"/>
      <c r="CM22" s="65">
        <f t="shared" si="2"/>
        <v>0</v>
      </c>
      <c r="CN22" s="65"/>
      <c r="CO22" s="65"/>
      <c r="CP22" s="65"/>
      <c r="CQ22" s="65"/>
      <c r="CR22" s="65"/>
      <c r="CS22" s="65"/>
      <c r="CT22" s="65"/>
      <c r="CU22" s="65"/>
      <c r="CV22" s="65">
        <f t="shared" si="3"/>
        <v>0</v>
      </c>
      <c r="CW22" s="65"/>
      <c r="CX22" s="65"/>
      <c r="CY22" s="65"/>
      <c r="CZ22" s="65"/>
      <c r="DA22" s="65"/>
      <c r="DB22" s="65"/>
      <c r="DC22" s="65"/>
      <c r="DD22" s="65"/>
      <c r="DE22" s="65">
        <f t="shared" si="4"/>
        <v>0</v>
      </c>
      <c r="DF22" s="65"/>
      <c r="DG22" s="65"/>
      <c r="DH22" s="65"/>
      <c r="DI22" s="65"/>
      <c r="DJ22" s="65"/>
      <c r="DK22" s="65"/>
      <c r="DL22" s="65"/>
      <c r="DM22" s="65"/>
      <c r="DN22" s="65">
        <f t="shared" si="5"/>
        <v>0</v>
      </c>
      <c r="DO22" s="66">
        <f t="shared" si="6"/>
        <v>2602</v>
      </c>
      <c r="DP22" s="70" t="s">
        <v>254</v>
      </c>
    </row>
    <row r="23" spans="2:120" ht="234.75" hidden="1" customHeight="1">
      <c r="B23" s="507" t="s">
        <v>74</v>
      </c>
      <c r="C23" s="507" t="s">
        <v>107</v>
      </c>
      <c r="D23" s="509" t="s">
        <v>2</v>
      </c>
      <c r="E23" s="510"/>
      <c r="F23" s="491" t="s">
        <v>105</v>
      </c>
      <c r="G23" s="492">
        <v>91</v>
      </c>
      <c r="H23" s="514" t="s">
        <v>110</v>
      </c>
      <c r="I23" s="491">
        <v>75</v>
      </c>
      <c r="J23" s="64" t="s">
        <v>72</v>
      </c>
      <c r="K23" s="503">
        <v>5</v>
      </c>
      <c r="L23" s="504"/>
      <c r="M23" s="504"/>
      <c r="N23" s="504"/>
      <c r="O23" s="504"/>
      <c r="P23" s="504"/>
      <c r="Q23" s="504"/>
      <c r="R23" s="504"/>
      <c r="S23" s="69">
        <f t="shared" si="7"/>
        <v>5</v>
      </c>
      <c r="T23" s="505">
        <v>5</v>
      </c>
      <c r="U23" s="506"/>
      <c r="V23" s="506"/>
      <c r="W23" s="506"/>
      <c r="X23" s="506"/>
      <c r="Y23" s="506"/>
      <c r="Z23" s="506"/>
      <c r="AA23" s="506"/>
      <c r="AB23" s="67">
        <f t="shared" si="8"/>
        <v>5</v>
      </c>
      <c r="AC23" s="450">
        <v>10</v>
      </c>
      <c r="AD23" s="451"/>
      <c r="AE23" s="451"/>
      <c r="AF23" s="451"/>
      <c r="AG23" s="451"/>
      <c r="AH23" s="451"/>
      <c r="AI23" s="451"/>
      <c r="AJ23" s="451"/>
      <c r="AK23" s="65">
        <f t="shared" si="9"/>
        <v>10</v>
      </c>
      <c r="AL23" s="450">
        <v>10</v>
      </c>
      <c r="AM23" s="451"/>
      <c r="AN23" s="451"/>
      <c r="AO23" s="451"/>
      <c r="AP23" s="451"/>
      <c r="AQ23" s="451"/>
      <c r="AR23" s="451"/>
      <c r="AS23" s="451"/>
      <c r="AT23" s="65">
        <f t="shared" si="10"/>
        <v>10</v>
      </c>
      <c r="AU23" s="450">
        <v>7</v>
      </c>
      <c r="AV23" s="451"/>
      <c r="AW23" s="451"/>
      <c r="AX23" s="451"/>
      <c r="AY23" s="451"/>
      <c r="AZ23" s="451"/>
      <c r="BA23" s="451"/>
      <c r="BB23" s="451"/>
      <c r="BC23" s="65">
        <f t="shared" si="11"/>
        <v>7</v>
      </c>
      <c r="BD23" s="450">
        <v>5</v>
      </c>
      <c r="BE23" s="451"/>
      <c r="BF23" s="451"/>
      <c r="BG23" s="451"/>
      <c r="BH23" s="451"/>
      <c r="BI23" s="451"/>
      <c r="BJ23" s="451"/>
      <c r="BK23" s="451"/>
      <c r="BL23" s="65">
        <f t="shared" si="12"/>
        <v>5</v>
      </c>
      <c r="BM23" s="450">
        <v>5</v>
      </c>
      <c r="BN23" s="451"/>
      <c r="BO23" s="451"/>
      <c r="BP23" s="451"/>
      <c r="BQ23" s="451"/>
      <c r="BR23" s="451"/>
      <c r="BS23" s="451"/>
      <c r="BT23" s="451"/>
      <c r="BU23" s="65">
        <f t="shared" si="0"/>
        <v>5</v>
      </c>
      <c r="BV23" s="450">
        <v>5</v>
      </c>
      <c r="BW23" s="451"/>
      <c r="BX23" s="451"/>
      <c r="BY23" s="451"/>
      <c r="BZ23" s="451"/>
      <c r="CA23" s="451"/>
      <c r="CB23" s="451"/>
      <c r="CC23" s="451"/>
      <c r="CD23" s="65">
        <f t="shared" si="1"/>
        <v>5</v>
      </c>
      <c r="CE23" s="450">
        <v>6</v>
      </c>
      <c r="CF23" s="451"/>
      <c r="CG23" s="451"/>
      <c r="CH23" s="451"/>
      <c r="CI23" s="451"/>
      <c r="CJ23" s="451"/>
      <c r="CK23" s="451"/>
      <c r="CL23" s="451"/>
      <c r="CM23" s="65">
        <f t="shared" si="2"/>
        <v>6</v>
      </c>
      <c r="CN23" s="450">
        <v>6</v>
      </c>
      <c r="CO23" s="451"/>
      <c r="CP23" s="451"/>
      <c r="CQ23" s="451"/>
      <c r="CR23" s="451"/>
      <c r="CS23" s="451"/>
      <c r="CT23" s="451"/>
      <c r="CU23" s="451"/>
      <c r="CV23" s="65">
        <f t="shared" si="3"/>
        <v>6</v>
      </c>
      <c r="CW23" s="450">
        <v>6</v>
      </c>
      <c r="CX23" s="451"/>
      <c r="CY23" s="451"/>
      <c r="CZ23" s="451"/>
      <c r="DA23" s="451"/>
      <c r="DB23" s="451"/>
      <c r="DC23" s="451"/>
      <c r="DD23" s="451"/>
      <c r="DE23" s="65">
        <f t="shared" si="4"/>
        <v>6</v>
      </c>
      <c r="DF23" s="450">
        <v>5</v>
      </c>
      <c r="DG23" s="451"/>
      <c r="DH23" s="451"/>
      <c r="DI23" s="451"/>
      <c r="DJ23" s="451"/>
      <c r="DK23" s="451"/>
      <c r="DL23" s="451"/>
      <c r="DM23" s="451"/>
      <c r="DN23" s="65">
        <f t="shared" si="5"/>
        <v>5</v>
      </c>
      <c r="DO23" s="66">
        <f t="shared" si="6"/>
        <v>75</v>
      </c>
      <c r="DP23" s="67"/>
    </row>
    <row r="24" spans="2:120" ht="234.75" customHeight="1">
      <c r="B24" s="508"/>
      <c r="C24" s="508"/>
      <c r="D24" s="511"/>
      <c r="E24" s="512"/>
      <c r="F24" s="491"/>
      <c r="G24" s="491"/>
      <c r="H24" s="514"/>
      <c r="I24" s="491"/>
      <c r="J24" s="68" t="s">
        <v>73</v>
      </c>
      <c r="K24" s="69">
        <v>1</v>
      </c>
      <c r="L24" s="69">
        <v>3</v>
      </c>
      <c r="M24" s="69">
        <v>3</v>
      </c>
      <c r="N24" s="69">
        <v>4</v>
      </c>
      <c r="O24" s="69">
        <v>14</v>
      </c>
      <c r="P24" s="69">
        <v>1</v>
      </c>
      <c r="Q24" s="69">
        <v>0</v>
      </c>
      <c r="R24" s="69">
        <v>0</v>
      </c>
      <c r="S24" s="69">
        <f t="shared" si="7"/>
        <v>26</v>
      </c>
      <c r="T24" s="67">
        <v>1</v>
      </c>
      <c r="U24" s="67">
        <v>6</v>
      </c>
      <c r="V24" s="67">
        <v>2</v>
      </c>
      <c r="W24" s="67">
        <v>4</v>
      </c>
      <c r="X24" s="67">
        <v>4</v>
      </c>
      <c r="Y24" s="67">
        <v>4</v>
      </c>
      <c r="Z24" s="67">
        <v>4</v>
      </c>
      <c r="AA24" s="67">
        <v>1</v>
      </c>
      <c r="AB24" s="67">
        <f t="shared" si="8"/>
        <v>26</v>
      </c>
      <c r="AC24" s="65">
        <v>4</v>
      </c>
      <c r="AD24" s="65">
        <v>3</v>
      </c>
      <c r="AE24" s="65">
        <v>3</v>
      </c>
      <c r="AF24" s="65">
        <v>4</v>
      </c>
      <c r="AG24" s="65">
        <v>6</v>
      </c>
      <c r="AH24" s="65">
        <v>2</v>
      </c>
      <c r="AI24" s="65">
        <v>1</v>
      </c>
      <c r="AJ24" s="65">
        <v>1</v>
      </c>
      <c r="AK24" s="65">
        <f t="shared" si="9"/>
        <v>24</v>
      </c>
      <c r="AL24" s="65">
        <v>6</v>
      </c>
      <c r="AM24" s="65">
        <v>4</v>
      </c>
      <c r="AN24" s="65">
        <v>11</v>
      </c>
      <c r="AO24" s="65">
        <v>7</v>
      </c>
      <c r="AP24" s="65">
        <v>10</v>
      </c>
      <c r="AQ24" s="65">
        <v>2</v>
      </c>
      <c r="AR24" s="65">
        <v>0</v>
      </c>
      <c r="AS24" s="65">
        <v>1</v>
      </c>
      <c r="AT24" s="65">
        <f t="shared" si="10"/>
        <v>41</v>
      </c>
      <c r="AU24" s="65">
        <v>3</v>
      </c>
      <c r="AV24" s="65">
        <v>11</v>
      </c>
      <c r="AW24" s="65">
        <v>5</v>
      </c>
      <c r="AX24" s="65">
        <v>5</v>
      </c>
      <c r="AY24" s="65">
        <v>18</v>
      </c>
      <c r="AZ24" s="65">
        <v>5</v>
      </c>
      <c r="BA24" s="65">
        <v>7</v>
      </c>
      <c r="BB24" s="65">
        <v>3</v>
      </c>
      <c r="BC24" s="65">
        <f t="shared" si="11"/>
        <v>57</v>
      </c>
      <c r="BD24" s="65">
        <v>8</v>
      </c>
      <c r="BE24" s="65">
        <v>9</v>
      </c>
      <c r="BF24" s="65">
        <v>17</v>
      </c>
      <c r="BG24" s="65">
        <v>11</v>
      </c>
      <c r="BH24" s="65">
        <v>26</v>
      </c>
      <c r="BI24" s="65">
        <v>4</v>
      </c>
      <c r="BJ24" s="65">
        <v>0</v>
      </c>
      <c r="BK24" s="65">
        <v>0</v>
      </c>
      <c r="BL24" s="65">
        <f>SUM(BD24:BK24)</f>
        <v>75</v>
      </c>
      <c r="BM24" s="65"/>
      <c r="BN24" s="65"/>
      <c r="BO24" s="65"/>
      <c r="BP24" s="65"/>
      <c r="BQ24" s="65"/>
      <c r="BR24" s="65"/>
      <c r="BS24" s="65"/>
      <c r="BT24" s="65"/>
      <c r="BU24" s="65">
        <f t="shared" si="0"/>
        <v>0</v>
      </c>
      <c r="BV24" s="65"/>
      <c r="BW24" s="65"/>
      <c r="BX24" s="65"/>
      <c r="BY24" s="65"/>
      <c r="BZ24" s="65"/>
      <c r="CA24" s="65"/>
      <c r="CB24" s="65"/>
      <c r="CC24" s="65"/>
      <c r="CD24" s="65">
        <f t="shared" si="1"/>
        <v>0</v>
      </c>
      <c r="CE24" s="65"/>
      <c r="CF24" s="65"/>
      <c r="CG24" s="65"/>
      <c r="CH24" s="65"/>
      <c r="CI24" s="65"/>
      <c r="CJ24" s="65"/>
      <c r="CK24" s="65"/>
      <c r="CL24" s="65"/>
      <c r="CM24" s="65">
        <f t="shared" si="2"/>
        <v>0</v>
      </c>
      <c r="CN24" s="65"/>
      <c r="CO24" s="65"/>
      <c r="CP24" s="65"/>
      <c r="CQ24" s="65"/>
      <c r="CR24" s="65"/>
      <c r="CS24" s="65"/>
      <c r="CT24" s="65"/>
      <c r="CU24" s="65"/>
      <c r="CV24" s="65">
        <f t="shared" si="3"/>
        <v>0</v>
      </c>
      <c r="CW24" s="65"/>
      <c r="CX24" s="65"/>
      <c r="CY24" s="65"/>
      <c r="CZ24" s="65"/>
      <c r="DA24" s="65"/>
      <c r="DB24" s="65"/>
      <c r="DC24" s="65"/>
      <c r="DD24" s="65"/>
      <c r="DE24" s="65">
        <f t="shared" si="4"/>
        <v>0</v>
      </c>
      <c r="DF24" s="65"/>
      <c r="DG24" s="65"/>
      <c r="DH24" s="65"/>
      <c r="DI24" s="65"/>
      <c r="DJ24" s="65"/>
      <c r="DK24" s="65"/>
      <c r="DL24" s="65"/>
      <c r="DM24" s="65"/>
      <c r="DN24" s="65">
        <f t="shared" si="5"/>
        <v>0</v>
      </c>
      <c r="DO24" s="66">
        <f t="shared" si="6"/>
        <v>249</v>
      </c>
      <c r="DP24" s="67" t="s">
        <v>111</v>
      </c>
    </row>
    <row r="25" spans="2:120" ht="288.75" hidden="1" customHeight="1">
      <c r="B25" s="507" t="s">
        <v>112</v>
      </c>
      <c r="C25" s="507" t="s">
        <v>113</v>
      </c>
      <c r="D25" s="509" t="s">
        <v>114</v>
      </c>
      <c r="E25" s="510"/>
      <c r="F25" s="491" t="s">
        <v>115</v>
      </c>
      <c r="G25" s="492">
        <v>660</v>
      </c>
      <c r="H25" s="515" t="s">
        <v>116</v>
      </c>
      <c r="I25" s="491">
        <v>499</v>
      </c>
      <c r="J25" s="64" t="s">
        <v>72</v>
      </c>
      <c r="K25" s="503">
        <v>0</v>
      </c>
      <c r="L25" s="504"/>
      <c r="M25" s="504"/>
      <c r="N25" s="504"/>
      <c r="O25" s="504"/>
      <c r="P25" s="504"/>
      <c r="Q25" s="504"/>
      <c r="R25" s="504"/>
      <c r="S25" s="69">
        <f t="shared" si="7"/>
        <v>0</v>
      </c>
      <c r="T25" s="505">
        <v>0</v>
      </c>
      <c r="U25" s="506"/>
      <c r="V25" s="506"/>
      <c r="W25" s="506"/>
      <c r="X25" s="506"/>
      <c r="Y25" s="506"/>
      <c r="Z25" s="506"/>
      <c r="AA25" s="506"/>
      <c r="AB25" s="67">
        <f t="shared" si="8"/>
        <v>0</v>
      </c>
      <c r="AC25" s="450">
        <v>0</v>
      </c>
      <c r="AD25" s="451"/>
      <c r="AE25" s="451"/>
      <c r="AF25" s="451"/>
      <c r="AG25" s="451"/>
      <c r="AH25" s="451"/>
      <c r="AI25" s="451"/>
      <c r="AJ25" s="451"/>
      <c r="AK25" s="65">
        <f t="shared" si="9"/>
        <v>0</v>
      </c>
      <c r="AL25" s="450">
        <v>0</v>
      </c>
      <c r="AM25" s="451"/>
      <c r="AN25" s="451"/>
      <c r="AO25" s="451"/>
      <c r="AP25" s="451"/>
      <c r="AQ25" s="451"/>
      <c r="AR25" s="451"/>
      <c r="AS25" s="451"/>
      <c r="AT25" s="65">
        <f t="shared" si="10"/>
        <v>0</v>
      </c>
      <c r="AU25" s="450">
        <v>0</v>
      </c>
      <c r="AV25" s="451"/>
      <c r="AW25" s="451"/>
      <c r="AX25" s="451"/>
      <c r="AY25" s="451"/>
      <c r="AZ25" s="451"/>
      <c r="BA25" s="451"/>
      <c r="BB25" s="451"/>
      <c r="BC25" s="65">
        <f t="shared" si="11"/>
        <v>0</v>
      </c>
      <c r="BD25" s="450">
        <v>0</v>
      </c>
      <c r="BE25" s="451"/>
      <c r="BF25" s="451"/>
      <c r="BG25" s="451"/>
      <c r="BH25" s="451"/>
      <c r="BI25" s="451"/>
      <c r="BJ25" s="451"/>
      <c r="BK25" s="451"/>
      <c r="BL25" s="65">
        <f t="shared" si="12"/>
        <v>0</v>
      </c>
      <c r="BM25" s="450">
        <v>0</v>
      </c>
      <c r="BN25" s="451"/>
      <c r="BO25" s="451"/>
      <c r="BP25" s="451"/>
      <c r="BQ25" s="451"/>
      <c r="BR25" s="451"/>
      <c r="BS25" s="451"/>
      <c r="BT25" s="451"/>
      <c r="BU25" s="65">
        <f t="shared" si="0"/>
        <v>0</v>
      </c>
      <c r="BV25" s="450">
        <v>300</v>
      </c>
      <c r="BW25" s="451"/>
      <c r="BX25" s="451"/>
      <c r="BY25" s="451"/>
      <c r="BZ25" s="451"/>
      <c r="CA25" s="451"/>
      <c r="CB25" s="451"/>
      <c r="CC25" s="451"/>
      <c r="CD25" s="65">
        <f t="shared" si="1"/>
        <v>300</v>
      </c>
      <c r="CE25" s="450">
        <v>199</v>
      </c>
      <c r="CF25" s="451"/>
      <c r="CG25" s="451"/>
      <c r="CH25" s="451"/>
      <c r="CI25" s="451"/>
      <c r="CJ25" s="451"/>
      <c r="CK25" s="451"/>
      <c r="CL25" s="451"/>
      <c r="CM25" s="65">
        <f t="shared" si="2"/>
        <v>199</v>
      </c>
      <c r="CN25" s="450">
        <v>0</v>
      </c>
      <c r="CO25" s="451"/>
      <c r="CP25" s="451"/>
      <c r="CQ25" s="451"/>
      <c r="CR25" s="451"/>
      <c r="CS25" s="451"/>
      <c r="CT25" s="451"/>
      <c r="CU25" s="451"/>
      <c r="CV25" s="65">
        <f t="shared" si="3"/>
        <v>0</v>
      </c>
      <c r="CW25" s="450">
        <v>0</v>
      </c>
      <c r="CX25" s="451"/>
      <c r="CY25" s="451"/>
      <c r="CZ25" s="451"/>
      <c r="DA25" s="451"/>
      <c r="DB25" s="451"/>
      <c r="DC25" s="451"/>
      <c r="DD25" s="451"/>
      <c r="DE25" s="65">
        <f t="shared" si="4"/>
        <v>0</v>
      </c>
      <c r="DF25" s="450">
        <v>0</v>
      </c>
      <c r="DG25" s="451"/>
      <c r="DH25" s="451"/>
      <c r="DI25" s="451"/>
      <c r="DJ25" s="451"/>
      <c r="DK25" s="451"/>
      <c r="DL25" s="451"/>
      <c r="DM25" s="451"/>
      <c r="DN25" s="65">
        <f t="shared" si="5"/>
        <v>0</v>
      </c>
      <c r="DO25" s="66">
        <f t="shared" si="6"/>
        <v>499</v>
      </c>
      <c r="DP25" s="67"/>
    </row>
    <row r="26" spans="2:120" ht="346.5" customHeight="1">
      <c r="B26" s="508"/>
      <c r="C26" s="508"/>
      <c r="D26" s="511"/>
      <c r="E26" s="512"/>
      <c r="F26" s="491"/>
      <c r="G26" s="491"/>
      <c r="H26" s="515"/>
      <c r="I26" s="491"/>
      <c r="J26" s="68" t="s">
        <v>73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f t="shared" si="7"/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f t="shared" si="8"/>
        <v>0</v>
      </c>
      <c r="AC26" s="65">
        <f t="shared" ref="AC26:AJ26" si="18">SUM(U26)</f>
        <v>0</v>
      </c>
      <c r="AD26" s="65">
        <f t="shared" si="18"/>
        <v>0</v>
      </c>
      <c r="AE26" s="65">
        <f t="shared" si="18"/>
        <v>0</v>
      </c>
      <c r="AF26" s="65">
        <f t="shared" si="18"/>
        <v>0</v>
      </c>
      <c r="AG26" s="65">
        <f t="shared" si="18"/>
        <v>0</v>
      </c>
      <c r="AH26" s="65">
        <f t="shared" si="18"/>
        <v>0</v>
      </c>
      <c r="AI26" s="65">
        <f t="shared" si="18"/>
        <v>0</v>
      </c>
      <c r="AJ26" s="65">
        <f t="shared" si="18"/>
        <v>0</v>
      </c>
      <c r="AK26" s="65">
        <f t="shared" si="9"/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f t="shared" si="10"/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f t="shared" si="11"/>
        <v>0</v>
      </c>
      <c r="BD26" s="467">
        <v>0</v>
      </c>
      <c r="BE26" s="468"/>
      <c r="BF26" s="468"/>
      <c r="BG26" s="468"/>
      <c r="BH26" s="468"/>
      <c r="BI26" s="468"/>
      <c r="BJ26" s="468"/>
      <c r="BK26" s="469"/>
      <c r="BL26" s="65">
        <f t="shared" si="12"/>
        <v>0</v>
      </c>
      <c r="BM26" s="65"/>
      <c r="BN26" s="65"/>
      <c r="BO26" s="65"/>
      <c r="BP26" s="65"/>
      <c r="BQ26" s="65"/>
      <c r="BR26" s="65"/>
      <c r="BS26" s="65"/>
      <c r="BT26" s="65"/>
      <c r="BU26" s="65">
        <f t="shared" si="0"/>
        <v>0</v>
      </c>
      <c r="BV26" s="65"/>
      <c r="BW26" s="65"/>
      <c r="BX26" s="65"/>
      <c r="BY26" s="65"/>
      <c r="BZ26" s="65"/>
      <c r="CA26" s="65"/>
      <c r="CB26" s="65"/>
      <c r="CC26" s="65"/>
      <c r="CD26" s="65">
        <f t="shared" si="1"/>
        <v>0</v>
      </c>
      <c r="CE26" s="65"/>
      <c r="CF26" s="65"/>
      <c r="CG26" s="65"/>
      <c r="CH26" s="65"/>
      <c r="CI26" s="65"/>
      <c r="CJ26" s="65"/>
      <c r="CK26" s="65"/>
      <c r="CL26" s="65"/>
      <c r="CM26" s="65">
        <f t="shared" si="2"/>
        <v>0</v>
      </c>
      <c r="CN26" s="65"/>
      <c r="CO26" s="65"/>
      <c r="CP26" s="65"/>
      <c r="CQ26" s="65"/>
      <c r="CR26" s="65"/>
      <c r="CS26" s="65"/>
      <c r="CT26" s="65"/>
      <c r="CU26" s="65"/>
      <c r="CV26" s="65">
        <f t="shared" si="3"/>
        <v>0</v>
      </c>
      <c r="CW26" s="65"/>
      <c r="CX26" s="65"/>
      <c r="CY26" s="65"/>
      <c r="CZ26" s="65"/>
      <c r="DA26" s="65"/>
      <c r="DB26" s="65"/>
      <c r="DC26" s="65"/>
      <c r="DD26" s="65"/>
      <c r="DE26" s="65">
        <f t="shared" si="4"/>
        <v>0</v>
      </c>
      <c r="DF26" s="65"/>
      <c r="DG26" s="65"/>
      <c r="DH26" s="65"/>
      <c r="DI26" s="65"/>
      <c r="DJ26" s="65"/>
      <c r="DK26" s="65"/>
      <c r="DL26" s="65"/>
      <c r="DM26" s="65"/>
      <c r="DN26" s="65">
        <f t="shared" si="5"/>
        <v>0</v>
      </c>
      <c r="DO26" s="66">
        <f t="shared" si="6"/>
        <v>0</v>
      </c>
      <c r="DP26" s="67"/>
    </row>
    <row r="27" spans="2:120" ht="221.25" hidden="1" customHeight="1">
      <c r="B27" s="507" t="s">
        <v>68</v>
      </c>
      <c r="C27" s="507" t="s">
        <v>77</v>
      </c>
      <c r="D27" s="509" t="s">
        <v>78</v>
      </c>
      <c r="E27" s="510"/>
      <c r="F27" s="491" t="s">
        <v>99</v>
      </c>
      <c r="G27" s="492">
        <v>289</v>
      </c>
      <c r="H27" s="493" t="s">
        <v>117</v>
      </c>
      <c r="I27" s="491">
        <v>4</v>
      </c>
      <c r="J27" s="64" t="s">
        <v>72</v>
      </c>
      <c r="K27" s="503">
        <v>0</v>
      </c>
      <c r="L27" s="504"/>
      <c r="M27" s="504"/>
      <c r="N27" s="504"/>
      <c r="O27" s="504"/>
      <c r="P27" s="504"/>
      <c r="Q27" s="504"/>
      <c r="R27" s="504"/>
      <c r="S27" s="69">
        <f t="shared" si="7"/>
        <v>0</v>
      </c>
      <c r="T27" s="505">
        <v>0</v>
      </c>
      <c r="U27" s="506"/>
      <c r="V27" s="506"/>
      <c r="W27" s="506"/>
      <c r="X27" s="506"/>
      <c r="Y27" s="506"/>
      <c r="Z27" s="506"/>
      <c r="AA27" s="506"/>
      <c r="AB27" s="67">
        <f t="shared" si="8"/>
        <v>0</v>
      </c>
      <c r="AC27" s="450">
        <v>0</v>
      </c>
      <c r="AD27" s="451"/>
      <c r="AE27" s="451"/>
      <c r="AF27" s="451"/>
      <c r="AG27" s="451"/>
      <c r="AH27" s="451"/>
      <c r="AI27" s="451"/>
      <c r="AJ27" s="451"/>
      <c r="AK27" s="65">
        <f t="shared" si="9"/>
        <v>0</v>
      </c>
      <c r="AL27" s="450">
        <v>0</v>
      </c>
      <c r="AM27" s="451"/>
      <c r="AN27" s="451"/>
      <c r="AO27" s="451"/>
      <c r="AP27" s="451"/>
      <c r="AQ27" s="451"/>
      <c r="AR27" s="451"/>
      <c r="AS27" s="451"/>
      <c r="AT27" s="65">
        <f t="shared" si="10"/>
        <v>0</v>
      </c>
      <c r="AU27" s="450">
        <v>0</v>
      </c>
      <c r="AV27" s="451"/>
      <c r="AW27" s="451"/>
      <c r="AX27" s="451"/>
      <c r="AY27" s="451"/>
      <c r="AZ27" s="451"/>
      <c r="BA27" s="451"/>
      <c r="BB27" s="451"/>
      <c r="BC27" s="65">
        <f t="shared" si="11"/>
        <v>0</v>
      </c>
      <c r="BD27" s="450">
        <v>0</v>
      </c>
      <c r="BE27" s="451"/>
      <c r="BF27" s="451"/>
      <c r="BG27" s="451"/>
      <c r="BH27" s="451"/>
      <c r="BI27" s="451"/>
      <c r="BJ27" s="451"/>
      <c r="BK27" s="451"/>
      <c r="BL27" s="65">
        <f t="shared" si="12"/>
        <v>0</v>
      </c>
      <c r="BM27" s="450">
        <v>1</v>
      </c>
      <c r="BN27" s="451"/>
      <c r="BO27" s="451"/>
      <c r="BP27" s="451"/>
      <c r="BQ27" s="451"/>
      <c r="BR27" s="451"/>
      <c r="BS27" s="451"/>
      <c r="BT27" s="451"/>
      <c r="BU27" s="65">
        <f t="shared" si="0"/>
        <v>1</v>
      </c>
      <c r="BV27" s="450">
        <v>1</v>
      </c>
      <c r="BW27" s="451"/>
      <c r="BX27" s="451"/>
      <c r="BY27" s="451"/>
      <c r="BZ27" s="451"/>
      <c r="CA27" s="451"/>
      <c r="CB27" s="451"/>
      <c r="CC27" s="451"/>
      <c r="CD27" s="65">
        <f t="shared" si="1"/>
        <v>1</v>
      </c>
      <c r="CE27" s="450">
        <v>1</v>
      </c>
      <c r="CF27" s="451"/>
      <c r="CG27" s="451"/>
      <c r="CH27" s="451"/>
      <c r="CI27" s="451"/>
      <c r="CJ27" s="451"/>
      <c r="CK27" s="451"/>
      <c r="CL27" s="451"/>
      <c r="CM27" s="65">
        <f t="shared" si="2"/>
        <v>1</v>
      </c>
      <c r="CN27" s="450">
        <v>1</v>
      </c>
      <c r="CO27" s="451"/>
      <c r="CP27" s="451"/>
      <c r="CQ27" s="451"/>
      <c r="CR27" s="451"/>
      <c r="CS27" s="451"/>
      <c r="CT27" s="451"/>
      <c r="CU27" s="451"/>
      <c r="CV27" s="65">
        <f t="shared" si="3"/>
        <v>1</v>
      </c>
      <c r="CW27" s="450">
        <v>0</v>
      </c>
      <c r="CX27" s="451"/>
      <c r="CY27" s="451"/>
      <c r="CZ27" s="451"/>
      <c r="DA27" s="451"/>
      <c r="DB27" s="451"/>
      <c r="DC27" s="451"/>
      <c r="DD27" s="451"/>
      <c r="DE27" s="65">
        <f t="shared" si="4"/>
        <v>0</v>
      </c>
      <c r="DF27" s="450">
        <v>0</v>
      </c>
      <c r="DG27" s="451"/>
      <c r="DH27" s="451"/>
      <c r="DI27" s="451"/>
      <c r="DJ27" s="451"/>
      <c r="DK27" s="451"/>
      <c r="DL27" s="451"/>
      <c r="DM27" s="451"/>
      <c r="DN27" s="65">
        <f t="shared" si="5"/>
        <v>0</v>
      </c>
      <c r="DO27" s="66">
        <f t="shared" si="6"/>
        <v>4</v>
      </c>
      <c r="DP27" s="67"/>
    </row>
    <row r="28" spans="2:120" ht="221.25" customHeight="1">
      <c r="B28" s="508"/>
      <c r="C28" s="508"/>
      <c r="D28" s="511"/>
      <c r="E28" s="512"/>
      <c r="F28" s="491"/>
      <c r="G28" s="491"/>
      <c r="H28" s="493"/>
      <c r="I28" s="491"/>
      <c r="J28" s="68">
        <v>660</v>
      </c>
      <c r="K28" s="69">
        <v>0</v>
      </c>
      <c r="L28" s="69">
        <v>0</v>
      </c>
      <c r="M28" s="69">
        <v>0</v>
      </c>
      <c r="N28" s="69">
        <v>0</v>
      </c>
      <c r="O28" s="69">
        <v>23</v>
      </c>
      <c r="P28" s="69">
        <v>0</v>
      </c>
      <c r="Q28" s="69">
        <v>2</v>
      </c>
      <c r="R28" s="69">
        <v>0</v>
      </c>
      <c r="S28" s="69">
        <f t="shared" si="7"/>
        <v>25</v>
      </c>
      <c r="T28" s="516">
        <v>6</v>
      </c>
      <c r="U28" s="517"/>
      <c r="V28" s="517"/>
      <c r="W28" s="517"/>
      <c r="X28" s="517"/>
      <c r="Y28" s="517"/>
      <c r="Z28" s="517"/>
      <c r="AA28" s="518"/>
      <c r="AB28" s="67">
        <f t="shared" si="8"/>
        <v>6</v>
      </c>
      <c r="AC28" s="65">
        <v>0</v>
      </c>
      <c r="AD28" s="65">
        <v>0</v>
      </c>
      <c r="AE28" s="65">
        <v>0</v>
      </c>
      <c r="AF28" s="65">
        <v>0</v>
      </c>
      <c r="AG28" s="65">
        <v>22</v>
      </c>
      <c r="AH28" s="65">
        <v>0</v>
      </c>
      <c r="AI28" s="65">
        <v>0</v>
      </c>
      <c r="AJ28" s="65">
        <v>0</v>
      </c>
      <c r="AK28" s="65">
        <f t="shared" si="9"/>
        <v>22</v>
      </c>
      <c r="AL28" s="467">
        <v>2</v>
      </c>
      <c r="AM28" s="468"/>
      <c r="AN28" s="468"/>
      <c r="AO28" s="468"/>
      <c r="AP28" s="468"/>
      <c r="AQ28" s="468"/>
      <c r="AR28" s="468"/>
      <c r="AS28" s="469"/>
      <c r="AT28" s="65">
        <f t="shared" si="10"/>
        <v>2</v>
      </c>
      <c r="AU28" s="467">
        <v>28</v>
      </c>
      <c r="AV28" s="468"/>
      <c r="AW28" s="468"/>
      <c r="AX28" s="468"/>
      <c r="AY28" s="468"/>
      <c r="AZ28" s="468"/>
      <c r="BA28" s="468"/>
      <c r="BB28" s="469"/>
      <c r="BC28" s="65">
        <f t="shared" si="11"/>
        <v>28</v>
      </c>
      <c r="BD28" s="467">
        <v>55</v>
      </c>
      <c r="BE28" s="468"/>
      <c r="BF28" s="468"/>
      <c r="BG28" s="468"/>
      <c r="BH28" s="468"/>
      <c r="BI28" s="468"/>
      <c r="BJ28" s="468"/>
      <c r="BK28" s="469"/>
      <c r="BL28" s="65">
        <f t="shared" si="12"/>
        <v>55</v>
      </c>
      <c r="BM28" s="65"/>
      <c r="BN28" s="65"/>
      <c r="BO28" s="65"/>
      <c r="BP28" s="65"/>
      <c r="BQ28" s="65"/>
      <c r="BR28" s="65"/>
      <c r="BS28" s="65"/>
      <c r="BT28" s="65"/>
      <c r="BU28" s="65">
        <f t="shared" si="0"/>
        <v>0</v>
      </c>
      <c r="BV28" s="65"/>
      <c r="BW28" s="65"/>
      <c r="BX28" s="65"/>
      <c r="BY28" s="65"/>
      <c r="BZ28" s="65"/>
      <c r="CA28" s="65"/>
      <c r="CB28" s="65"/>
      <c r="CC28" s="65"/>
      <c r="CD28" s="65">
        <f t="shared" si="1"/>
        <v>0</v>
      </c>
      <c r="CE28" s="65"/>
      <c r="CF28" s="65"/>
      <c r="CG28" s="65"/>
      <c r="CH28" s="65"/>
      <c r="CI28" s="65"/>
      <c r="CJ28" s="65"/>
      <c r="CK28" s="65"/>
      <c r="CL28" s="65"/>
      <c r="CM28" s="65">
        <f t="shared" si="2"/>
        <v>0</v>
      </c>
      <c r="CN28" s="65"/>
      <c r="CO28" s="65"/>
      <c r="CP28" s="65"/>
      <c r="CQ28" s="65"/>
      <c r="CR28" s="65"/>
      <c r="CS28" s="65"/>
      <c r="CT28" s="65"/>
      <c r="CU28" s="65"/>
      <c r="CV28" s="65">
        <f t="shared" si="3"/>
        <v>0</v>
      </c>
      <c r="CW28" s="65"/>
      <c r="CX28" s="65"/>
      <c r="CY28" s="65"/>
      <c r="CZ28" s="65"/>
      <c r="DA28" s="65"/>
      <c r="DB28" s="65"/>
      <c r="DC28" s="65"/>
      <c r="DD28" s="65"/>
      <c r="DE28" s="65">
        <f t="shared" si="4"/>
        <v>0</v>
      </c>
      <c r="DF28" s="65"/>
      <c r="DG28" s="65"/>
      <c r="DH28" s="65"/>
      <c r="DI28" s="65"/>
      <c r="DJ28" s="65"/>
      <c r="DK28" s="65"/>
      <c r="DL28" s="65"/>
      <c r="DM28" s="65"/>
      <c r="DN28" s="65">
        <f t="shared" si="5"/>
        <v>0</v>
      </c>
      <c r="DO28" s="66">
        <f t="shared" si="6"/>
        <v>138</v>
      </c>
      <c r="DP28" s="71" t="s">
        <v>118</v>
      </c>
    </row>
    <row r="29" spans="2:120" ht="221.25" hidden="1" customHeight="1">
      <c r="B29" s="507" t="s">
        <v>68</v>
      </c>
      <c r="C29" s="507" t="s">
        <v>77</v>
      </c>
      <c r="D29" s="509" t="s">
        <v>78</v>
      </c>
      <c r="E29" s="510"/>
      <c r="F29" s="491" t="s">
        <v>99</v>
      </c>
      <c r="G29" s="492">
        <v>660</v>
      </c>
      <c r="H29" s="493" t="s">
        <v>119</v>
      </c>
      <c r="I29" s="491">
        <v>495</v>
      </c>
      <c r="J29" s="64" t="s">
        <v>72</v>
      </c>
      <c r="K29" s="503">
        <v>0</v>
      </c>
      <c r="L29" s="504"/>
      <c r="M29" s="504"/>
      <c r="N29" s="504"/>
      <c r="O29" s="504"/>
      <c r="P29" s="504"/>
      <c r="Q29" s="504"/>
      <c r="R29" s="504"/>
      <c r="S29" s="69">
        <f t="shared" si="7"/>
        <v>0</v>
      </c>
      <c r="T29" s="505">
        <v>0</v>
      </c>
      <c r="U29" s="506"/>
      <c r="V29" s="506"/>
      <c r="W29" s="506"/>
      <c r="X29" s="506"/>
      <c r="Y29" s="506"/>
      <c r="Z29" s="506"/>
      <c r="AA29" s="506"/>
      <c r="AB29" s="67">
        <f t="shared" si="8"/>
        <v>0</v>
      </c>
      <c r="AC29" s="450">
        <v>0</v>
      </c>
      <c r="AD29" s="451"/>
      <c r="AE29" s="451"/>
      <c r="AF29" s="451"/>
      <c r="AG29" s="451"/>
      <c r="AH29" s="451"/>
      <c r="AI29" s="451"/>
      <c r="AJ29" s="451"/>
      <c r="AK29" s="65">
        <f t="shared" si="9"/>
        <v>0</v>
      </c>
      <c r="AL29" s="450">
        <v>0</v>
      </c>
      <c r="AM29" s="451"/>
      <c r="AN29" s="451"/>
      <c r="AO29" s="451"/>
      <c r="AP29" s="451"/>
      <c r="AQ29" s="451"/>
      <c r="AR29" s="451"/>
      <c r="AS29" s="451"/>
      <c r="AT29" s="65">
        <f t="shared" si="10"/>
        <v>0</v>
      </c>
      <c r="AU29" s="450">
        <v>0</v>
      </c>
      <c r="AV29" s="451"/>
      <c r="AW29" s="451"/>
      <c r="AX29" s="451"/>
      <c r="AY29" s="451"/>
      <c r="AZ29" s="451"/>
      <c r="BA29" s="451"/>
      <c r="BB29" s="451"/>
      <c r="BC29" s="65">
        <f t="shared" si="11"/>
        <v>0</v>
      </c>
      <c r="BD29" s="450">
        <v>0</v>
      </c>
      <c r="BE29" s="451"/>
      <c r="BF29" s="451"/>
      <c r="BG29" s="451"/>
      <c r="BH29" s="451"/>
      <c r="BI29" s="451"/>
      <c r="BJ29" s="451"/>
      <c r="BK29" s="451"/>
      <c r="BL29" s="65">
        <f t="shared" si="12"/>
        <v>0</v>
      </c>
      <c r="BM29" s="450">
        <v>0</v>
      </c>
      <c r="BN29" s="451"/>
      <c r="BO29" s="451"/>
      <c r="BP29" s="451"/>
      <c r="BQ29" s="451"/>
      <c r="BR29" s="451"/>
      <c r="BS29" s="451"/>
      <c r="BT29" s="451"/>
      <c r="BU29" s="65">
        <f t="shared" si="0"/>
        <v>0</v>
      </c>
      <c r="BV29" s="450">
        <v>0</v>
      </c>
      <c r="BW29" s="451"/>
      <c r="BX29" s="451"/>
      <c r="BY29" s="451"/>
      <c r="BZ29" s="451"/>
      <c r="CA29" s="451"/>
      <c r="CB29" s="451"/>
      <c r="CC29" s="451"/>
      <c r="CD29" s="65">
        <f t="shared" si="1"/>
        <v>0</v>
      </c>
      <c r="CE29" s="450">
        <v>0</v>
      </c>
      <c r="CF29" s="451"/>
      <c r="CG29" s="451"/>
      <c r="CH29" s="451"/>
      <c r="CI29" s="451"/>
      <c r="CJ29" s="451"/>
      <c r="CK29" s="451"/>
      <c r="CL29" s="451"/>
      <c r="CM29" s="65">
        <f t="shared" si="2"/>
        <v>0</v>
      </c>
      <c r="CN29" s="450">
        <v>495</v>
      </c>
      <c r="CO29" s="451"/>
      <c r="CP29" s="451"/>
      <c r="CQ29" s="451"/>
      <c r="CR29" s="451"/>
      <c r="CS29" s="451"/>
      <c r="CT29" s="451"/>
      <c r="CU29" s="451"/>
      <c r="CV29" s="65">
        <f t="shared" si="3"/>
        <v>495</v>
      </c>
      <c r="CW29" s="450">
        <v>0</v>
      </c>
      <c r="CX29" s="451"/>
      <c r="CY29" s="451"/>
      <c r="CZ29" s="451"/>
      <c r="DA29" s="451"/>
      <c r="DB29" s="451"/>
      <c r="DC29" s="451"/>
      <c r="DD29" s="451"/>
      <c r="DE29" s="65">
        <f t="shared" si="4"/>
        <v>0</v>
      </c>
      <c r="DF29" s="450">
        <v>0</v>
      </c>
      <c r="DG29" s="451"/>
      <c r="DH29" s="451"/>
      <c r="DI29" s="451"/>
      <c r="DJ29" s="451"/>
      <c r="DK29" s="451"/>
      <c r="DL29" s="451"/>
      <c r="DM29" s="451"/>
      <c r="DN29" s="65">
        <f t="shared" si="5"/>
        <v>0</v>
      </c>
      <c r="DO29" s="66">
        <f t="shared" si="6"/>
        <v>495</v>
      </c>
      <c r="DP29" s="67"/>
    </row>
    <row r="30" spans="2:120" ht="221.25" customHeight="1">
      <c r="B30" s="508"/>
      <c r="C30" s="508"/>
      <c r="D30" s="511"/>
      <c r="E30" s="512"/>
      <c r="F30" s="491"/>
      <c r="G30" s="491"/>
      <c r="H30" s="493"/>
      <c r="I30" s="491"/>
      <c r="J30" s="68" t="s">
        <v>73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f t="shared" si="7"/>
        <v>0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f t="shared" si="8"/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65">
        <f t="shared" si="9"/>
        <v>0</v>
      </c>
      <c r="AL30" s="65">
        <v>0</v>
      </c>
      <c r="AM30" s="65">
        <v>0</v>
      </c>
      <c r="AN30" s="65">
        <v>0</v>
      </c>
      <c r="AO30" s="65">
        <v>0</v>
      </c>
      <c r="AP30" s="65">
        <v>0</v>
      </c>
      <c r="AQ30" s="65">
        <v>0</v>
      </c>
      <c r="AR30" s="65">
        <v>0</v>
      </c>
      <c r="AS30" s="65">
        <v>0</v>
      </c>
      <c r="AT30" s="65">
        <f t="shared" si="10"/>
        <v>0</v>
      </c>
      <c r="AU30" s="65">
        <v>0</v>
      </c>
      <c r="AV30" s="65">
        <v>0</v>
      </c>
      <c r="AW30" s="65">
        <v>0</v>
      </c>
      <c r="AX30" s="65">
        <v>0</v>
      </c>
      <c r="AY30" s="65">
        <v>0</v>
      </c>
      <c r="AZ30" s="65">
        <v>0</v>
      </c>
      <c r="BA30" s="65">
        <v>0</v>
      </c>
      <c r="BB30" s="65">
        <v>0</v>
      </c>
      <c r="BC30" s="65">
        <f t="shared" si="11"/>
        <v>0</v>
      </c>
      <c r="BD30" s="467">
        <v>0</v>
      </c>
      <c r="BE30" s="468"/>
      <c r="BF30" s="468"/>
      <c r="BG30" s="468"/>
      <c r="BH30" s="468"/>
      <c r="BI30" s="468"/>
      <c r="BJ30" s="468"/>
      <c r="BK30" s="469"/>
      <c r="BL30" s="65">
        <f t="shared" si="12"/>
        <v>0</v>
      </c>
      <c r="BM30" s="65"/>
      <c r="BN30" s="65"/>
      <c r="BO30" s="65"/>
      <c r="BP30" s="65"/>
      <c r="BQ30" s="65"/>
      <c r="BR30" s="65"/>
      <c r="BS30" s="65"/>
      <c r="BT30" s="65"/>
      <c r="BU30" s="65">
        <f t="shared" si="0"/>
        <v>0</v>
      </c>
      <c r="BV30" s="65"/>
      <c r="BW30" s="65"/>
      <c r="BX30" s="65"/>
      <c r="BY30" s="65"/>
      <c r="BZ30" s="65"/>
      <c r="CA30" s="65"/>
      <c r="CB30" s="65"/>
      <c r="CC30" s="65"/>
      <c r="CD30" s="65">
        <f t="shared" si="1"/>
        <v>0</v>
      </c>
      <c r="CE30" s="65"/>
      <c r="CF30" s="65"/>
      <c r="CG30" s="65"/>
      <c r="CH30" s="65"/>
      <c r="CI30" s="65"/>
      <c r="CJ30" s="65"/>
      <c r="CK30" s="65"/>
      <c r="CL30" s="65"/>
      <c r="CM30" s="65">
        <f t="shared" si="2"/>
        <v>0</v>
      </c>
      <c r="CN30" s="65"/>
      <c r="CO30" s="65"/>
      <c r="CP30" s="65"/>
      <c r="CQ30" s="65"/>
      <c r="CR30" s="65"/>
      <c r="CS30" s="65"/>
      <c r="CT30" s="65"/>
      <c r="CU30" s="65"/>
      <c r="CV30" s="65">
        <f t="shared" si="3"/>
        <v>0</v>
      </c>
      <c r="CW30" s="65"/>
      <c r="CX30" s="65"/>
      <c r="CY30" s="65"/>
      <c r="CZ30" s="65"/>
      <c r="DA30" s="65"/>
      <c r="DB30" s="65"/>
      <c r="DC30" s="65"/>
      <c r="DD30" s="65"/>
      <c r="DE30" s="65">
        <f t="shared" si="4"/>
        <v>0</v>
      </c>
      <c r="DF30" s="65"/>
      <c r="DG30" s="65"/>
      <c r="DH30" s="65"/>
      <c r="DI30" s="65"/>
      <c r="DJ30" s="65"/>
      <c r="DK30" s="65"/>
      <c r="DL30" s="65"/>
      <c r="DM30" s="65"/>
      <c r="DN30" s="65">
        <f t="shared" si="5"/>
        <v>0</v>
      </c>
      <c r="DO30" s="66">
        <f t="shared" si="6"/>
        <v>0</v>
      </c>
      <c r="DP30" s="67"/>
    </row>
    <row r="31" spans="2:120" ht="221.25" hidden="1" customHeight="1">
      <c r="B31" s="507" t="s">
        <v>68</v>
      </c>
      <c r="C31" s="507" t="s">
        <v>77</v>
      </c>
      <c r="D31" s="509" t="s">
        <v>78</v>
      </c>
      <c r="E31" s="510"/>
      <c r="F31" s="491" t="s">
        <v>99</v>
      </c>
      <c r="G31" s="492">
        <v>1478</v>
      </c>
      <c r="H31" s="493" t="s">
        <v>120</v>
      </c>
      <c r="I31" s="491">
        <v>3970</v>
      </c>
      <c r="J31" s="64" t="s">
        <v>72</v>
      </c>
      <c r="K31" s="503">
        <v>100</v>
      </c>
      <c r="L31" s="504"/>
      <c r="M31" s="504"/>
      <c r="N31" s="504"/>
      <c r="O31" s="504"/>
      <c r="P31" s="504"/>
      <c r="Q31" s="504"/>
      <c r="R31" s="504"/>
      <c r="S31" s="69">
        <f t="shared" si="7"/>
        <v>100</v>
      </c>
      <c r="T31" s="505">
        <v>100</v>
      </c>
      <c r="U31" s="506"/>
      <c r="V31" s="506"/>
      <c r="W31" s="506"/>
      <c r="X31" s="506"/>
      <c r="Y31" s="506"/>
      <c r="Z31" s="506"/>
      <c r="AA31" s="506"/>
      <c r="AB31" s="67">
        <f t="shared" si="8"/>
        <v>100</v>
      </c>
      <c r="AC31" s="450">
        <v>250</v>
      </c>
      <c r="AD31" s="451"/>
      <c r="AE31" s="451"/>
      <c r="AF31" s="451"/>
      <c r="AG31" s="451"/>
      <c r="AH31" s="451"/>
      <c r="AI31" s="451"/>
      <c r="AJ31" s="451"/>
      <c r="AK31" s="65">
        <f t="shared" si="9"/>
        <v>250</v>
      </c>
      <c r="AL31" s="450">
        <v>150</v>
      </c>
      <c r="AM31" s="451"/>
      <c r="AN31" s="451"/>
      <c r="AO31" s="451"/>
      <c r="AP31" s="451"/>
      <c r="AQ31" s="451"/>
      <c r="AR31" s="451"/>
      <c r="AS31" s="451"/>
      <c r="AT31" s="65">
        <f t="shared" si="10"/>
        <v>150</v>
      </c>
      <c r="AU31" s="450">
        <v>200</v>
      </c>
      <c r="AV31" s="451"/>
      <c r="AW31" s="451"/>
      <c r="AX31" s="451"/>
      <c r="AY31" s="451"/>
      <c r="AZ31" s="451"/>
      <c r="BA31" s="451"/>
      <c r="BB31" s="451"/>
      <c r="BC31" s="65">
        <f t="shared" si="11"/>
        <v>200</v>
      </c>
      <c r="BD31" s="450">
        <v>200</v>
      </c>
      <c r="BE31" s="451"/>
      <c r="BF31" s="451"/>
      <c r="BG31" s="451"/>
      <c r="BH31" s="451"/>
      <c r="BI31" s="451"/>
      <c r="BJ31" s="451"/>
      <c r="BK31" s="451"/>
      <c r="BL31" s="65">
        <f t="shared" si="12"/>
        <v>200</v>
      </c>
      <c r="BM31" s="450">
        <v>170</v>
      </c>
      <c r="BN31" s="451"/>
      <c r="BO31" s="451"/>
      <c r="BP31" s="451"/>
      <c r="BQ31" s="451"/>
      <c r="BR31" s="451"/>
      <c r="BS31" s="451"/>
      <c r="BT31" s="451"/>
      <c r="BU31" s="65">
        <f t="shared" si="0"/>
        <v>170</v>
      </c>
      <c r="BV31" s="450">
        <v>200</v>
      </c>
      <c r="BW31" s="451"/>
      <c r="BX31" s="451"/>
      <c r="BY31" s="451"/>
      <c r="BZ31" s="451"/>
      <c r="CA31" s="451"/>
      <c r="CB31" s="451"/>
      <c r="CC31" s="451"/>
      <c r="CD31" s="65">
        <f t="shared" si="1"/>
        <v>200</v>
      </c>
      <c r="CE31" s="450">
        <v>200</v>
      </c>
      <c r="CF31" s="451"/>
      <c r="CG31" s="451"/>
      <c r="CH31" s="451"/>
      <c r="CI31" s="451"/>
      <c r="CJ31" s="451"/>
      <c r="CK31" s="451"/>
      <c r="CL31" s="451"/>
      <c r="CM31" s="65">
        <v>200</v>
      </c>
      <c r="CN31" s="450">
        <v>2000</v>
      </c>
      <c r="CO31" s="451"/>
      <c r="CP31" s="451"/>
      <c r="CQ31" s="451"/>
      <c r="CR31" s="451"/>
      <c r="CS31" s="451"/>
      <c r="CT31" s="451"/>
      <c r="CU31" s="451"/>
      <c r="CV31" s="65">
        <f t="shared" si="3"/>
        <v>2000</v>
      </c>
      <c r="CW31" s="450">
        <v>200</v>
      </c>
      <c r="CX31" s="451"/>
      <c r="CY31" s="451"/>
      <c r="CZ31" s="451"/>
      <c r="DA31" s="451"/>
      <c r="DB31" s="451"/>
      <c r="DC31" s="451"/>
      <c r="DD31" s="451"/>
      <c r="DE31" s="65">
        <f t="shared" si="4"/>
        <v>200</v>
      </c>
      <c r="DF31" s="450">
        <v>200</v>
      </c>
      <c r="DG31" s="451"/>
      <c r="DH31" s="451"/>
      <c r="DI31" s="451"/>
      <c r="DJ31" s="451"/>
      <c r="DK31" s="451"/>
      <c r="DL31" s="451"/>
      <c r="DM31" s="451"/>
      <c r="DN31" s="65">
        <f t="shared" si="5"/>
        <v>200</v>
      </c>
      <c r="DO31" s="66">
        <f t="shared" si="6"/>
        <v>3970</v>
      </c>
      <c r="DP31" s="67"/>
    </row>
    <row r="32" spans="2:120" ht="404.25" customHeight="1">
      <c r="B32" s="508"/>
      <c r="C32" s="508"/>
      <c r="D32" s="511"/>
      <c r="E32" s="512"/>
      <c r="F32" s="491"/>
      <c r="G32" s="491"/>
      <c r="H32" s="493"/>
      <c r="I32" s="491"/>
      <c r="J32" s="68" t="s">
        <v>73</v>
      </c>
      <c r="K32" s="69">
        <v>34</v>
      </c>
      <c r="L32" s="69">
        <v>30</v>
      </c>
      <c r="M32" s="69">
        <v>22</v>
      </c>
      <c r="N32" s="69">
        <v>16</v>
      </c>
      <c r="O32" s="69">
        <v>0</v>
      </c>
      <c r="P32" s="69">
        <v>0</v>
      </c>
      <c r="Q32" s="69">
        <v>0</v>
      </c>
      <c r="R32" s="69">
        <v>0</v>
      </c>
      <c r="S32" s="69">
        <f t="shared" si="7"/>
        <v>102</v>
      </c>
      <c r="T32" s="516">
        <v>17</v>
      </c>
      <c r="U32" s="517"/>
      <c r="V32" s="517"/>
      <c r="W32" s="517"/>
      <c r="X32" s="517"/>
      <c r="Y32" s="517"/>
      <c r="Z32" s="517"/>
      <c r="AA32" s="518"/>
      <c r="AB32" s="67">
        <f t="shared" si="8"/>
        <v>17</v>
      </c>
      <c r="AC32" s="519">
        <v>34</v>
      </c>
      <c r="AD32" s="519"/>
      <c r="AE32" s="519"/>
      <c r="AF32" s="519"/>
      <c r="AG32" s="519"/>
      <c r="AH32" s="519"/>
      <c r="AI32" s="519"/>
      <c r="AJ32" s="519"/>
      <c r="AK32" s="65">
        <f t="shared" si="9"/>
        <v>34</v>
      </c>
      <c r="AL32" s="467">
        <v>0</v>
      </c>
      <c r="AM32" s="468"/>
      <c r="AN32" s="468"/>
      <c r="AO32" s="468"/>
      <c r="AP32" s="468"/>
      <c r="AQ32" s="468"/>
      <c r="AR32" s="468"/>
      <c r="AS32" s="469"/>
      <c r="AT32" s="65">
        <f t="shared" si="10"/>
        <v>0</v>
      </c>
      <c r="AU32" s="467">
        <v>769</v>
      </c>
      <c r="AV32" s="468"/>
      <c r="AW32" s="468"/>
      <c r="AX32" s="468"/>
      <c r="AY32" s="468"/>
      <c r="AZ32" s="468"/>
      <c r="BA32" s="468"/>
      <c r="BB32" s="469"/>
      <c r="BC32" s="65">
        <f t="shared" si="11"/>
        <v>769</v>
      </c>
      <c r="BD32" s="467">
        <v>764</v>
      </c>
      <c r="BE32" s="468"/>
      <c r="BF32" s="468"/>
      <c r="BG32" s="468"/>
      <c r="BH32" s="468"/>
      <c r="BI32" s="468"/>
      <c r="BJ32" s="468"/>
      <c r="BK32" s="469"/>
      <c r="BL32" s="65">
        <f t="shared" si="12"/>
        <v>764</v>
      </c>
      <c r="BM32" s="65"/>
      <c r="BN32" s="65"/>
      <c r="BO32" s="65"/>
      <c r="BP32" s="65"/>
      <c r="BQ32" s="65"/>
      <c r="BR32" s="65"/>
      <c r="BS32" s="65"/>
      <c r="BT32" s="65"/>
      <c r="BU32" s="65">
        <f t="shared" si="0"/>
        <v>0</v>
      </c>
      <c r="BV32" s="65"/>
      <c r="BW32" s="65"/>
      <c r="BX32" s="65"/>
      <c r="BY32" s="65"/>
      <c r="BZ32" s="65"/>
      <c r="CA32" s="65"/>
      <c r="CB32" s="65"/>
      <c r="CC32" s="65"/>
      <c r="CD32" s="65">
        <f t="shared" si="1"/>
        <v>0</v>
      </c>
      <c r="CE32" s="65"/>
      <c r="CF32" s="65"/>
      <c r="CG32" s="65"/>
      <c r="CH32" s="65"/>
      <c r="CI32" s="65"/>
      <c r="CJ32" s="65"/>
      <c r="CK32" s="65"/>
      <c r="CL32" s="65"/>
      <c r="CM32" s="65">
        <f t="shared" si="2"/>
        <v>0</v>
      </c>
      <c r="CN32" s="65"/>
      <c r="CO32" s="65"/>
      <c r="CP32" s="65"/>
      <c r="CQ32" s="65"/>
      <c r="CR32" s="65"/>
      <c r="CS32" s="65"/>
      <c r="CT32" s="65"/>
      <c r="CU32" s="65"/>
      <c r="CV32" s="65">
        <f t="shared" si="3"/>
        <v>0</v>
      </c>
      <c r="CW32" s="65"/>
      <c r="CX32" s="65"/>
      <c r="CY32" s="65"/>
      <c r="CZ32" s="65"/>
      <c r="DA32" s="65"/>
      <c r="DB32" s="65"/>
      <c r="DC32" s="65"/>
      <c r="DD32" s="65"/>
      <c r="DE32" s="65">
        <f t="shared" si="4"/>
        <v>0</v>
      </c>
      <c r="DF32" s="65"/>
      <c r="DG32" s="65"/>
      <c r="DH32" s="65"/>
      <c r="DI32" s="65"/>
      <c r="DJ32" s="65"/>
      <c r="DK32" s="65"/>
      <c r="DL32" s="65"/>
      <c r="DM32" s="65"/>
      <c r="DN32" s="65">
        <f t="shared" si="5"/>
        <v>0</v>
      </c>
      <c r="DO32" s="66">
        <f>SUM(DN32,DE32,CV32,CM32,CD32,BU32,BL32,BC32,AT32,AC32,AB32,S32)</f>
        <v>1686</v>
      </c>
      <c r="DP32" s="67" t="s">
        <v>121</v>
      </c>
    </row>
    <row r="33" spans="2:120" ht="221.25" hidden="1" customHeight="1">
      <c r="B33" s="491" t="s">
        <v>103</v>
      </c>
      <c r="C33" s="491" t="s">
        <v>122</v>
      </c>
      <c r="D33" s="491" t="s">
        <v>3</v>
      </c>
      <c r="E33" s="491"/>
      <c r="F33" s="491" t="s">
        <v>105</v>
      </c>
      <c r="G33" s="492">
        <v>1099</v>
      </c>
      <c r="H33" s="513" t="s">
        <v>123</v>
      </c>
      <c r="I33" s="492">
        <v>3382</v>
      </c>
      <c r="J33" s="64" t="s">
        <v>72</v>
      </c>
      <c r="K33" s="503">
        <v>100</v>
      </c>
      <c r="L33" s="504"/>
      <c r="M33" s="504"/>
      <c r="N33" s="504"/>
      <c r="O33" s="504"/>
      <c r="P33" s="504"/>
      <c r="Q33" s="504"/>
      <c r="R33" s="504"/>
      <c r="S33" s="69">
        <f t="shared" si="7"/>
        <v>100</v>
      </c>
      <c r="T33" s="505">
        <v>238</v>
      </c>
      <c r="U33" s="506"/>
      <c r="V33" s="506"/>
      <c r="W33" s="506"/>
      <c r="X33" s="506"/>
      <c r="Y33" s="506"/>
      <c r="Z33" s="506"/>
      <c r="AA33" s="506"/>
      <c r="AB33" s="67">
        <f t="shared" si="8"/>
        <v>238</v>
      </c>
      <c r="AC33" s="450">
        <v>418</v>
      </c>
      <c r="AD33" s="451"/>
      <c r="AE33" s="451"/>
      <c r="AF33" s="451"/>
      <c r="AG33" s="451"/>
      <c r="AH33" s="451"/>
      <c r="AI33" s="451"/>
      <c r="AJ33" s="451"/>
      <c r="AK33" s="65">
        <f t="shared" si="9"/>
        <v>418</v>
      </c>
      <c r="AL33" s="450">
        <v>410</v>
      </c>
      <c r="AM33" s="451"/>
      <c r="AN33" s="451"/>
      <c r="AO33" s="451"/>
      <c r="AP33" s="451"/>
      <c r="AQ33" s="451"/>
      <c r="AR33" s="451"/>
      <c r="AS33" s="451"/>
      <c r="AT33" s="65">
        <f t="shared" si="10"/>
        <v>410</v>
      </c>
      <c r="AU33" s="450">
        <v>400</v>
      </c>
      <c r="AV33" s="451"/>
      <c r="AW33" s="451"/>
      <c r="AX33" s="451"/>
      <c r="AY33" s="451"/>
      <c r="AZ33" s="451"/>
      <c r="BA33" s="451"/>
      <c r="BB33" s="451"/>
      <c r="BC33" s="65">
        <f t="shared" si="11"/>
        <v>400</v>
      </c>
      <c r="BD33" s="450">
        <v>300</v>
      </c>
      <c r="BE33" s="451"/>
      <c r="BF33" s="451"/>
      <c r="BG33" s="451"/>
      <c r="BH33" s="451"/>
      <c r="BI33" s="451"/>
      <c r="BJ33" s="451"/>
      <c r="BK33" s="451"/>
      <c r="BL33" s="65">
        <f t="shared" si="12"/>
        <v>300</v>
      </c>
      <c r="BM33" s="450">
        <v>100</v>
      </c>
      <c r="BN33" s="451"/>
      <c r="BO33" s="451"/>
      <c r="BP33" s="451"/>
      <c r="BQ33" s="451"/>
      <c r="BR33" s="451"/>
      <c r="BS33" s="451"/>
      <c r="BT33" s="451"/>
      <c r="BU33" s="65">
        <f t="shared" si="0"/>
        <v>100</v>
      </c>
      <c r="BV33" s="450">
        <v>200</v>
      </c>
      <c r="BW33" s="451"/>
      <c r="BX33" s="451"/>
      <c r="BY33" s="451"/>
      <c r="BZ33" s="451"/>
      <c r="CA33" s="451"/>
      <c r="CB33" s="451"/>
      <c r="CC33" s="451"/>
      <c r="CD33" s="65">
        <f t="shared" si="1"/>
        <v>200</v>
      </c>
      <c r="CE33" s="450">
        <v>200</v>
      </c>
      <c r="CF33" s="451"/>
      <c r="CG33" s="451"/>
      <c r="CH33" s="451"/>
      <c r="CI33" s="451"/>
      <c r="CJ33" s="451"/>
      <c r="CK33" s="451"/>
      <c r="CL33" s="451"/>
      <c r="CM33" s="65">
        <f t="shared" si="2"/>
        <v>200</v>
      </c>
      <c r="CN33" s="450">
        <v>716</v>
      </c>
      <c r="CO33" s="451"/>
      <c r="CP33" s="451"/>
      <c r="CQ33" s="451"/>
      <c r="CR33" s="451"/>
      <c r="CS33" s="451"/>
      <c r="CT33" s="451"/>
      <c r="CU33" s="451"/>
      <c r="CV33" s="65">
        <f t="shared" si="3"/>
        <v>716</v>
      </c>
      <c r="CW33" s="450">
        <v>200</v>
      </c>
      <c r="CX33" s="451"/>
      <c r="CY33" s="451"/>
      <c r="CZ33" s="451"/>
      <c r="DA33" s="451"/>
      <c r="DB33" s="451"/>
      <c r="DC33" s="451"/>
      <c r="DD33" s="451"/>
      <c r="DE33" s="65">
        <f t="shared" si="4"/>
        <v>200</v>
      </c>
      <c r="DF33" s="450">
        <v>100</v>
      </c>
      <c r="DG33" s="451"/>
      <c r="DH33" s="451"/>
      <c r="DI33" s="451"/>
      <c r="DJ33" s="451"/>
      <c r="DK33" s="451"/>
      <c r="DL33" s="451"/>
      <c r="DM33" s="451"/>
      <c r="DN33" s="65">
        <f t="shared" si="5"/>
        <v>100</v>
      </c>
      <c r="DO33" s="66">
        <f t="shared" si="6"/>
        <v>3382</v>
      </c>
      <c r="DP33" s="67"/>
    </row>
    <row r="34" spans="2:120" ht="321.75" customHeight="1">
      <c r="B34" s="491"/>
      <c r="C34" s="491"/>
      <c r="D34" s="491"/>
      <c r="E34" s="491"/>
      <c r="F34" s="491"/>
      <c r="G34" s="491"/>
      <c r="H34" s="513"/>
      <c r="I34" s="491"/>
      <c r="J34" s="68" t="s">
        <v>73</v>
      </c>
      <c r="K34" s="255">
        <v>7</v>
      </c>
      <c r="L34" s="255">
        <v>4</v>
      </c>
      <c r="M34" s="255">
        <v>4</v>
      </c>
      <c r="N34" s="255">
        <v>2</v>
      </c>
      <c r="O34" s="255">
        <v>0</v>
      </c>
      <c r="P34" s="255">
        <v>0</v>
      </c>
      <c r="Q34" s="255">
        <v>0</v>
      </c>
      <c r="R34" s="255">
        <v>0</v>
      </c>
      <c r="S34" s="69">
        <f t="shared" si="7"/>
        <v>17</v>
      </c>
      <c r="T34" s="256">
        <v>98</v>
      </c>
      <c r="U34" s="256">
        <v>71</v>
      </c>
      <c r="V34" s="256">
        <v>56</v>
      </c>
      <c r="W34" s="256">
        <v>13</v>
      </c>
      <c r="X34" s="256">
        <v>0</v>
      </c>
      <c r="Y34" s="256">
        <v>0</v>
      </c>
      <c r="Z34" s="256">
        <v>0</v>
      </c>
      <c r="AA34" s="256">
        <v>0</v>
      </c>
      <c r="AB34" s="67">
        <f t="shared" si="8"/>
        <v>238</v>
      </c>
      <c r="AC34" s="257">
        <v>3</v>
      </c>
      <c r="AD34" s="257">
        <v>3</v>
      </c>
      <c r="AE34" s="257">
        <v>4</v>
      </c>
      <c r="AF34" s="257">
        <v>6</v>
      </c>
      <c r="AG34" s="257">
        <v>3</v>
      </c>
      <c r="AH34" s="257">
        <v>2</v>
      </c>
      <c r="AI34" s="257">
        <v>0</v>
      </c>
      <c r="AJ34" s="257">
        <v>0</v>
      </c>
      <c r="AK34" s="65">
        <f t="shared" si="9"/>
        <v>21</v>
      </c>
      <c r="AL34" s="257">
        <v>5</v>
      </c>
      <c r="AM34" s="257">
        <v>5</v>
      </c>
      <c r="AN34" s="257">
        <v>5</v>
      </c>
      <c r="AO34" s="257">
        <v>4</v>
      </c>
      <c r="AP34" s="257">
        <v>0</v>
      </c>
      <c r="AQ34" s="257">
        <v>0</v>
      </c>
      <c r="AR34" s="257">
        <v>0</v>
      </c>
      <c r="AS34" s="257">
        <v>0</v>
      </c>
      <c r="AT34" s="65">
        <f t="shared" si="10"/>
        <v>19</v>
      </c>
      <c r="AU34" s="257">
        <v>26</v>
      </c>
      <c r="AV34" s="257">
        <v>22</v>
      </c>
      <c r="AW34" s="257">
        <v>20</v>
      </c>
      <c r="AX34" s="257">
        <v>15</v>
      </c>
      <c r="AY34" s="257">
        <v>0</v>
      </c>
      <c r="AZ34" s="257">
        <v>87</v>
      </c>
      <c r="BA34" s="257">
        <v>0</v>
      </c>
      <c r="BB34" s="257">
        <v>0</v>
      </c>
      <c r="BC34" s="65">
        <f t="shared" si="11"/>
        <v>170</v>
      </c>
      <c r="BD34" s="257">
        <v>73</v>
      </c>
      <c r="BE34" s="257">
        <v>84</v>
      </c>
      <c r="BF34" s="257">
        <v>101</v>
      </c>
      <c r="BG34" s="257">
        <v>100</v>
      </c>
      <c r="BH34" s="257">
        <v>0</v>
      </c>
      <c r="BI34" s="257">
        <v>0</v>
      </c>
      <c r="BJ34" s="257">
        <v>0</v>
      </c>
      <c r="BK34" s="257">
        <v>0</v>
      </c>
      <c r="BL34" s="65">
        <f t="shared" si="12"/>
        <v>358</v>
      </c>
      <c r="BM34" s="65"/>
      <c r="BN34" s="65"/>
      <c r="BO34" s="65"/>
      <c r="BP34" s="65"/>
      <c r="BQ34" s="65"/>
      <c r="BR34" s="65"/>
      <c r="BS34" s="65"/>
      <c r="BT34" s="65"/>
      <c r="BU34" s="65">
        <f t="shared" si="0"/>
        <v>0</v>
      </c>
      <c r="BV34" s="65"/>
      <c r="BW34" s="65"/>
      <c r="BX34" s="65"/>
      <c r="BY34" s="65"/>
      <c r="BZ34" s="65"/>
      <c r="CA34" s="65"/>
      <c r="CB34" s="65"/>
      <c r="CC34" s="65"/>
      <c r="CD34" s="65">
        <f t="shared" si="1"/>
        <v>0</v>
      </c>
      <c r="CE34" s="65"/>
      <c r="CF34" s="65"/>
      <c r="CG34" s="65"/>
      <c r="CH34" s="65"/>
      <c r="CI34" s="65"/>
      <c r="CJ34" s="65"/>
      <c r="CK34" s="65"/>
      <c r="CL34" s="65"/>
      <c r="CM34" s="65">
        <f t="shared" si="2"/>
        <v>0</v>
      </c>
      <c r="CN34" s="65"/>
      <c r="CO34" s="65"/>
      <c r="CP34" s="65"/>
      <c r="CQ34" s="65"/>
      <c r="CR34" s="65"/>
      <c r="CS34" s="65"/>
      <c r="CT34" s="65"/>
      <c r="CU34" s="65"/>
      <c r="CV34" s="65">
        <f t="shared" si="3"/>
        <v>0</v>
      </c>
      <c r="CW34" s="65"/>
      <c r="CX34" s="65"/>
      <c r="CY34" s="65"/>
      <c r="CZ34" s="65"/>
      <c r="DA34" s="65"/>
      <c r="DB34" s="65"/>
      <c r="DC34" s="65"/>
      <c r="DD34" s="65"/>
      <c r="DE34" s="65">
        <f t="shared" si="4"/>
        <v>0</v>
      </c>
      <c r="DF34" s="65"/>
      <c r="DG34" s="65"/>
      <c r="DH34" s="65"/>
      <c r="DI34" s="65"/>
      <c r="DJ34" s="65"/>
      <c r="DK34" s="65"/>
      <c r="DL34" s="65"/>
      <c r="DM34" s="65"/>
      <c r="DN34" s="65">
        <f t="shared" si="5"/>
        <v>0</v>
      </c>
      <c r="DO34" s="66">
        <f t="shared" si="6"/>
        <v>823</v>
      </c>
      <c r="DP34" s="67" t="s">
        <v>256</v>
      </c>
    </row>
    <row r="35" spans="2:120" ht="221.25" hidden="1" customHeight="1">
      <c r="B35" s="491" t="s">
        <v>103</v>
      </c>
      <c r="C35" s="491" t="s">
        <v>122</v>
      </c>
      <c r="D35" s="491" t="s">
        <v>3</v>
      </c>
      <c r="E35" s="491"/>
      <c r="F35" s="491" t="s">
        <v>105</v>
      </c>
      <c r="G35" s="492">
        <v>85</v>
      </c>
      <c r="H35" s="513" t="s">
        <v>124</v>
      </c>
      <c r="I35" s="491">
        <v>196</v>
      </c>
      <c r="J35" s="64" t="s">
        <v>72</v>
      </c>
      <c r="K35" s="258">
        <v>4</v>
      </c>
      <c r="L35" s="259"/>
      <c r="M35" s="259"/>
      <c r="N35" s="259"/>
      <c r="O35" s="259"/>
      <c r="P35" s="259"/>
      <c r="Q35" s="259"/>
      <c r="R35" s="259"/>
      <c r="S35" s="69">
        <f t="shared" si="7"/>
        <v>4</v>
      </c>
      <c r="T35" s="520">
        <v>2</v>
      </c>
      <c r="U35" s="521"/>
      <c r="V35" s="521"/>
      <c r="W35" s="521"/>
      <c r="X35" s="521"/>
      <c r="Y35" s="521"/>
      <c r="Z35" s="521"/>
      <c r="AA35" s="521"/>
      <c r="AB35" s="67">
        <f t="shared" si="8"/>
        <v>2</v>
      </c>
      <c r="AC35" s="522">
        <v>16</v>
      </c>
      <c r="AD35" s="523"/>
      <c r="AE35" s="523"/>
      <c r="AF35" s="523"/>
      <c r="AG35" s="523"/>
      <c r="AH35" s="523"/>
      <c r="AI35" s="523"/>
      <c r="AJ35" s="523"/>
      <c r="AK35" s="65">
        <f t="shared" si="9"/>
        <v>16</v>
      </c>
      <c r="AL35" s="522">
        <v>15</v>
      </c>
      <c r="AM35" s="523"/>
      <c r="AN35" s="523"/>
      <c r="AO35" s="523"/>
      <c r="AP35" s="523"/>
      <c r="AQ35" s="523"/>
      <c r="AR35" s="523"/>
      <c r="AS35" s="523"/>
      <c r="AT35" s="65">
        <f t="shared" si="10"/>
        <v>15</v>
      </c>
      <c r="AU35" s="522">
        <v>15</v>
      </c>
      <c r="AV35" s="523"/>
      <c r="AW35" s="523"/>
      <c r="AX35" s="523"/>
      <c r="AY35" s="523"/>
      <c r="AZ35" s="523"/>
      <c r="BA35" s="523"/>
      <c r="BB35" s="523"/>
      <c r="BC35" s="65">
        <f t="shared" si="11"/>
        <v>15</v>
      </c>
      <c r="BD35" s="522">
        <v>15</v>
      </c>
      <c r="BE35" s="523"/>
      <c r="BF35" s="523"/>
      <c r="BG35" s="523"/>
      <c r="BH35" s="523"/>
      <c r="BI35" s="523"/>
      <c r="BJ35" s="523"/>
      <c r="BK35" s="523"/>
      <c r="BL35" s="65">
        <f t="shared" si="12"/>
        <v>15</v>
      </c>
      <c r="BM35" s="450">
        <v>10</v>
      </c>
      <c r="BN35" s="451"/>
      <c r="BO35" s="451"/>
      <c r="BP35" s="451"/>
      <c r="BQ35" s="451"/>
      <c r="BR35" s="451"/>
      <c r="BS35" s="451"/>
      <c r="BT35" s="451"/>
      <c r="BU35" s="65">
        <f t="shared" si="0"/>
        <v>10</v>
      </c>
      <c r="BV35" s="450">
        <v>20</v>
      </c>
      <c r="BW35" s="451"/>
      <c r="BX35" s="451"/>
      <c r="BY35" s="451"/>
      <c r="BZ35" s="451"/>
      <c r="CA35" s="451"/>
      <c r="CB35" s="451"/>
      <c r="CC35" s="451"/>
      <c r="CD35" s="65">
        <f t="shared" si="1"/>
        <v>20</v>
      </c>
      <c r="CE35" s="450">
        <v>20</v>
      </c>
      <c r="CF35" s="451"/>
      <c r="CG35" s="451"/>
      <c r="CH35" s="451"/>
      <c r="CI35" s="451"/>
      <c r="CJ35" s="451"/>
      <c r="CK35" s="451"/>
      <c r="CL35" s="451"/>
      <c r="CM35" s="65">
        <f t="shared" si="2"/>
        <v>20</v>
      </c>
      <c r="CN35" s="450">
        <v>20</v>
      </c>
      <c r="CO35" s="451"/>
      <c r="CP35" s="451"/>
      <c r="CQ35" s="451"/>
      <c r="CR35" s="451"/>
      <c r="CS35" s="451"/>
      <c r="CT35" s="451"/>
      <c r="CU35" s="451"/>
      <c r="CV35" s="65">
        <f t="shared" si="3"/>
        <v>20</v>
      </c>
      <c r="CW35" s="450">
        <v>20</v>
      </c>
      <c r="CX35" s="451"/>
      <c r="CY35" s="451"/>
      <c r="CZ35" s="451"/>
      <c r="DA35" s="451"/>
      <c r="DB35" s="451"/>
      <c r="DC35" s="451"/>
      <c r="DD35" s="451"/>
      <c r="DE35" s="65">
        <f t="shared" si="4"/>
        <v>20</v>
      </c>
      <c r="DF35" s="450">
        <v>16</v>
      </c>
      <c r="DG35" s="451"/>
      <c r="DH35" s="451"/>
      <c r="DI35" s="451"/>
      <c r="DJ35" s="451"/>
      <c r="DK35" s="451"/>
      <c r="DL35" s="451"/>
      <c r="DM35" s="451"/>
      <c r="DN35" s="65">
        <f t="shared" si="5"/>
        <v>16</v>
      </c>
      <c r="DO35" s="66">
        <f t="shared" si="6"/>
        <v>173</v>
      </c>
      <c r="DP35" s="67"/>
    </row>
    <row r="36" spans="2:120" ht="221.25" customHeight="1">
      <c r="B36" s="491"/>
      <c r="C36" s="491"/>
      <c r="D36" s="491"/>
      <c r="E36" s="491"/>
      <c r="F36" s="491"/>
      <c r="G36" s="491"/>
      <c r="H36" s="513"/>
      <c r="I36" s="491"/>
      <c r="J36" s="68" t="s">
        <v>73</v>
      </c>
      <c r="K36" s="255">
        <v>2</v>
      </c>
      <c r="L36" s="255">
        <v>7</v>
      </c>
      <c r="M36" s="255">
        <v>1</v>
      </c>
      <c r="N36" s="255">
        <v>2</v>
      </c>
      <c r="O36" s="255">
        <v>2</v>
      </c>
      <c r="P36" s="255">
        <v>0</v>
      </c>
      <c r="Q36" s="255">
        <v>3</v>
      </c>
      <c r="R36" s="255">
        <v>0</v>
      </c>
      <c r="S36" s="69">
        <f t="shared" si="7"/>
        <v>17</v>
      </c>
      <c r="T36" s="256">
        <v>2</v>
      </c>
      <c r="U36" s="256">
        <v>1</v>
      </c>
      <c r="V36" s="256">
        <v>2</v>
      </c>
      <c r="W36" s="256">
        <v>0</v>
      </c>
      <c r="X36" s="256">
        <v>0</v>
      </c>
      <c r="Y36" s="256">
        <v>0</v>
      </c>
      <c r="Z36" s="256">
        <v>0</v>
      </c>
      <c r="AA36" s="256">
        <v>0</v>
      </c>
      <c r="AB36" s="67">
        <f t="shared" si="8"/>
        <v>5</v>
      </c>
      <c r="AC36" s="257">
        <v>4</v>
      </c>
      <c r="AD36" s="257">
        <v>4</v>
      </c>
      <c r="AE36" s="257">
        <v>12</v>
      </c>
      <c r="AF36" s="257">
        <v>3</v>
      </c>
      <c r="AG36" s="257">
        <v>0</v>
      </c>
      <c r="AH36" s="257">
        <v>0</v>
      </c>
      <c r="AI36" s="257">
        <v>0</v>
      </c>
      <c r="AJ36" s="257">
        <v>0</v>
      </c>
      <c r="AK36" s="65">
        <f t="shared" si="9"/>
        <v>23</v>
      </c>
      <c r="AL36" s="257">
        <v>1</v>
      </c>
      <c r="AM36" s="257">
        <v>0</v>
      </c>
      <c r="AN36" s="257">
        <v>1</v>
      </c>
      <c r="AO36" s="257">
        <v>4</v>
      </c>
      <c r="AP36" s="257">
        <v>1</v>
      </c>
      <c r="AQ36" s="257">
        <v>1</v>
      </c>
      <c r="AR36" s="257">
        <v>1</v>
      </c>
      <c r="AS36" s="257">
        <v>0</v>
      </c>
      <c r="AT36" s="65">
        <f t="shared" si="10"/>
        <v>9</v>
      </c>
      <c r="AU36" s="257">
        <v>5</v>
      </c>
      <c r="AV36" s="257">
        <v>6</v>
      </c>
      <c r="AW36" s="257">
        <v>5</v>
      </c>
      <c r="AX36" s="257">
        <v>4</v>
      </c>
      <c r="AY36" s="257">
        <v>4</v>
      </c>
      <c r="AZ36" s="257">
        <v>1</v>
      </c>
      <c r="BA36" s="257">
        <v>0</v>
      </c>
      <c r="BB36" s="257">
        <v>0</v>
      </c>
      <c r="BC36" s="65">
        <f t="shared" si="11"/>
        <v>25</v>
      </c>
      <c r="BD36" s="257">
        <v>8</v>
      </c>
      <c r="BE36" s="257">
        <v>6</v>
      </c>
      <c r="BF36" s="257">
        <v>7</v>
      </c>
      <c r="BG36" s="257">
        <v>4</v>
      </c>
      <c r="BH36" s="257">
        <v>2</v>
      </c>
      <c r="BI36" s="257">
        <v>2</v>
      </c>
      <c r="BJ36" s="257">
        <v>0</v>
      </c>
      <c r="BK36" s="257">
        <v>0</v>
      </c>
      <c r="BL36" s="65">
        <f t="shared" si="12"/>
        <v>29</v>
      </c>
      <c r="BM36" s="65"/>
      <c r="BN36" s="65"/>
      <c r="BO36" s="65"/>
      <c r="BP36" s="65"/>
      <c r="BQ36" s="65"/>
      <c r="BR36" s="65"/>
      <c r="BS36" s="65"/>
      <c r="BT36" s="65"/>
      <c r="BU36" s="65">
        <f t="shared" si="0"/>
        <v>0</v>
      </c>
      <c r="BV36" s="65"/>
      <c r="BW36" s="65"/>
      <c r="BX36" s="65"/>
      <c r="BY36" s="65"/>
      <c r="BZ36" s="65"/>
      <c r="CA36" s="65"/>
      <c r="CB36" s="65"/>
      <c r="CC36" s="65"/>
      <c r="CD36" s="65">
        <f t="shared" si="1"/>
        <v>0</v>
      </c>
      <c r="CE36" s="65"/>
      <c r="CF36" s="65"/>
      <c r="CG36" s="65"/>
      <c r="CH36" s="65"/>
      <c r="CI36" s="65"/>
      <c r="CJ36" s="65"/>
      <c r="CK36" s="65"/>
      <c r="CL36" s="65"/>
      <c r="CM36" s="65">
        <f t="shared" si="2"/>
        <v>0</v>
      </c>
      <c r="CN36" s="65"/>
      <c r="CO36" s="65"/>
      <c r="CP36" s="65"/>
      <c r="CQ36" s="65"/>
      <c r="CR36" s="65"/>
      <c r="CS36" s="65"/>
      <c r="CT36" s="65"/>
      <c r="CU36" s="65"/>
      <c r="CV36" s="65">
        <f t="shared" si="3"/>
        <v>0</v>
      </c>
      <c r="CW36" s="65"/>
      <c r="CX36" s="65"/>
      <c r="CY36" s="65"/>
      <c r="CZ36" s="65"/>
      <c r="DA36" s="65"/>
      <c r="DB36" s="65"/>
      <c r="DC36" s="65"/>
      <c r="DD36" s="65"/>
      <c r="DE36" s="65">
        <f t="shared" si="4"/>
        <v>0</v>
      </c>
      <c r="DF36" s="65"/>
      <c r="DG36" s="65"/>
      <c r="DH36" s="65"/>
      <c r="DI36" s="65"/>
      <c r="DJ36" s="65"/>
      <c r="DK36" s="65"/>
      <c r="DL36" s="65"/>
      <c r="DM36" s="65"/>
      <c r="DN36" s="65">
        <f t="shared" si="5"/>
        <v>0</v>
      </c>
      <c r="DO36" s="66">
        <f t="shared" si="6"/>
        <v>108</v>
      </c>
      <c r="DP36" s="67" t="s">
        <v>125</v>
      </c>
    </row>
    <row r="37" spans="2:120" ht="221.25" hidden="1" customHeight="1">
      <c r="B37" s="491" t="s">
        <v>103</v>
      </c>
      <c r="C37" s="491" t="s">
        <v>122</v>
      </c>
      <c r="D37" s="491" t="s">
        <v>3</v>
      </c>
      <c r="E37" s="491"/>
      <c r="F37" s="491" t="s">
        <v>105</v>
      </c>
      <c r="G37" s="492">
        <v>6</v>
      </c>
      <c r="H37" s="513" t="s">
        <v>126</v>
      </c>
      <c r="I37" s="491">
        <v>17</v>
      </c>
      <c r="J37" s="64" t="s">
        <v>72</v>
      </c>
      <c r="K37" s="258">
        <v>0</v>
      </c>
      <c r="L37" s="259"/>
      <c r="M37" s="259"/>
      <c r="N37" s="259"/>
      <c r="O37" s="259"/>
      <c r="P37" s="259"/>
      <c r="Q37" s="259"/>
      <c r="R37" s="259"/>
      <c r="S37" s="69">
        <f t="shared" si="7"/>
        <v>0</v>
      </c>
      <c r="T37" s="520">
        <v>2</v>
      </c>
      <c r="U37" s="521"/>
      <c r="V37" s="521"/>
      <c r="W37" s="521"/>
      <c r="X37" s="521"/>
      <c r="Y37" s="521"/>
      <c r="Z37" s="521"/>
      <c r="AA37" s="521"/>
      <c r="AB37" s="67">
        <f t="shared" si="8"/>
        <v>2</v>
      </c>
      <c r="AC37" s="522">
        <v>0</v>
      </c>
      <c r="AD37" s="523"/>
      <c r="AE37" s="523"/>
      <c r="AF37" s="523"/>
      <c r="AG37" s="523"/>
      <c r="AH37" s="523"/>
      <c r="AI37" s="523"/>
      <c r="AJ37" s="523"/>
      <c r="AK37" s="65">
        <f t="shared" si="9"/>
        <v>0</v>
      </c>
      <c r="AL37" s="522">
        <v>4</v>
      </c>
      <c r="AM37" s="523"/>
      <c r="AN37" s="523"/>
      <c r="AO37" s="523"/>
      <c r="AP37" s="523"/>
      <c r="AQ37" s="523"/>
      <c r="AR37" s="523"/>
      <c r="AS37" s="523"/>
      <c r="AT37" s="65">
        <f t="shared" si="10"/>
        <v>4</v>
      </c>
      <c r="AU37" s="522">
        <v>0</v>
      </c>
      <c r="AV37" s="523"/>
      <c r="AW37" s="523"/>
      <c r="AX37" s="523"/>
      <c r="AY37" s="523"/>
      <c r="AZ37" s="523"/>
      <c r="BA37" s="523"/>
      <c r="BB37" s="523"/>
      <c r="BC37" s="65">
        <f t="shared" si="11"/>
        <v>0</v>
      </c>
      <c r="BD37" s="522">
        <v>0</v>
      </c>
      <c r="BE37" s="523"/>
      <c r="BF37" s="523"/>
      <c r="BG37" s="523"/>
      <c r="BH37" s="523"/>
      <c r="BI37" s="523"/>
      <c r="BJ37" s="523"/>
      <c r="BK37" s="523"/>
      <c r="BL37" s="65">
        <f t="shared" si="12"/>
        <v>0</v>
      </c>
      <c r="BM37" s="450">
        <v>1</v>
      </c>
      <c r="BN37" s="451"/>
      <c r="BO37" s="451"/>
      <c r="BP37" s="451"/>
      <c r="BQ37" s="451"/>
      <c r="BR37" s="451"/>
      <c r="BS37" s="451"/>
      <c r="BT37" s="451"/>
      <c r="BU37" s="65">
        <f t="shared" si="0"/>
        <v>1</v>
      </c>
      <c r="BV37" s="450">
        <v>1</v>
      </c>
      <c r="BW37" s="451"/>
      <c r="BX37" s="451"/>
      <c r="BY37" s="451"/>
      <c r="BZ37" s="451"/>
      <c r="CA37" s="451"/>
      <c r="CB37" s="451"/>
      <c r="CC37" s="451"/>
      <c r="CD37" s="65">
        <f t="shared" si="1"/>
        <v>1</v>
      </c>
      <c r="CE37" s="450">
        <v>1</v>
      </c>
      <c r="CF37" s="451"/>
      <c r="CG37" s="451"/>
      <c r="CH37" s="451"/>
      <c r="CI37" s="451"/>
      <c r="CJ37" s="451"/>
      <c r="CK37" s="451"/>
      <c r="CL37" s="451"/>
      <c r="CM37" s="65">
        <f t="shared" si="2"/>
        <v>1</v>
      </c>
      <c r="CN37" s="450">
        <v>5</v>
      </c>
      <c r="CO37" s="451"/>
      <c r="CP37" s="451"/>
      <c r="CQ37" s="451"/>
      <c r="CR37" s="451"/>
      <c r="CS37" s="451"/>
      <c r="CT37" s="451"/>
      <c r="CU37" s="451"/>
      <c r="CV37" s="65">
        <f t="shared" si="3"/>
        <v>5</v>
      </c>
      <c r="CW37" s="450">
        <v>1</v>
      </c>
      <c r="CX37" s="451"/>
      <c r="CY37" s="451"/>
      <c r="CZ37" s="451"/>
      <c r="DA37" s="451"/>
      <c r="DB37" s="451"/>
      <c r="DC37" s="451"/>
      <c r="DD37" s="451"/>
      <c r="DE37" s="65">
        <f t="shared" si="4"/>
        <v>1</v>
      </c>
      <c r="DF37" s="450">
        <v>2</v>
      </c>
      <c r="DG37" s="451"/>
      <c r="DH37" s="451"/>
      <c r="DI37" s="451"/>
      <c r="DJ37" s="451"/>
      <c r="DK37" s="451"/>
      <c r="DL37" s="451"/>
      <c r="DM37" s="451"/>
      <c r="DN37" s="65">
        <f t="shared" si="5"/>
        <v>2</v>
      </c>
      <c r="DO37" s="66">
        <f t="shared" si="6"/>
        <v>17</v>
      </c>
      <c r="DP37" s="67"/>
    </row>
    <row r="38" spans="2:120" ht="221.25" customHeight="1">
      <c r="B38" s="491"/>
      <c r="C38" s="491"/>
      <c r="D38" s="491"/>
      <c r="E38" s="491"/>
      <c r="F38" s="491"/>
      <c r="G38" s="491"/>
      <c r="H38" s="513"/>
      <c r="I38" s="491"/>
      <c r="J38" s="68" t="s">
        <v>73</v>
      </c>
      <c r="K38" s="255">
        <v>0</v>
      </c>
      <c r="L38" s="255">
        <v>0</v>
      </c>
      <c r="M38" s="255">
        <v>0</v>
      </c>
      <c r="N38" s="255">
        <v>0</v>
      </c>
      <c r="O38" s="255">
        <v>0</v>
      </c>
      <c r="P38" s="255">
        <v>0</v>
      </c>
      <c r="Q38" s="255">
        <v>0</v>
      </c>
      <c r="R38" s="255">
        <v>0</v>
      </c>
      <c r="S38" s="69">
        <f t="shared" si="7"/>
        <v>0</v>
      </c>
      <c r="T38" s="256">
        <v>0</v>
      </c>
      <c r="U38" s="256">
        <v>0</v>
      </c>
      <c r="V38" s="256">
        <v>0</v>
      </c>
      <c r="W38" s="256">
        <v>0</v>
      </c>
      <c r="X38" s="256">
        <v>0</v>
      </c>
      <c r="Y38" s="256">
        <v>0</v>
      </c>
      <c r="Z38" s="256">
        <v>0</v>
      </c>
      <c r="AA38" s="256">
        <v>0</v>
      </c>
      <c r="AB38" s="67">
        <f t="shared" si="8"/>
        <v>0</v>
      </c>
      <c r="AC38" s="257">
        <v>1</v>
      </c>
      <c r="AD38" s="257">
        <v>1</v>
      </c>
      <c r="AE38" s="257">
        <v>19</v>
      </c>
      <c r="AF38" s="257">
        <v>5</v>
      </c>
      <c r="AG38" s="257">
        <v>0</v>
      </c>
      <c r="AH38" s="257">
        <v>0</v>
      </c>
      <c r="AI38" s="257">
        <v>0</v>
      </c>
      <c r="AJ38" s="257">
        <v>0</v>
      </c>
      <c r="AK38" s="65">
        <f t="shared" si="9"/>
        <v>26</v>
      </c>
      <c r="AL38" s="257">
        <v>8</v>
      </c>
      <c r="AM38" s="257">
        <v>12</v>
      </c>
      <c r="AN38" s="257">
        <v>8</v>
      </c>
      <c r="AO38" s="257">
        <v>2</v>
      </c>
      <c r="AP38" s="257">
        <v>9</v>
      </c>
      <c r="AQ38" s="257">
        <v>2</v>
      </c>
      <c r="AR38" s="257">
        <v>0</v>
      </c>
      <c r="AS38" s="257">
        <v>0</v>
      </c>
      <c r="AT38" s="65">
        <f t="shared" si="10"/>
        <v>41</v>
      </c>
      <c r="AU38" s="257">
        <v>28</v>
      </c>
      <c r="AV38" s="257">
        <v>25</v>
      </c>
      <c r="AW38" s="257">
        <v>20</v>
      </c>
      <c r="AX38" s="257">
        <v>10</v>
      </c>
      <c r="AY38" s="257">
        <v>6</v>
      </c>
      <c r="AZ38" s="257">
        <v>3</v>
      </c>
      <c r="BA38" s="257">
        <v>0</v>
      </c>
      <c r="BB38" s="257">
        <v>0</v>
      </c>
      <c r="BC38" s="65">
        <f t="shared" si="11"/>
        <v>92</v>
      </c>
      <c r="BD38" s="257">
        <v>19</v>
      </c>
      <c r="BE38" s="257">
        <v>16</v>
      </c>
      <c r="BF38" s="257">
        <v>15</v>
      </c>
      <c r="BG38" s="257">
        <v>3</v>
      </c>
      <c r="BH38" s="257">
        <v>0</v>
      </c>
      <c r="BI38" s="257">
        <v>0</v>
      </c>
      <c r="BJ38" s="257">
        <v>0</v>
      </c>
      <c r="BK38" s="257">
        <v>0</v>
      </c>
      <c r="BL38" s="65">
        <f t="shared" si="12"/>
        <v>53</v>
      </c>
      <c r="BM38" s="65"/>
      <c r="BN38" s="65"/>
      <c r="BO38" s="65"/>
      <c r="BP38" s="65"/>
      <c r="BQ38" s="65"/>
      <c r="BR38" s="65"/>
      <c r="BS38" s="65"/>
      <c r="BT38" s="65"/>
      <c r="BU38" s="65">
        <f t="shared" si="0"/>
        <v>0</v>
      </c>
      <c r="BV38" s="65"/>
      <c r="BW38" s="65"/>
      <c r="BX38" s="65"/>
      <c r="BY38" s="65"/>
      <c r="BZ38" s="65"/>
      <c r="CA38" s="65"/>
      <c r="CB38" s="65"/>
      <c r="CC38" s="65"/>
      <c r="CD38" s="65">
        <f t="shared" si="1"/>
        <v>0</v>
      </c>
      <c r="CE38" s="65"/>
      <c r="CF38" s="65"/>
      <c r="CG38" s="65"/>
      <c r="CH38" s="65"/>
      <c r="CI38" s="65"/>
      <c r="CJ38" s="65"/>
      <c r="CK38" s="65"/>
      <c r="CL38" s="65"/>
      <c r="CM38" s="65">
        <f t="shared" si="2"/>
        <v>0</v>
      </c>
      <c r="CN38" s="65"/>
      <c r="CO38" s="65"/>
      <c r="CP38" s="65"/>
      <c r="CQ38" s="65"/>
      <c r="CR38" s="65"/>
      <c r="CS38" s="65"/>
      <c r="CT38" s="65"/>
      <c r="CU38" s="65"/>
      <c r="CV38" s="65">
        <f t="shared" si="3"/>
        <v>0</v>
      </c>
      <c r="CW38" s="65"/>
      <c r="CX38" s="65"/>
      <c r="CY38" s="65"/>
      <c r="CZ38" s="65"/>
      <c r="DA38" s="65"/>
      <c r="DB38" s="65"/>
      <c r="DC38" s="65"/>
      <c r="DD38" s="65"/>
      <c r="DE38" s="65">
        <f t="shared" si="4"/>
        <v>0</v>
      </c>
      <c r="DF38" s="65"/>
      <c r="DG38" s="65"/>
      <c r="DH38" s="65"/>
      <c r="DI38" s="65"/>
      <c r="DJ38" s="65"/>
      <c r="DK38" s="65"/>
      <c r="DL38" s="65"/>
      <c r="DM38" s="65"/>
      <c r="DN38" s="65">
        <f t="shared" si="5"/>
        <v>0</v>
      </c>
      <c r="DO38" s="66">
        <f t="shared" si="6"/>
        <v>212</v>
      </c>
      <c r="DP38" s="67" t="s">
        <v>127</v>
      </c>
    </row>
    <row r="39" spans="2:120" ht="221.25" hidden="1" customHeight="1">
      <c r="B39" s="491" t="s">
        <v>103</v>
      </c>
      <c r="C39" s="491" t="s">
        <v>122</v>
      </c>
      <c r="D39" s="491" t="s">
        <v>3</v>
      </c>
      <c r="E39" s="491"/>
      <c r="F39" s="491" t="s">
        <v>105</v>
      </c>
      <c r="G39" s="492">
        <v>188</v>
      </c>
      <c r="H39" s="513" t="s">
        <v>128</v>
      </c>
      <c r="I39" s="491">
        <v>241</v>
      </c>
      <c r="J39" s="64" t="s">
        <v>72</v>
      </c>
      <c r="K39" s="258">
        <v>0</v>
      </c>
      <c r="L39" s="259"/>
      <c r="M39" s="259"/>
      <c r="N39" s="259"/>
      <c r="O39" s="259"/>
      <c r="P39" s="259"/>
      <c r="Q39" s="259"/>
      <c r="R39" s="259"/>
      <c r="S39" s="69">
        <f t="shared" si="7"/>
        <v>0</v>
      </c>
      <c r="T39" s="520">
        <v>0</v>
      </c>
      <c r="U39" s="521"/>
      <c r="V39" s="521"/>
      <c r="W39" s="521"/>
      <c r="X39" s="521"/>
      <c r="Y39" s="521"/>
      <c r="Z39" s="521"/>
      <c r="AA39" s="521"/>
      <c r="AB39" s="67">
        <f t="shared" si="8"/>
        <v>0</v>
      </c>
      <c r="AC39" s="522">
        <v>0</v>
      </c>
      <c r="AD39" s="523"/>
      <c r="AE39" s="523"/>
      <c r="AF39" s="523"/>
      <c r="AG39" s="523"/>
      <c r="AH39" s="523"/>
      <c r="AI39" s="523"/>
      <c r="AJ39" s="523"/>
      <c r="AK39" s="65">
        <f t="shared" si="9"/>
        <v>0</v>
      </c>
      <c r="AL39" s="522">
        <v>10</v>
      </c>
      <c r="AM39" s="523"/>
      <c r="AN39" s="523"/>
      <c r="AO39" s="523"/>
      <c r="AP39" s="523"/>
      <c r="AQ39" s="523"/>
      <c r="AR39" s="523"/>
      <c r="AS39" s="523"/>
      <c r="AT39" s="65">
        <f t="shared" si="10"/>
        <v>10</v>
      </c>
      <c r="AU39" s="522">
        <v>10</v>
      </c>
      <c r="AV39" s="523"/>
      <c r="AW39" s="523"/>
      <c r="AX39" s="523"/>
      <c r="AY39" s="523"/>
      <c r="AZ39" s="523"/>
      <c r="BA39" s="523"/>
      <c r="BB39" s="523"/>
      <c r="BC39" s="65">
        <f t="shared" si="11"/>
        <v>10</v>
      </c>
      <c r="BD39" s="522">
        <v>10</v>
      </c>
      <c r="BE39" s="523"/>
      <c r="BF39" s="523"/>
      <c r="BG39" s="523"/>
      <c r="BH39" s="523"/>
      <c r="BI39" s="523"/>
      <c r="BJ39" s="523"/>
      <c r="BK39" s="523"/>
      <c r="BL39" s="65">
        <f t="shared" si="12"/>
        <v>10</v>
      </c>
      <c r="BM39" s="450">
        <v>10</v>
      </c>
      <c r="BN39" s="451"/>
      <c r="BO39" s="451"/>
      <c r="BP39" s="451"/>
      <c r="BQ39" s="451"/>
      <c r="BR39" s="451"/>
      <c r="BS39" s="451"/>
      <c r="BT39" s="451"/>
      <c r="BU39" s="65">
        <f t="shared" si="0"/>
        <v>10</v>
      </c>
      <c r="BV39" s="450">
        <v>101</v>
      </c>
      <c r="BW39" s="451"/>
      <c r="BX39" s="451"/>
      <c r="BY39" s="451"/>
      <c r="BZ39" s="451"/>
      <c r="CA39" s="451"/>
      <c r="CB39" s="451"/>
      <c r="CC39" s="451"/>
      <c r="CD39" s="65">
        <f t="shared" si="1"/>
        <v>101</v>
      </c>
      <c r="CE39" s="450">
        <v>0</v>
      </c>
      <c r="CF39" s="451"/>
      <c r="CG39" s="451"/>
      <c r="CH39" s="451"/>
      <c r="CI39" s="451"/>
      <c r="CJ39" s="451"/>
      <c r="CK39" s="451"/>
      <c r="CL39" s="451"/>
      <c r="CM39" s="65">
        <f t="shared" si="2"/>
        <v>0</v>
      </c>
      <c r="CN39" s="450">
        <v>60</v>
      </c>
      <c r="CO39" s="451"/>
      <c r="CP39" s="451"/>
      <c r="CQ39" s="451"/>
      <c r="CR39" s="451"/>
      <c r="CS39" s="451"/>
      <c r="CT39" s="451"/>
      <c r="CU39" s="451"/>
      <c r="CV39" s="65">
        <f t="shared" si="3"/>
        <v>60</v>
      </c>
      <c r="CW39" s="450">
        <v>0</v>
      </c>
      <c r="CX39" s="451"/>
      <c r="CY39" s="451"/>
      <c r="CZ39" s="451"/>
      <c r="DA39" s="451"/>
      <c r="DB39" s="451"/>
      <c r="DC39" s="451"/>
      <c r="DD39" s="451"/>
      <c r="DE39" s="65">
        <f t="shared" si="4"/>
        <v>0</v>
      </c>
      <c r="DF39" s="450">
        <v>40</v>
      </c>
      <c r="DG39" s="451"/>
      <c r="DH39" s="451"/>
      <c r="DI39" s="451"/>
      <c r="DJ39" s="451"/>
      <c r="DK39" s="451"/>
      <c r="DL39" s="451"/>
      <c r="DM39" s="451"/>
      <c r="DN39" s="65">
        <f t="shared" si="5"/>
        <v>40</v>
      </c>
      <c r="DO39" s="66">
        <f t="shared" si="6"/>
        <v>241</v>
      </c>
      <c r="DP39" s="67"/>
    </row>
    <row r="40" spans="2:120" ht="221.25" customHeight="1">
      <c r="B40" s="491"/>
      <c r="C40" s="491"/>
      <c r="D40" s="491"/>
      <c r="E40" s="491"/>
      <c r="F40" s="491"/>
      <c r="G40" s="491"/>
      <c r="H40" s="513"/>
      <c r="I40" s="491"/>
      <c r="J40" s="68" t="s">
        <v>73</v>
      </c>
      <c r="K40" s="255">
        <v>0</v>
      </c>
      <c r="L40" s="255">
        <v>0</v>
      </c>
      <c r="M40" s="255">
        <v>0</v>
      </c>
      <c r="N40" s="255">
        <v>0</v>
      </c>
      <c r="O40" s="255">
        <v>0</v>
      </c>
      <c r="P40" s="255">
        <v>3</v>
      </c>
      <c r="Q40" s="255">
        <v>0</v>
      </c>
      <c r="R40" s="255">
        <v>0</v>
      </c>
      <c r="S40" s="69">
        <f t="shared" si="7"/>
        <v>3</v>
      </c>
      <c r="T40" s="256">
        <v>6</v>
      </c>
      <c r="U40" s="256">
        <v>5</v>
      </c>
      <c r="V40" s="256">
        <v>1</v>
      </c>
      <c r="W40" s="256">
        <v>0</v>
      </c>
      <c r="X40" s="256">
        <v>3</v>
      </c>
      <c r="Y40" s="256">
        <v>0</v>
      </c>
      <c r="Z40" s="256">
        <v>1</v>
      </c>
      <c r="AA40" s="256">
        <v>0</v>
      </c>
      <c r="AB40" s="67">
        <f t="shared" si="8"/>
        <v>16</v>
      </c>
      <c r="AC40" s="257">
        <v>6</v>
      </c>
      <c r="AD40" s="257">
        <v>14</v>
      </c>
      <c r="AE40" s="257">
        <v>4</v>
      </c>
      <c r="AF40" s="257">
        <v>3</v>
      </c>
      <c r="AG40" s="257">
        <v>15</v>
      </c>
      <c r="AH40" s="257">
        <v>9</v>
      </c>
      <c r="AI40" s="257">
        <v>0</v>
      </c>
      <c r="AJ40" s="257">
        <v>0</v>
      </c>
      <c r="AK40" s="65">
        <f t="shared" si="9"/>
        <v>51</v>
      </c>
      <c r="AL40" s="257">
        <v>26</v>
      </c>
      <c r="AM40" s="257">
        <v>20</v>
      </c>
      <c r="AN40" s="257">
        <v>9</v>
      </c>
      <c r="AO40" s="257">
        <v>6</v>
      </c>
      <c r="AP40" s="257">
        <v>20</v>
      </c>
      <c r="AQ40" s="257">
        <v>2</v>
      </c>
      <c r="AR40" s="257">
        <v>1</v>
      </c>
      <c r="AS40" s="257">
        <v>0</v>
      </c>
      <c r="AT40" s="65">
        <f t="shared" si="10"/>
        <v>84</v>
      </c>
      <c r="AU40" s="257">
        <v>0</v>
      </c>
      <c r="AV40" s="257">
        <v>1</v>
      </c>
      <c r="AW40" s="257">
        <v>0</v>
      </c>
      <c r="AX40" s="257">
        <v>0</v>
      </c>
      <c r="AY40" s="257">
        <v>0</v>
      </c>
      <c r="AZ40" s="257">
        <v>0</v>
      </c>
      <c r="BA40" s="257">
        <v>0</v>
      </c>
      <c r="BB40" s="257">
        <v>0</v>
      </c>
      <c r="BC40" s="65">
        <f t="shared" si="11"/>
        <v>1</v>
      </c>
      <c r="BD40" s="257">
        <v>4</v>
      </c>
      <c r="BE40" s="257">
        <v>2</v>
      </c>
      <c r="BF40" s="257">
        <v>2</v>
      </c>
      <c r="BG40" s="257">
        <v>0</v>
      </c>
      <c r="BH40" s="257">
        <v>0</v>
      </c>
      <c r="BI40" s="257">
        <v>0</v>
      </c>
      <c r="BJ40" s="257">
        <v>0</v>
      </c>
      <c r="BK40" s="257">
        <v>0</v>
      </c>
      <c r="BL40" s="65">
        <f t="shared" si="12"/>
        <v>8</v>
      </c>
      <c r="BM40" s="65"/>
      <c r="BN40" s="65"/>
      <c r="BO40" s="65"/>
      <c r="BP40" s="65"/>
      <c r="BQ40" s="65"/>
      <c r="BR40" s="65"/>
      <c r="BS40" s="65"/>
      <c r="BT40" s="65"/>
      <c r="BU40" s="65">
        <f t="shared" si="0"/>
        <v>0</v>
      </c>
      <c r="BV40" s="65"/>
      <c r="BW40" s="65"/>
      <c r="BX40" s="65"/>
      <c r="BY40" s="65"/>
      <c r="BZ40" s="65"/>
      <c r="CA40" s="65"/>
      <c r="CB40" s="65"/>
      <c r="CC40" s="65"/>
      <c r="CD40" s="65">
        <f t="shared" si="1"/>
        <v>0</v>
      </c>
      <c r="CE40" s="65"/>
      <c r="CF40" s="65"/>
      <c r="CG40" s="65"/>
      <c r="CH40" s="65"/>
      <c r="CI40" s="65"/>
      <c r="CJ40" s="65"/>
      <c r="CK40" s="65"/>
      <c r="CL40" s="65"/>
      <c r="CM40" s="65">
        <f t="shared" si="2"/>
        <v>0</v>
      </c>
      <c r="CN40" s="65"/>
      <c r="CO40" s="65"/>
      <c r="CP40" s="65"/>
      <c r="CQ40" s="65"/>
      <c r="CR40" s="65"/>
      <c r="CS40" s="65"/>
      <c r="CT40" s="65"/>
      <c r="CU40" s="65"/>
      <c r="CV40" s="65">
        <f t="shared" si="3"/>
        <v>0</v>
      </c>
      <c r="CW40" s="65"/>
      <c r="CX40" s="65"/>
      <c r="CY40" s="65"/>
      <c r="CZ40" s="65"/>
      <c r="DA40" s="65"/>
      <c r="DB40" s="65"/>
      <c r="DC40" s="65"/>
      <c r="DD40" s="65"/>
      <c r="DE40" s="65">
        <f t="shared" si="4"/>
        <v>0</v>
      </c>
      <c r="DF40" s="65"/>
      <c r="DG40" s="65"/>
      <c r="DH40" s="65"/>
      <c r="DI40" s="65"/>
      <c r="DJ40" s="65"/>
      <c r="DK40" s="65"/>
      <c r="DL40" s="65"/>
      <c r="DM40" s="65"/>
      <c r="DN40" s="65">
        <f t="shared" si="5"/>
        <v>0</v>
      </c>
      <c r="DO40" s="66">
        <f t="shared" si="6"/>
        <v>163</v>
      </c>
      <c r="DP40" s="67" t="s">
        <v>129</v>
      </c>
    </row>
    <row r="41" spans="2:120" ht="221.25" hidden="1" customHeight="1">
      <c r="B41" s="507" t="s">
        <v>74</v>
      </c>
      <c r="C41" s="507" t="s">
        <v>75</v>
      </c>
      <c r="D41" s="509" t="s">
        <v>1</v>
      </c>
      <c r="E41" s="510"/>
      <c r="F41" s="491" t="s">
        <v>105</v>
      </c>
      <c r="G41" s="492">
        <v>2808</v>
      </c>
      <c r="H41" s="514" t="s">
        <v>130</v>
      </c>
      <c r="I41" s="491">
        <v>1485</v>
      </c>
      <c r="J41" s="64" t="s">
        <v>72</v>
      </c>
      <c r="K41" s="503">
        <v>100</v>
      </c>
      <c r="L41" s="504"/>
      <c r="M41" s="504"/>
      <c r="N41" s="504"/>
      <c r="O41" s="504"/>
      <c r="P41" s="504"/>
      <c r="Q41" s="504"/>
      <c r="R41" s="504"/>
      <c r="S41" s="69">
        <f t="shared" si="7"/>
        <v>100</v>
      </c>
      <c r="T41" s="505">
        <v>100</v>
      </c>
      <c r="U41" s="506"/>
      <c r="V41" s="506"/>
      <c r="W41" s="506"/>
      <c r="X41" s="506"/>
      <c r="Y41" s="506"/>
      <c r="Z41" s="506"/>
      <c r="AA41" s="506"/>
      <c r="AB41" s="67">
        <f t="shared" si="8"/>
        <v>100</v>
      </c>
      <c r="AC41" s="450">
        <v>101</v>
      </c>
      <c r="AD41" s="451"/>
      <c r="AE41" s="451"/>
      <c r="AF41" s="451"/>
      <c r="AG41" s="451"/>
      <c r="AH41" s="451"/>
      <c r="AI41" s="451"/>
      <c r="AJ41" s="451"/>
      <c r="AK41" s="65">
        <f t="shared" si="9"/>
        <v>101</v>
      </c>
      <c r="AL41" s="450">
        <v>101</v>
      </c>
      <c r="AM41" s="451"/>
      <c r="AN41" s="451"/>
      <c r="AO41" s="451"/>
      <c r="AP41" s="451"/>
      <c r="AQ41" s="451"/>
      <c r="AR41" s="451"/>
      <c r="AS41" s="451"/>
      <c r="AT41" s="65">
        <f t="shared" si="10"/>
        <v>101</v>
      </c>
      <c r="AU41" s="450">
        <v>101</v>
      </c>
      <c r="AV41" s="451"/>
      <c r="AW41" s="451"/>
      <c r="AX41" s="451"/>
      <c r="AY41" s="451"/>
      <c r="AZ41" s="451"/>
      <c r="BA41" s="451"/>
      <c r="BB41" s="451"/>
      <c r="BC41" s="65">
        <f t="shared" si="11"/>
        <v>101</v>
      </c>
      <c r="BD41" s="450">
        <v>101</v>
      </c>
      <c r="BE41" s="451"/>
      <c r="BF41" s="451"/>
      <c r="BG41" s="451"/>
      <c r="BH41" s="451"/>
      <c r="BI41" s="451"/>
      <c r="BJ41" s="451"/>
      <c r="BK41" s="451"/>
      <c r="BL41" s="65">
        <f t="shared" si="12"/>
        <v>101</v>
      </c>
      <c r="BM41" s="450">
        <v>101</v>
      </c>
      <c r="BN41" s="451"/>
      <c r="BO41" s="451"/>
      <c r="BP41" s="451"/>
      <c r="BQ41" s="451"/>
      <c r="BR41" s="451"/>
      <c r="BS41" s="451"/>
      <c r="BT41" s="451"/>
      <c r="BU41" s="65">
        <f t="shared" si="0"/>
        <v>101</v>
      </c>
      <c r="BV41" s="450">
        <v>200</v>
      </c>
      <c r="BW41" s="451"/>
      <c r="BX41" s="451"/>
      <c r="BY41" s="451"/>
      <c r="BZ41" s="451"/>
      <c r="CA41" s="451"/>
      <c r="CB41" s="451"/>
      <c r="CC41" s="451"/>
      <c r="CD41" s="65">
        <f t="shared" si="1"/>
        <v>200</v>
      </c>
      <c r="CE41" s="450">
        <v>200</v>
      </c>
      <c r="CF41" s="451"/>
      <c r="CG41" s="451"/>
      <c r="CH41" s="451"/>
      <c r="CI41" s="451"/>
      <c r="CJ41" s="451"/>
      <c r="CK41" s="451"/>
      <c r="CL41" s="451"/>
      <c r="CM41" s="65">
        <f t="shared" si="2"/>
        <v>200</v>
      </c>
      <c r="CN41" s="450">
        <v>160</v>
      </c>
      <c r="CO41" s="451"/>
      <c r="CP41" s="451"/>
      <c r="CQ41" s="451"/>
      <c r="CR41" s="451"/>
      <c r="CS41" s="451"/>
      <c r="CT41" s="451"/>
      <c r="CU41" s="451"/>
      <c r="CV41" s="65">
        <f t="shared" si="3"/>
        <v>160</v>
      </c>
      <c r="CW41" s="450">
        <v>110</v>
      </c>
      <c r="CX41" s="451"/>
      <c r="CY41" s="451"/>
      <c r="CZ41" s="451"/>
      <c r="DA41" s="451"/>
      <c r="DB41" s="451"/>
      <c r="DC41" s="451"/>
      <c r="DD41" s="451"/>
      <c r="DE41" s="65">
        <f t="shared" si="4"/>
        <v>110</v>
      </c>
      <c r="DF41" s="450">
        <v>110</v>
      </c>
      <c r="DG41" s="451"/>
      <c r="DH41" s="451"/>
      <c r="DI41" s="451"/>
      <c r="DJ41" s="451"/>
      <c r="DK41" s="451"/>
      <c r="DL41" s="451"/>
      <c r="DM41" s="451"/>
      <c r="DN41" s="65">
        <f t="shared" si="5"/>
        <v>110</v>
      </c>
      <c r="DO41" s="66">
        <f t="shared" si="6"/>
        <v>1485</v>
      </c>
      <c r="DP41" s="67"/>
    </row>
    <row r="42" spans="2:120" ht="221.25" customHeight="1">
      <c r="B42" s="508"/>
      <c r="C42" s="508"/>
      <c r="D42" s="511"/>
      <c r="E42" s="512"/>
      <c r="F42" s="491"/>
      <c r="G42" s="491"/>
      <c r="H42" s="514"/>
      <c r="I42" s="491"/>
      <c r="J42" s="68" t="s">
        <v>73</v>
      </c>
      <c r="K42" s="69">
        <v>153</v>
      </c>
      <c r="L42" s="69">
        <v>132</v>
      </c>
      <c r="M42" s="69">
        <v>82</v>
      </c>
      <c r="N42" s="69">
        <v>45</v>
      </c>
      <c r="O42" s="69">
        <v>109</v>
      </c>
      <c r="P42" s="69">
        <v>25</v>
      </c>
      <c r="Q42" s="69">
        <v>5</v>
      </c>
      <c r="R42" s="69">
        <v>0</v>
      </c>
      <c r="S42" s="69">
        <f t="shared" si="7"/>
        <v>551</v>
      </c>
      <c r="T42" s="67">
        <v>98</v>
      </c>
      <c r="U42" s="67">
        <v>71</v>
      </c>
      <c r="V42" s="67">
        <v>56</v>
      </c>
      <c r="W42" s="67">
        <v>13</v>
      </c>
      <c r="X42" s="67">
        <v>0</v>
      </c>
      <c r="Y42" s="67">
        <v>0</v>
      </c>
      <c r="Z42" s="67">
        <v>0</v>
      </c>
      <c r="AA42" s="67">
        <v>0</v>
      </c>
      <c r="AB42" s="67">
        <f t="shared" si="8"/>
        <v>238</v>
      </c>
      <c r="AC42" s="65">
        <v>131</v>
      </c>
      <c r="AD42" s="65">
        <v>136</v>
      </c>
      <c r="AE42" s="65">
        <v>70</v>
      </c>
      <c r="AF42" s="65">
        <v>65</v>
      </c>
      <c r="AG42" s="65">
        <v>178</v>
      </c>
      <c r="AH42" s="65">
        <v>30</v>
      </c>
      <c r="AI42" s="65">
        <v>11</v>
      </c>
      <c r="AJ42" s="65">
        <v>12</v>
      </c>
      <c r="AK42" s="65">
        <f t="shared" si="9"/>
        <v>633</v>
      </c>
      <c r="AL42" s="65">
        <v>65</v>
      </c>
      <c r="AM42" s="65">
        <v>73</v>
      </c>
      <c r="AN42" s="65">
        <v>51</v>
      </c>
      <c r="AO42" s="65">
        <v>30</v>
      </c>
      <c r="AP42" s="65">
        <v>40</v>
      </c>
      <c r="AQ42" s="65">
        <v>37</v>
      </c>
      <c r="AR42" s="65">
        <v>36</v>
      </c>
      <c r="AS42" s="65">
        <v>16</v>
      </c>
      <c r="AT42" s="65">
        <f t="shared" si="10"/>
        <v>348</v>
      </c>
      <c r="AU42" s="65">
        <v>269</v>
      </c>
      <c r="AV42" s="65">
        <v>188</v>
      </c>
      <c r="AW42" s="65">
        <v>76</v>
      </c>
      <c r="AX42" s="65">
        <v>73</v>
      </c>
      <c r="AY42" s="65">
        <v>136</v>
      </c>
      <c r="AZ42" s="65">
        <v>48</v>
      </c>
      <c r="BA42" s="65">
        <v>33</v>
      </c>
      <c r="BB42" s="65">
        <v>9</v>
      </c>
      <c r="BC42" s="65">
        <f t="shared" si="11"/>
        <v>832</v>
      </c>
      <c r="BD42" s="65">
        <v>356</v>
      </c>
      <c r="BE42" s="65">
        <v>249</v>
      </c>
      <c r="BF42" s="65">
        <v>167</v>
      </c>
      <c r="BG42" s="65">
        <v>109</v>
      </c>
      <c r="BH42" s="65">
        <v>323</v>
      </c>
      <c r="BI42" s="65">
        <v>289</v>
      </c>
      <c r="BJ42" s="65">
        <v>33</v>
      </c>
      <c r="BK42" s="65">
        <v>10</v>
      </c>
      <c r="BL42" s="65">
        <f t="shared" si="12"/>
        <v>1536</v>
      </c>
      <c r="BM42" s="65"/>
      <c r="BN42" s="65"/>
      <c r="BO42" s="65"/>
      <c r="BP42" s="65"/>
      <c r="BQ42" s="65"/>
      <c r="BR42" s="65"/>
      <c r="BS42" s="65"/>
      <c r="BT42" s="65"/>
      <c r="BU42" s="65">
        <f t="shared" si="0"/>
        <v>0</v>
      </c>
      <c r="BV42" s="65"/>
      <c r="BW42" s="65"/>
      <c r="BX42" s="65"/>
      <c r="BY42" s="65"/>
      <c r="BZ42" s="65"/>
      <c r="CA42" s="65"/>
      <c r="CB42" s="65"/>
      <c r="CC42" s="65"/>
      <c r="CD42" s="65">
        <f t="shared" si="1"/>
        <v>0</v>
      </c>
      <c r="CE42" s="65"/>
      <c r="CF42" s="65"/>
      <c r="CG42" s="65"/>
      <c r="CH42" s="65"/>
      <c r="CI42" s="65"/>
      <c r="CJ42" s="65"/>
      <c r="CK42" s="65"/>
      <c r="CL42" s="65"/>
      <c r="CM42" s="65">
        <f t="shared" si="2"/>
        <v>0</v>
      </c>
      <c r="CN42" s="65"/>
      <c r="CO42" s="65"/>
      <c r="CP42" s="65"/>
      <c r="CQ42" s="65"/>
      <c r="CR42" s="65"/>
      <c r="CS42" s="65"/>
      <c r="CT42" s="65"/>
      <c r="CU42" s="65"/>
      <c r="CV42" s="65">
        <f t="shared" si="3"/>
        <v>0</v>
      </c>
      <c r="CW42" s="65"/>
      <c r="CX42" s="65"/>
      <c r="CY42" s="65"/>
      <c r="CZ42" s="65"/>
      <c r="DA42" s="65"/>
      <c r="DB42" s="65"/>
      <c r="DC42" s="65"/>
      <c r="DD42" s="65"/>
      <c r="DE42" s="65">
        <f t="shared" si="4"/>
        <v>0</v>
      </c>
      <c r="DF42" s="65"/>
      <c r="DG42" s="65"/>
      <c r="DH42" s="65"/>
      <c r="DI42" s="65"/>
      <c r="DJ42" s="65"/>
      <c r="DK42" s="65"/>
      <c r="DL42" s="65"/>
      <c r="DM42" s="65"/>
      <c r="DN42" s="65">
        <f t="shared" si="5"/>
        <v>0</v>
      </c>
      <c r="DO42" s="66">
        <f t="shared" si="6"/>
        <v>4138</v>
      </c>
      <c r="DP42" s="260" t="s">
        <v>255</v>
      </c>
    </row>
    <row r="43" spans="2:120" ht="221.25" hidden="1" customHeight="1">
      <c r="B43" s="507" t="s">
        <v>74</v>
      </c>
      <c r="C43" s="507" t="s">
        <v>75</v>
      </c>
      <c r="D43" s="509" t="s">
        <v>1</v>
      </c>
      <c r="E43" s="510"/>
      <c r="F43" s="491" t="s">
        <v>105</v>
      </c>
      <c r="G43" s="492">
        <v>181</v>
      </c>
      <c r="H43" s="514" t="s">
        <v>131</v>
      </c>
      <c r="I43" s="491">
        <v>455</v>
      </c>
      <c r="J43" s="64" t="s">
        <v>72</v>
      </c>
      <c r="K43" s="503">
        <v>60</v>
      </c>
      <c r="L43" s="504"/>
      <c r="M43" s="504"/>
      <c r="N43" s="504"/>
      <c r="O43" s="504"/>
      <c r="P43" s="504"/>
      <c r="Q43" s="504"/>
      <c r="R43" s="504"/>
      <c r="S43" s="69">
        <f t="shared" si="7"/>
        <v>60</v>
      </c>
      <c r="T43" s="505">
        <v>0</v>
      </c>
      <c r="U43" s="506"/>
      <c r="V43" s="506"/>
      <c r="W43" s="506"/>
      <c r="X43" s="506"/>
      <c r="Y43" s="506"/>
      <c r="Z43" s="506"/>
      <c r="AA43" s="506"/>
      <c r="AB43" s="67">
        <f t="shared" si="8"/>
        <v>0</v>
      </c>
      <c r="AC43" s="450">
        <v>50</v>
      </c>
      <c r="AD43" s="451"/>
      <c r="AE43" s="451"/>
      <c r="AF43" s="451"/>
      <c r="AG43" s="451"/>
      <c r="AH43" s="451"/>
      <c r="AI43" s="451"/>
      <c r="AJ43" s="451"/>
      <c r="AK43" s="65">
        <f t="shared" si="9"/>
        <v>50</v>
      </c>
      <c r="AL43" s="450">
        <v>50</v>
      </c>
      <c r="AM43" s="451"/>
      <c r="AN43" s="451"/>
      <c r="AO43" s="451"/>
      <c r="AP43" s="451"/>
      <c r="AQ43" s="451"/>
      <c r="AR43" s="451"/>
      <c r="AS43" s="451"/>
      <c r="AT43" s="65">
        <f t="shared" si="10"/>
        <v>50</v>
      </c>
      <c r="AU43" s="450">
        <v>50</v>
      </c>
      <c r="AV43" s="451"/>
      <c r="AW43" s="451"/>
      <c r="AX43" s="451"/>
      <c r="AY43" s="451"/>
      <c r="AZ43" s="451"/>
      <c r="BA43" s="451"/>
      <c r="BB43" s="451"/>
      <c r="BC43" s="65">
        <f t="shared" si="11"/>
        <v>50</v>
      </c>
      <c r="BD43" s="450">
        <v>25</v>
      </c>
      <c r="BE43" s="451"/>
      <c r="BF43" s="451"/>
      <c r="BG43" s="451"/>
      <c r="BH43" s="451"/>
      <c r="BI43" s="451"/>
      <c r="BJ43" s="451"/>
      <c r="BK43" s="451"/>
      <c r="BL43" s="65">
        <f t="shared" si="12"/>
        <v>25</v>
      </c>
      <c r="BM43" s="450">
        <v>5</v>
      </c>
      <c r="BN43" s="451"/>
      <c r="BO43" s="451"/>
      <c r="BP43" s="451"/>
      <c r="BQ43" s="451"/>
      <c r="BR43" s="451"/>
      <c r="BS43" s="451"/>
      <c r="BT43" s="451"/>
      <c r="BU43" s="65">
        <f t="shared" si="0"/>
        <v>5</v>
      </c>
      <c r="BV43" s="450">
        <v>25</v>
      </c>
      <c r="BW43" s="451"/>
      <c r="BX43" s="451"/>
      <c r="BY43" s="451"/>
      <c r="BZ43" s="451"/>
      <c r="CA43" s="451"/>
      <c r="CB43" s="451"/>
      <c r="CC43" s="451"/>
      <c r="CD43" s="65">
        <f t="shared" si="1"/>
        <v>25</v>
      </c>
      <c r="CE43" s="450">
        <v>40</v>
      </c>
      <c r="CF43" s="451"/>
      <c r="CG43" s="451"/>
      <c r="CH43" s="451"/>
      <c r="CI43" s="451"/>
      <c r="CJ43" s="451"/>
      <c r="CK43" s="451"/>
      <c r="CL43" s="451"/>
      <c r="CM43" s="65">
        <f t="shared" si="2"/>
        <v>40</v>
      </c>
      <c r="CN43" s="450">
        <v>50</v>
      </c>
      <c r="CO43" s="451"/>
      <c r="CP43" s="451"/>
      <c r="CQ43" s="451"/>
      <c r="CR43" s="451"/>
      <c r="CS43" s="451"/>
      <c r="CT43" s="451"/>
      <c r="CU43" s="451"/>
      <c r="CV43" s="65">
        <f t="shared" si="3"/>
        <v>50</v>
      </c>
      <c r="CW43" s="450">
        <v>50</v>
      </c>
      <c r="CX43" s="451"/>
      <c r="CY43" s="451"/>
      <c r="CZ43" s="451"/>
      <c r="DA43" s="451"/>
      <c r="DB43" s="451"/>
      <c r="DC43" s="451"/>
      <c r="DD43" s="451"/>
      <c r="DE43" s="65">
        <f t="shared" si="4"/>
        <v>50</v>
      </c>
      <c r="DF43" s="450">
        <v>50</v>
      </c>
      <c r="DG43" s="451"/>
      <c r="DH43" s="451"/>
      <c r="DI43" s="451"/>
      <c r="DJ43" s="451"/>
      <c r="DK43" s="451"/>
      <c r="DL43" s="451"/>
      <c r="DM43" s="451"/>
      <c r="DN43" s="65">
        <f t="shared" si="5"/>
        <v>50</v>
      </c>
      <c r="DO43" s="66">
        <f t="shared" si="6"/>
        <v>455</v>
      </c>
      <c r="DP43" s="67"/>
    </row>
    <row r="44" spans="2:120" ht="294" customHeight="1">
      <c r="B44" s="508"/>
      <c r="C44" s="508"/>
      <c r="D44" s="511"/>
      <c r="E44" s="512"/>
      <c r="F44" s="491"/>
      <c r="G44" s="491"/>
      <c r="H44" s="514"/>
      <c r="I44" s="491"/>
      <c r="J44" s="68" t="s">
        <v>73</v>
      </c>
      <c r="K44" s="69">
        <v>1</v>
      </c>
      <c r="L44" s="69">
        <v>3</v>
      </c>
      <c r="M44" s="69">
        <v>3</v>
      </c>
      <c r="N44" s="69">
        <v>4</v>
      </c>
      <c r="O44" s="69">
        <v>14</v>
      </c>
      <c r="P44" s="69">
        <v>1</v>
      </c>
      <c r="Q44" s="69">
        <v>0</v>
      </c>
      <c r="R44" s="69">
        <v>0</v>
      </c>
      <c r="S44" s="69">
        <f t="shared" si="7"/>
        <v>26</v>
      </c>
      <c r="T44" s="67">
        <v>1</v>
      </c>
      <c r="U44" s="67">
        <v>6</v>
      </c>
      <c r="V44" s="67">
        <v>2</v>
      </c>
      <c r="W44" s="67">
        <v>4</v>
      </c>
      <c r="X44" s="67">
        <v>4</v>
      </c>
      <c r="Y44" s="67">
        <v>4</v>
      </c>
      <c r="Z44" s="67">
        <v>4</v>
      </c>
      <c r="AA44" s="67">
        <v>1</v>
      </c>
      <c r="AB44" s="67">
        <f t="shared" si="8"/>
        <v>26</v>
      </c>
      <c r="AC44" s="467">
        <v>33</v>
      </c>
      <c r="AD44" s="468"/>
      <c r="AE44" s="468"/>
      <c r="AF44" s="468"/>
      <c r="AG44" s="468"/>
      <c r="AH44" s="468"/>
      <c r="AI44" s="468"/>
      <c r="AJ44" s="469"/>
      <c r="AK44" s="65">
        <f t="shared" si="9"/>
        <v>33</v>
      </c>
      <c r="AL44" s="467">
        <v>41</v>
      </c>
      <c r="AM44" s="468"/>
      <c r="AN44" s="468"/>
      <c r="AO44" s="468"/>
      <c r="AP44" s="468"/>
      <c r="AQ44" s="468"/>
      <c r="AR44" s="468"/>
      <c r="AS44" s="469"/>
      <c r="AT44" s="65">
        <f t="shared" si="10"/>
        <v>41</v>
      </c>
      <c r="AU44" s="467">
        <v>57</v>
      </c>
      <c r="AV44" s="468"/>
      <c r="AW44" s="468"/>
      <c r="AX44" s="468"/>
      <c r="AY44" s="468"/>
      <c r="AZ44" s="468"/>
      <c r="BA44" s="468"/>
      <c r="BB44" s="469"/>
      <c r="BC44" s="65">
        <f t="shared" si="11"/>
        <v>57</v>
      </c>
      <c r="BD44" s="467">
        <v>89</v>
      </c>
      <c r="BE44" s="468"/>
      <c r="BF44" s="468"/>
      <c r="BG44" s="468"/>
      <c r="BH44" s="468"/>
      <c r="BI44" s="468"/>
      <c r="BJ44" s="468"/>
      <c r="BK44" s="469"/>
      <c r="BL44" s="65">
        <f t="shared" si="12"/>
        <v>89</v>
      </c>
      <c r="BM44" s="65"/>
      <c r="BN44" s="65"/>
      <c r="BO44" s="65"/>
      <c r="BP44" s="65"/>
      <c r="BQ44" s="65"/>
      <c r="BR44" s="65"/>
      <c r="BS44" s="65"/>
      <c r="BT44" s="65"/>
      <c r="BU44" s="65">
        <f t="shared" si="0"/>
        <v>0</v>
      </c>
      <c r="BV44" s="65"/>
      <c r="BW44" s="65"/>
      <c r="BX44" s="65"/>
      <c r="BY44" s="65"/>
      <c r="BZ44" s="65"/>
      <c r="CA44" s="65"/>
      <c r="CB44" s="65"/>
      <c r="CC44" s="65"/>
      <c r="CD44" s="65">
        <f t="shared" si="1"/>
        <v>0</v>
      </c>
      <c r="CE44" s="65"/>
      <c r="CF44" s="65"/>
      <c r="CG44" s="65"/>
      <c r="CH44" s="65"/>
      <c r="CI44" s="65"/>
      <c r="CJ44" s="65"/>
      <c r="CK44" s="65"/>
      <c r="CL44" s="65"/>
      <c r="CM44" s="65">
        <f t="shared" si="2"/>
        <v>0</v>
      </c>
      <c r="CN44" s="65"/>
      <c r="CO44" s="65"/>
      <c r="CP44" s="65"/>
      <c r="CQ44" s="65"/>
      <c r="CR44" s="65"/>
      <c r="CS44" s="65"/>
      <c r="CT44" s="65"/>
      <c r="CU44" s="65"/>
      <c r="CV44" s="65">
        <f t="shared" si="3"/>
        <v>0</v>
      </c>
      <c r="CW44" s="65"/>
      <c r="CX44" s="65"/>
      <c r="CY44" s="65"/>
      <c r="CZ44" s="65"/>
      <c r="DA44" s="65"/>
      <c r="DB44" s="65"/>
      <c r="DC44" s="65"/>
      <c r="DD44" s="65"/>
      <c r="DE44" s="65">
        <f t="shared" si="4"/>
        <v>0</v>
      </c>
      <c r="DF44" s="65"/>
      <c r="DG44" s="65"/>
      <c r="DH44" s="65"/>
      <c r="DI44" s="65"/>
      <c r="DJ44" s="65"/>
      <c r="DK44" s="65"/>
      <c r="DL44" s="65"/>
      <c r="DM44" s="65"/>
      <c r="DN44" s="65">
        <f t="shared" si="5"/>
        <v>0</v>
      </c>
      <c r="DO44" s="66">
        <f t="shared" si="6"/>
        <v>272</v>
      </c>
      <c r="DP44" s="67" t="s">
        <v>111</v>
      </c>
    </row>
    <row r="45" spans="2:120" ht="270" hidden="1" customHeight="1">
      <c r="B45" s="507" t="s">
        <v>83</v>
      </c>
      <c r="C45" s="507" t="s">
        <v>5</v>
      </c>
      <c r="D45" s="509" t="s">
        <v>0</v>
      </c>
      <c r="E45" s="510"/>
      <c r="F45" s="491" t="s">
        <v>99</v>
      </c>
      <c r="G45" s="492">
        <v>1</v>
      </c>
      <c r="H45" s="491" t="s">
        <v>0</v>
      </c>
      <c r="I45" s="492">
        <v>1</v>
      </c>
      <c r="J45" s="64" t="s">
        <v>72</v>
      </c>
      <c r="K45" s="503">
        <v>0</v>
      </c>
      <c r="L45" s="504"/>
      <c r="M45" s="504"/>
      <c r="N45" s="504"/>
      <c r="O45" s="504"/>
      <c r="P45" s="504"/>
      <c r="Q45" s="504"/>
      <c r="R45" s="504"/>
      <c r="S45" s="69">
        <f t="shared" si="7"/>
        <v>0</v>
      </c>
      <c r="T45" s="505">
        <v>0</v>
      </c>
      <c r="U45" s="506"/>
      <c r="V45" s="506"/>
      <c r="W45" s="506"/>
      <c r="X45" s="506"/>
      <c r="Y45" s="506"/>
      <c r="Z45" s="506"/>
      <c r="AA45" s="506"/>
      <c r="AB45" s="67">
        <f t="shared" si="8"/>
        <v>0</v>
      </c>
      <c r="AC45" s="450">
        <v>0</v>
      </c>
      <c r="AD45" s="451"/>
      <c r="AE45" s="451"/>
      <c r="AF45" s="451"/>
      <c r="AG45" s="451"/>
      <c r="AH45" s="451"/>
      <c r="AI45" s="451"/>
      <c r="AJ45" s="451"/>
      <c r="AK45" s="65">
        <f t="shared" si="9"/>
        <v>0</v>
      </c>
      <c r="AL45" s="450">
        <v>0</v>
      </c>
      <c r="AM45" s="451"/>
      <c r="AN45" s="451"/>
      <c r="AO45" s="451"/>
      <c r="AP45" s="451"/>
      <c r="AQ45" s="451"/>
      <c r="AR45" s="451"/>
      <c r="AS45" s="451"/>
      <c r="AT45" s="65">
        <f t="shared" si="10"/>
        <v>0</v>
      </c>
      <c r="AU45" s="450">
        <v>0</v>
      </c>
      <c r="AV45" s="451"/>
      <c r="AW45" s="451"/>
      <c r="AX45" s="451"/>
      <c r="AY45" s="451"/>
      <c r="AZ45" s="451"/>
      <c r="BA45" s="451"/>
      <c r="BB45" s="451"/>
      <c r="BC45" s="65">
        <f t="shared" si="11"/>
        <v>0</v>
      </c>
      <c r="BD45" s="450">
        <v>0</v>
      </c>
      <c r="BE45" s="451"/>
      <c r="BF45" s="451"/>
      <c r="BG45" s="451"/>
      <c r="BH45" s="451"/>
      <c r="BI45" s="451"/>
      <c r="BJ45" s="451"/>
      <c r="BK45" s="451"/>
      <c r="BL45" s="65">
        <f t="shared" si="12"/>
        <v>0</v>
      </c>
      <c r="BM45" s="450">
        <v>0</v>
      </c>
      <c r="BN45" s="451"/>
      <c r="BO45" s="451"/>
      <c r="BP45" s="451"/>
      <c r="BQ45" s="451"/>
      <c r="BR45" s="451"/>
      <c r="BS45" s="451"/>
      <c r="BT45" s="451"/>
      <c r="BU45" s="65">
        <f t="shared" si="0"/>
        <v>0</v>
      </c>
      <c r="BV45" s="450">
        <v>0</v>
      </c>
      <c r="BW45" s="451"/>
      <c r="BX45" s="451"/>
      <c r="BY45" s="451"/>
      <c r="BZ45" s="451"/>
      <c r="CA45" s="451"/>
      <c r="CB45" s="451"/>
      <c r="CC45" s="451"/>
      <c r="CD45" s="65">
        <f t="shared" si="1"/>
        <v>0</v>
      </c>
      <c r="CE45" s="450">
        <v>0</v>
      </c>
      <c r="CF45" s="451"/>
      <c r="CG45" s="451"/>
      <c r="CH45" s="451"/>
      <c r="CI45" s="451"/>
      <c r="CJ45" s="451"/>
      <c r="CK45" s="451"/>
      <c r="CL45" s="451"/>
      <c r="CM45" s="65">
        <f t="shared" si="2"/>
        <v>0</v>
      </c>
      <c r="CN45" s="450">
        <v>0</v>
      </c>
      <c r="CO45" s="451"/>
      <c r="CP45" s="451"/>
      <c r="CQ45" s="451"/>
      <c r="CR45" s="451"/>
      <c r="CS45" s="451"/>
      <c r="CT45" s="451"/>
      <c r="CU45" s="451"/>
      <c r="CV45" s="65">
        <f t="shared" si="3"/>
        <v>0</v>
      </c>
      <c r="CW45" s="450">
        <v>0</v>
      </c>
      <c r="CX45" s="451"/>
      <c r="CY45" s="451"/>
      <c r="CZ45" s="451"/>
      <c r="DA45" s="451"/>
      <c r="DB45" s="451"/>
      <c r="DC45" s="451"/>
      <c r="DD45" s="451"/>
      <c r="DE45" s="65">
        <f t="shared" si="4"/>
        <v>0</v>
      </c>
      <c r="DF45" s="450">
        <v>0</v>
      </c>
      <c r="DG45" s="451"/>
      <c r="DH45" s="451"/>
      <c r="DI45" s="451"/>
      <c r="DJ45" s="451"/>
      <c r="DK45" s="451"/>
      <c r="DL45" s="451"/>
      <c r="DM45" s="451"/>
      <c r="DN45" s="65">
        <f t="shared" si="5"/>
        <v>0</v>
      </c>
      <c r="DO45" s="66">
        <f t="shared" si="6"/>
        <v>0</v>
      </c>
      <c r="DP45" s="67"/>
    </row>
    <row r="46" spans="2:120" ht="240" customHeight="1">
      <c r="B46" s="508"/>
      <c r="C46" s="508"/>
      <c r="D46" s="511"/>
      <c r="E46" s="512"/>
      <c r="F46" s="491"/>
      <c r="G46" s="491"/>
      <c r="H46" s="491"/>
      <c r="I46" s="492"/>
      <c r="J46" s="68" t="s">
        <v>73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69">
        <v>0</v>
      </c>
      <c r="S46" s="69">
        <f t="shared" si="7"/>
        <v>0</v>
      </c>
      <c r="T46" s="67">
        <v>0</v>
      </c>
      <c r="U46" s="67">
        <v>0</v>
      </c>
      <c r="V46" s="67">
        <v>0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f t="shared" si="8"/>
        <v>0</v>
      </c>
      <c r="AC46" s="467">
        <v>0</v>
      </c>
      <c r="AD46" s="468"/>
      <c r="AE46" s="468"/>
      <c r="AF46" s="468"/>
      <c r="AG46" s="468"/>
      <c r="AH46" s="468"/>
      <c r="AI46" s="468"/>
      <c r="AJ46" s="469"/>
      <c r="AK46" s="65">
        <f t="shared" si="9"/>
        <v>0</v>
      </c>
      <c r="AL46" s="467">
        <v>0</v>
      </c>
      <c r="AM46" s="468"/>
      <c r="AN46" s="468"/>
      <c r="AO46" s="468"/>
      <c r="AP46" s="468"/>
      <c r="AQ46" s="468"/>
      <c r="AR46" s="468"/>
      <c r="AS46" s="469"/>
      <c r="AT46" s="65">
        <f t="shared" si="10"/>
        <v>0</v>
      </c>
      <c r="AU46" s="467">
        <v>0</v>
      </c>
      <c r="AV46" s="468"/>
      <c r="AW46" s="468"/>
      <c r="AX46" s="468"/>
      <c r="AY46" s="468"/>
      <c r="AZ46" s="468"/>
      <c r="BA46" s="468"/>
      <c r="BB46" s="469"/>
      <c r="BC46" s="65">
        <f t="shared" si="11"/>
        <v>0</v>
      </c>
      <c r="BD46" s="467">
        <v>0</v>
      </c>
      <c r="BE46" s="468"/>
      <c r="BF46" s="468"/>
      <c r="BG46" s="468"/>
      <c r="BH46" s="468"/>
      <c r="BI46" s="468"/>
      <c r="BJ46" s="468"/>
      <c r="BK46" s="469"/>
      <c r="BL46" s="65">
        <f t="shared" si="12"/>
        <v>0</v>
      </c>
      <c r="BM46" s="65"/>
      <c r="BN46" s="65"/>
      <c r="BO46" s="65"/>
      <c r="BP46" s="65"/>
      <c r="BQ46" s="65"/>
      <c r="BR46" s="65"/>
      <c r="BS46" s="65"/>
      <c r="BT46" s="65"/>
      <c r="BU46" s="65">
        <f t="shared" si="0"/>
        <v>0</v>
      </c>
      <c r="BV46" s="65"/>
      <c r="BW46" s="65"/>
      <c r="BX46" s="65"/>
      <c r="BY46" s="65"/>
      <c r="BZ46" s="65"/>
      <c r="CA46" s="65"/>
      <c r="CB46" s="65"/>
      <c r="CC46" s="65"/>
      <c r="CD46" s="65">
        <f t="shared" si="1"/>
        <v>0</v>
      </c>
      <c r="CE46" s="65"/>
      <c r="CF46" s="65"/>
      <c r="CG46" s="65"/>
      <c r="CH46" s="65"/>
      <c r="CI46" s="65"/>
      <c r="CJ46" s="65"/>
      <c r="CK46" s="65"/>
      <c r="CL46" s="65"/>
      <c r="CM46" s="65">
        <f t="shared" si="2"/>
        <v>0</v>
      </c>
      <c r="CN46" s="65"/>
      <c r="CO46" s="65"/>
      <c r="CP46" s="65"/>
      <c r="CQ46" s="65"/>
      <c r="CR46" s="65"/>
      <c r="CS46" s="65"/>
      <c r="CT46" s="65"/>
      <c r="CU46" s="65"/>
      <c r="CV46" s="65">
        <f t="shared" si="3"/>
        <v>0</v>
      </c>
      <c r="CW46" s="65"/>
      <c r="CX46" s="65"/>
      <c r="CY46" s="65"/>
      <c r="CZ46" s="65"/>
      <c r="DA46" s="65"/>
      <c r="DB46" s="65"/>
      <c r="DC46" s="65"/>
      <c r="DD46" s="65"/>
      <c r="DE46" s="65">
        <f t="shared" si="4"/>
        <v>0</v>
      </c>
      <c r="DF46" s="65"/>
      <c r="DG46" s="65"/>
      <c r="DH46" s="65"/>
      <c r="DI46" s="65"/>
      <c r="DJ46" s="65"/>
      <c r="DK46" s="65"/>
      <c r="DL46" s="65"/>
      <c r="DM46" s="65"/>
      <c r="DN46" s="65">
        <f t="shared" si="5"/>
        <v>0</v>
      </c>
      <c r="DO46" s="66">
        <f t="shared" si="6"/>
        <v>0</v>
      </c>
      <c r="DP46" s="67"/>
    </row>
    <row r="47" spans="2:120" ht="236.25" hidden="1" customHeight="1">
      <c r="B47" s="507" t="s">
        <v>132</v>
      </c>
      <c r="C47" s="507" t="s">
        <v>6</v>
      </c>
      <c r="D47" s="509" t="s">
        <v>133</v>
      </c>
      <c r="E47" s="510"/>
      <c r="F47" s="491" t="s">
        <v>133</v>
      </c>
      <c r="G47" s="492">
        <v>1</v>
      </c>
      <c r="H47" s="491" t="s">
        <v>133</v>
      </c>
      <c r="I47" s="492">
        <v>1</v>
      </c>
      <c r="J47" s="64" t="s">
        <v>72</v>
      </c>
      <c r="K47" s="503">
        <v>0</v>
      </c>
      <c r="L47" s="504"/>
      <c r="M47" s="504"/>
      <c r="N47" s="504"/>
      <c r="O47" s="504"/>
      <c r="P47" s="504"/>
      <c r="Q47" s="504"/>
      <c r="R47" s="504"/>
      <c r="S47" s="69">
        <f t="shared" si="7"/>
        <v>0</v>
      </c>
      <c r="T47" s="505">
        <v>0</v>
      </c>
      <c r="U47" s="506"/>
      <c r="V47" s="506"/>
      <c r="W47" s="506"/>
      <c r="X47" s="506"/>
      <c r="Y47" s="506"/>
      <c r="Z47" s="506"/>
      <c r="AA47" s="506"/>
      <c r="AB47" s="67">
        <f t="shared" si="8"/>
        <v>0</v>
      </c>
      <c r="AC47" s="450">
        <v>0</v>
      </c>
      <c r="AD47" s="451"/>
      <c r="AE47" s="451"/>
      <c r="AF47" s="451"/>
      <c r="AG47" s="451"/>
      <c r="AH47" s="451"/>
      <c r="AI47" s="451"/>
      <c r="AJ47" s="451"/>
      <c r="AK47" s="65">
        <f t="shared" si="9"/>
        <v>0</v>
      </c>
      <c r="AL47" s="450">
        <v>0</v>
      </c>
      <c r="AM47" s="451"/>
      <c r="AN47" s="451"/>
      <c r="AO47" s="451"/>
      <c r="AP47" s="451"/>
      <c r="AQ47" s="451"/>
      <c r="AR47" s="451"/>
      <c r="AS47" s="451"/>
      <c r="AT47" s="65">
        <f t="shared" si="10"/>
        <v>0</v>
      </c>
      <c r="AU47" s="450">
        <v>0</v>
      </c>
      <c r="AV47" s="451"/>
      <c r="AW47" s="451"/>
      <c r="AX47" s="451"/>
      <c r="AY47" s="451"/>
      <c r="AZ47" s="451"/>
      <c r="BA47" s="451"/>
      <c r="BB47" s="451"/>
      <c r="BC47" s="65">
        <f t="shared" si="11"/>
        <v>0</v>
      </c>
      <c r="BD47" s="450">
        <v>0</v>
      </c>
      <c r="BE47" s="451"/>
      <c r="BF47" s="451"/>
      <c r="BG47" s="451"/>
      <c r="BH47" s="451"/>
      <c r="BI47" s="451"/>
      <c r="BJ47" s="451"/>
      <c r="BK47" s="451"/>
      <c r="BL47" s="65">
        <f t="shared" si="12"/>
        <v>0</v>
      </c>
      <c r="BM47" s="450">
        <v>0</v>
      </c>
      <c r="BN47" s="451"/>
      <c r="BO47" s="451"/>
      <c r="BP47" s="451"/>
      <c r="BQ47" s="451"/>
      <c r="BR47" s="451"/>
      <c r="BS47" s="451"/>
      <c r="BT47" s="451"/>
      <c r="BU47" s="65">
        <f t="shared" si="0"/>
        <v>0</v>
      </c>
      <c r="BV47" s="450">
        <v>1</v>
      </c>
      <c r="BW47" s="451"/>
      <c r="BX47" s="451"/>
      <c r="BY47" s="451"/>
      <c r="BZ47" s="451"/>
      <c r="CA47" s="451"/>
      <c r="CB47" s="451"/>
      <c r="CC47" s="451"/>
      <c r="CD47" s="65">
        <f t="shared" si="1"/>
        <v>1</v>
      </c>
      <c r="CE47" s="450">
        <v>0</v>
      </c>
      <c r="CF47" s="451"/>
      <c r="CG47" s="451"/>
      <c r="CH47" s="451"/>
      <c r="CI47" s="451"/>
      <c r="CJ47" s="451"/>
      <c r="CK47" s="451"/>
      <c r="CL47" s="451"/>
      <c r="CM47" s="65">
        <f t="shared" si="2"/>
        <v>0</v>
      </c>
      <c r="CN47" s="450">
        <v>0</v>
      </c>
      <c r="CO47" s="451"/>
      <c r="CP47" s="451"/>
      <c r="CQ47" s="451"/>
      <c r="CR47" s="451"/>
      <c r="CS47" s="451"/>
      <c r="CT47" s="451"/>
      <c r="CU47" s="451"/>
      <c r="CV47" s="65">
        <f t="shared" si="3"/>
        <v>0</v>
      </c>
      <c r="CW47" s="450">
        <v>0</v>
      </c>
      <c r="CX47" s="451"/>
      <c r="CY47" s="451"/>
      <c r="CZ47" s="451"/>
      <c r="DA47" s="451"/>
      <c r="DB47" s="451"/>
      <c r="DC47" s="451"/>
      <c r="DD47" s="451"/>
      <c r="DE47" s="65">
        <f t="shared" si="4"/>
        <v>0</v>
      </c>
      <c r="DF47" s="450">
        <v>0</v>
      </c>
      <c r="DG47" s="451"/>
      <c r="DH47" s="451"/>
      <c r="DI47" s="451"/>
      <c r="DJ47" s="451"/>
      <c r="DK47" s="451"/>
      <c r="DL47" s="451"/>
      <c r="DM47" s="451"/>
      <c r="DN47" s="65">
        <f t="shared" si="5"/>
        <v>0</v>
      </c>
      <c r="DO47" s="66">
        <f t="shared" si="6"/>
        <v>1</v>
      </c>
      <c r="DP47" s="67"/>
    </row>
    <row r="48" spans="2:120" ht="225" customHeight="1">
      <c r="B48" s="508"/>
      <c r="C48" s="508"/>
      <c r="D48" s="511"/>
      <c r="E48" s="512"/>
      <c r="F48" s="491"/>
      <c r="G48" s="491"/>
      <c r="H48" s="491"/>
      <c r="I48" s="492"/>
      <c r="J48" s="68" t="s">
        <v>73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0</v>
      </c>
      <c r="S48" s="69">
        <f t="shared" si="7"/>
        <v>0</v>
      </c>
      <c r="T48" s="67">
        <v>0</v>
      </c>
      <c r="U48" s="67">
        <v>0</v>
      </c>
      <c r="V48" s="67">
        <v>0</v>
      </c>
      <c r="W48" s="67">
        <v>0</v>
      </c>
      <c r="X48" s="67">
        <v>0</v>
      </c>
      <c r="Y48" s="67">
        <v>0</v>
      </c>
      <c r="Z48" s="67">
        <v>0</v>
      </c>
      <c r="AA48" s="67">
        <v>0</v>
      </c>
      <c r="AB48" s="67">
        <f t="shared" si="8"/>
        <v>0</v>
      </c>
      <c r="AC48" s="467">
        <v>0</v>
      </c>
      <c r="AD48" s="468"/>
      <c r="AE48" s="468"/>
      <c r="AF48" s="468"/>
      <c r="AG48" s="468"/>
      <c r="AH48" s="468"/>
      <c r="AI48" s="468"/>
      <c r="AJ48" s="469"/>
      <c r="AK48" s="65">
        <f t="shared" si="9"/>
        <v>0</v>
      </c>
      <c r="AL48" s="467">
        <v>0</v>
      </c>
      <c r="AM48" s="468"/>
      <c r="AN48" s="468"/>
      <c r="AO48" s="468"/>
      <c r="AP48" s="468"/>
      <c r="AQ48" s="468"/>
      <c r="AR48" s="468"/>
      <c r="AS48" s="469"/>
      <c r="AT48" s="65">
        <f t="shared" si="10"/>
        <v>0</v>
      </c>
      <c r="AU48" s="467">
        <v>0</v>
      </c>
      <c r="AV48" s="468"/>
      <c r="AW48" s="468"/>
      <c r="AX48" s="468"/>
      <c r="AY48" s="468"/>
      <c r="AZ48" s="468"/>
      <c r="BA48" s="468"/>
      <c r="BB48" s="469"/>
      <c r="BC48" s="65">
        <f t="shared" si="11"/>
        <v>0</v>
      </c>
      <c r="BD48" s="467">
        <v>0</v>
      </c>
      <c r="BE48" s="468"/>
      <c r="BF48" s="468"/>
      <c r="BG48" s="468"/>
      <c r="BH48" s="468"/>
      <c r="BI48" s="468"/>
      <c r="BJ48" s="468"/>
      <c r="BK48" s="469"/>
      <c r="BL48" s="65">
        <f t="shared" si="12"/>
        <v>0</v>
      </c>
      <c r="BM48" s="65"/>
      <c r="BN48" s="65"/>
      <c r="BO48" s="65"/>
      <c r="BP48" s="65"/>
      <c r="BQ48" s="65"/>
      <c r="BR48" s="65"/>
      <c r="BS48" s="65"/>
      <c r="BT48" s="65"/>
      <c r="BU48" s="65">
        <f t="shared" si="0"/>
        <v>0</v>
      </c>
      <c r="BV48" s="65"/>
      <c r="BW48" s="65"/>
      <c r="BX48" s="65"/>
      <c r="BY48" s="65"/>
      <c r="BZ48" s="65"/>
      <c r="CA48" s="65"/>
      <c r="CB48" s="65"/>
      <c r="CC48" s="65"/>
      <c r="CD48" s="65">
        <f t="shared" si="1"/>
        <v>0</v>
      </c>
      <c r="CE48" s="65"/>
      <c r="CF48" s="65"/>
      <c r="CG48" s="65"/>
      <c r="CH48" s="65"/>
      <c r="CI48" s="65"/>
      <c r="CJ48" s="65"/>
      <c r="CK48" s="65"/>
      <c r="CL48" s="65"/>
      <c r="CM48" s="65">
        <f t="shared" si="2"/>
        <v>0</v>
      </c>
      <c r="CN48" s="65"/>
      <c r="CO48" s="65"/>
      <c r="CP48" s="65"/>
      <c r="CQ48" s="65"/>
      <c r="CR48" s="65"/>
      <c r="CS48" s="65"/>
      <c r="CT48" s="65"/>
      <c r="CU48" s="65"/>
      <c r="CV48" s="65">
        <f t="shared" si="3"/>
        <v>0</v>
      </c>
      <c r="CW48" s="65"/>
      <c r="CX48" s="65"/>
      <c r="CY48" s="65"/>
      <c r="CZ48" s="65"/>
      <c r="DA48" s="65"/>
      <c r="DB48" s="65"/>
      <c r="DC48" s="65"/>
      <c r="DD48" s="65"/>
      <c r="DE48" s="65">
        <f t="shared" si="4"/>
        <v>0</v>
      </c>
      <c r="DF48" s="65"/>
      <c r="DG48" s="65"/>
      <c r="DH48" s="65"/>
      <c r="DI48" s="65"/>
      <c r="DJ48" s="65"/>
      <c r="DK48" s="65"/>
      <c r="DL48" s="65"/>
      <c r="DM48" s="65"/>
      <c r="DN48" s="65">
        <f t="shared" si="5"/>
        <v>0</v>
      </c>
      <c r="DO48" s="66">
        <f t="shared" si="6"/>
        <v>0</v>
      </c>
      <c r="DP48" s="67" t="s">
        <v>134</v>
      </c>
    </row>
    <row r="49" spans="2:120" ht="322.5" hidden="1" customHeight="1">
      <c r="B49" s="507" t="s">
        <v>135</v>
      </c>
      <c r="C49" s="507" t="s">
        <v>7</v>
      </c>
      <c r="D49" s="509" t="s">
        <v>136</v>
      </c>
      <c r="E49" s="510"/>
      <c r="F49" s="491" t="s">
        <v>137</v>
      </c>
      <c r="G49" s="492">
        <v>10</v>
      </c>
      <c r="H49" s="491" t="s">
        <v>136</v>
      </c>
      <c r="I49" s="492">
        <v>1</v>
      </c>
      <c r="J49" s="64" t="s">
        <v>72</v>
      </c>
      <c r="K49" s="503">
        <v>0</v>
      </c>
      <c r="L49" s="504"/>
      <c r="M49" s="504"/>
      <c r="N49" s="504"/>
      <c r="O49" s="504"/>
      <c r="P49" s="504"/>
      <c r="Q49" s="504"/>
      <c r="R49" s="504"/>
      <c r="S49" s="69">
        <f t="shared" si="7"/>
        <v>0</v>
      </c>
      <c r="T49" s="505">
        <v>0</v>
      </c>
      <c r="U49" s="506"/>
      <c r="V49" s="506"/>
      <c r="W49" s="506"/>
      <c r="X49" s="506"/>
      <c r="Y49" s="506"/>
      <c r="Z49" s="506"/>
      <c r="AA49" s="506"/>
      <c r="AB49" s="67">
        <f t="shared" si="8"/>
        <v>0</v>
      </c>
      <c r="AC49" s="450">
        <v>0</v>
      </c>
      <c r="AD49" s="451"/>
      <c r="AE49" s="451"/>
      <c r="AF49" s="451"/>
      <c r="AG49" s="451"/>
      <c r="AH49" s="451"/>
      <c r="AI49" s="451"/>
      <c r="AJ49" s="451"/>
      <c r="AK49" s="65">
        <f t="shared" si="9"/>
        <v>0</v>
      </c>
      <c r="AL49" s="450">
        <v>1</v>
      </c>
      <c r="AM49" s="451"/>
      <c r="AN49" s="451"/>
      <c r="AO49" s="451"/>
      <c r="AP49" s="451"/>
      <c r="AQ49" s="451"/>
      <c r="AR49" s="451"/>
      <c r="AS49" s="451"/>
      <c r="AT49" s="65">
        <f t="shared" si="10"/>
        <v>1</v>
      </c>
      <c r="AU49" s="450">
        <v>0</v>
      </c>
      <c r="AV49" s="451"/>
      <c r="AW49" s="451"/>
      <c r="AX49" s="451"/>
      <c r="AY49" s="451"/>
      <c r="AZ49" s="451"/>
      <c r="BA49" s="451"/>
      <c r="BB49" s="451"/>
      <c r="BC49" s="65">
        <f t="shared" si="11"/>
        <v>0</v>
      </c>
      <c r="BD49" s="450">
        <v>0</v>
      </c>
      <c r="BE49" s="451"/>
      <c r="BF49" s="451"/>
      <c r="BG49" s="451"/>
      <c r="BH49" s="451"/>
      <c r="BI49" s="451"/>
      <c r="BJ49" s="451"/>
      <c r="BK49" s="451"/>
      <c r="BL49" s="65">
        <f t="shared" si="12"/>
        <v>0</v>
      </c>
      <c r="BM49" s="450">
        <v>0</v>
      </c>
      <c r="BN49" s="451"/>
      <c r="BO49" s="451"/>
      <c r="BP49" s="451"/>
      <c r="BQ49" s="451"/>
      <c r="BR49" s="451"/>
      <c r="BS49" s="451"/>
      <c r="BT49" s="451"/>
      <c r="BU49" s="65">
        <f t="shared" si="0"/>
        <v>0</v>
      </c>
      <c r="BV49" s="450">
        <v>0</v>
      </c>
      <c r="BW49" s="451"/>
      <c r="BX49" s="451"/>
      <c r="BY49" s="451"/>
      <c r="BZ49" s="451"/>
      <c r="CA49" s="451"/>
      <c r="CB49" s="451"/>
      <c r="CC49" s="451"/>
      <c r="CD49" s="65">
        <f t="shared" si="1"/>
        <v>0</v>
      </c>
      <c r="CE49" s="450">
        <v>0</v>
      </c>
      <c r="CF49" s="451"/>
      <c r="CG49" s="451"/>
      <c r="CH49" s="451"/>
      <c r="CI49" s="451"/>
      <c r="CJ49" s="451"/>
      <c r="CK49" s="451"/>
      <c r="CL49" s="451"/>
      <c r="CM49" s="65">
        <f t="shared" si="2"/>
        <v>0</v>
      </c>
      <c r="CN49" s="450">
        <v>0</v>
      </c>
      <c r="CO49" s="451"/>
      <c r="CP49" s="451"/>
      <c r="CQ49" s="451"/>
      <c r="CR49" s="451"/>
      <c r="CS49" s="451"/>
      <c r="CT49" s="451"/>
      <c r="CU49" s="451"/>
      <c r="CV49" s="65">
        <f t="shared" si="3"/>
        <v>0</v>
      </c>
      <c r="CW49" s="450">
        <v>0</v>
      </c>
      <c r="CX49" s="451"/>
      <c r="CY49" s="451"/>
      <c r="CZ49" s="451"/>
      <c r="DA49" s="451"/>
      <c r="DB49" s="451"/>
      <c r="DC49" s="451"/>
      <c r="DD49" s="451"/>
      <c r="DE49" s="65">
        <f t="shared" si="4"/>
        <v>0</v>
      </c>
      <c r="DF49" s="450">
        <v>0</v>
      </c>
      <c r="DG49" s="451"/>
      <c r="DH49" s="451"/>
      <c r="DI49" s="451"/>
      <c r="DJ49" s="451"/>
      <c r="DK49" s="451"/>
      <c r="DL49" s="451"/>
      <c r="DM49" s="451"/>
      <c r="DN49" s="65">
        <f t="shared" si="5"/>
        <v>0</v>
      </c>
      <c r="DO49" s="66">
        <f t="shared" si="6"/>
        <v>1</v>
      </c>
      <c r="DP49" s="67"/>
    </row>
    <row r="50" spans="2:120" ht="165" customHeight="1">
      <c r="B50" s="508"/>
      <c r="C50" s="508"/>
      <c r="D50" s="511"/>
      <c r="E50" s="512"/>
      <c r="F50" s="491"/>
      <c r="G50" s="491"/>
      <c r="H50" s="491"/>
      <c r="I50" s="492"/>
      <c r="J50" s="68" t="s">
        <v>73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f t="shared" si="7"/>
        <v>0</v>
      </c>
      <c r="T50" s="67">
        <v>0</v>
      </c>
      <c r="U50" s="67">
        <v>0</v>
      </c>
      <c r="V50" s="67">
        <v>0</v>
      </c>
      <c r="W50" s="67">
        <v>0</v>
      </c>
      <c r="X50" s="67">
        <v>0</v>
      </c>
      <c r="Y50" s="67">
        <v>0</v>
      </c>
      <c r="Z50" s="67">
        <v>0</v>
      </c>
      <c r="AA50" s="67">
        <v>0</v>
      </c>
      <c r="AB50" s="67">
        <f t="shared" si="8"/>
        <v>0</v>
      </c>
      <c r="AC50" s="467">
        <v>0</v>
      </c>
      <c r="AD50" s="468"/>
      <c r="AE50" s="468"/>
      <c r="AF50" s="468"/>
      <c r="AG50" s="468"/>
      <c r="AH50" s="468"/>
      <c r="AI50" s="468"/>
      <c r="AJ50" s="469"/>
      <c r="AK50" s="65">
        <f t="shared" si="9"/>
        <v>0</v>
      </c>
      <c r="AL50" s="467">
        <v>0</v>
      </c>
      <c r="AM50" s="468"/>
      <c r="AN50" s="468"/>
      <c r="AO50" s="468"/>
      <c r="AP50" s="468"/>
      <c r="AQ50" s="468"/>
      <c r="AR50" s="468"/>
      <c r="AS50" s="469"/>
      <c r="AT50" s="65">
        <f t="shared" si="10"/>
        <v>0</v>
      </c>
      <c r="AU50" s="467">
        <v>1</v>
      </c>
      <c r="AV50" s="468"/>
      <c r="AW50" s="468"/>
      <c r="AX50" s="468"/>
      <c r="AY50" s="468"/>
      <c r="AZ50" s="468"/>
      <c r="BA50" s="468"/>
      <c r="BB50" s="469"/>
      <c r="BC50" s="65">
        <f t="shared" si="11"/>
        <v>1</v>
      </c>
      <c r="BD50" s="467">
        <v>0</v>
      </c>
      <c r="BE50" s="468"/>
      <c r="BF50" s="468"/>
      <c r="BG50" s="468"/>
      <c r="BH50" s="468"/>
      <c r="BI50" s="468"/>
      <c r="BJ50" s="468"/>
      <c r="BK50" s="469"/>
      <c r="BL50" s="65">
        <f t="shared" si="12"/>
        <v>0</v>
      </c>
      <c r="BM50" s="65"/>
      <c r="BN50" s="65"/>
      <c r="BO50" s="65"/>
      <c r="BP50" s="65"/>
      <c r="BQ50" s="65"/>
      <c r="BR50" s="65"/>
      <c r="BS50" s="65"/>
      <c r="BT50" s="65"/>
      <c r="BU50" s="65">
        <f t="shared" si="0"/>
        <v>0</v>
      </c>
      <c r="BV50" s="65"/>
      <c r="BW50" s="65"/>
      <c r="BX50" s="65"/>
      <c r="BY50" s="65"/>
      <c r="BZ50" s="65"/>
      <c r="CA50" s="65"/>
      <c r="CB50" s="65"/>
      <c r="CC50" s="65"/>
      <c r="CD50" s="65">
        <f t="shared" si="1"/>
        <v>0</v>
      </c>
      <c r="CE50" s="65"/>
      <c r="CF50" s="65"/>
      <c r="CG50" s="65"/>
      <c r="CH50" s="65"/>
      <c r="CI50" s="65"/>
      <c r="CJ50" s="65"/>
      <c r="CK50" s="65"/>
      <c r="CL50" s="65"/>
      <c r="CM50" s="65">
        <f t="shared" si="2"/>
        <v>0</v>
      </c>
      <c r="CN50" s="65"/>
      <c r="CO50" s="65"/>
      <c r="CP50" s="65"/>
      <c r="CQ50" s="65"/>
      <c r="CR50" s="65"/>
      <c r="CS50" s="65"/>
      <c r="CT50" s="65"/>
      <c r="CU50" s="65"/>
      <c r="CV50" s="65">
        <f t="shared" si="3"/>
        <v>0</v>
      </c>
      <c r="CW50" s="65"/>
      <c r="CX50" s="65"/>
      <c r="CY50" s="65"/>
      <c r="CZ50" s="65"/>
      <c r="DA50" s="65"/>
      <c r="DB50" s="65"/>
      <c r="DC50" s="65"/>
      <c r="DD50" s="65"/>
      <c r="DE50" s="65">
        <f t="shared" si="4"/>
        <v>0</v>
      </c>
      <c r="DF50" s="65"/>
      <c r="DG50" s="65"/>
      <c r="DH50" s="65"/>
      <c r="DI50" s="65"/>
      <c r="DJ50" s="65"/>
      <c r="DK50" s="65"/>
      <c r="DL50" s="65"/>
      <c r="DM50" s="65"/>
      <c r="DN50" s="65">
        <f t="shared" si="5"/>
        <v>0</v>
      </c>
      <c r="DO50" s="66">
        <f t="shared" si="6"/>
        <v>1</v>
      </c>
      <c r="DP50" s="67"/>
    </row>
    <row r="51" spans="2:120" ht="371.25" hidden="1" customHeight="1">
      <c r="B51" s="507" t="s">
        <v>138</v>
      </c>
      <c r="C51" s="507" t="s">
        <v>5</v>
      </c>
      <c r="D51" s="509" t="s">
        <v>0</v>
      </c>
      <c r="E51" s="510"/>
      <c r="F51" s="491" t="s">
        <v>99</v>
      </c>
      <c r="G51" s="492">
        <v>1</v>
      </c>
      <c r="H51" s="491" t="s">
        <v>0</v>
      </c>
      <c r="I51" s="492">
        <v>1</v>
      </c>
      <c r="J51" s="64" t="s">
        <v>72</v>
      </c>
      <c r="K51" s="503">
        <v>0</v>
      </c>
      <c r="L51" s="504"/>
      <c r="M51" s="504"/>
      <c r="N51" s="504"/>
      <c r="O51" s="504"/>
      <c r="P51" s="504"/>
      <c r="Q51" s="504"/>
      <c r="R51" s="504"/>
      <c r="S51" s="69">
        <f t="shared" si="7"/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f t="shared" si="8"/>
        <v>0</v>
      </c>
      <c r="AC51" s="450">
        <v>0</v>
      </c>
      <c r="AD51" s="451"/>
      <c r="AE51" s="451"/>
      <c r="AF51" s="451"/>
      <c r="AG51" s="451"/>
      <c r="AH51" s="451"/>
      <c r="AI51" s="451"/>
      <c r="AJ51" s="451"/>
      <c r="AK51" s="65">
        <f t="shared" si="9"/>
        <v>0</v>
      </c>
      <c r="AL51" s="450">
        <v>0</v>
      </c>
      <c r="AM51" s="451"/>
      <c r="AN51" s="451"/>
      <c r="AO51" s="451"/>
      <c r="AP51" s="451"/>
      <c r="AQ51" s="451"/>
      <c r="AR51" s="451"/>
      <c r="AS51" s="451"/>
      <c r="AT51" s="65">
        <f t="shared" si="10"/>
        <v>0</v>
      </c>
      <c r="AU51" s="450">
        <v>0</v>
      </c>
      <c r="AV51" s="451"/>
      <c r="AW51" s="451"/>
      <c r="AX51" s="451"/>
      <c r="AY51" s="451"/>
      <c r="AZ51" s="451"/>
      <c r="BA51" s="451"/>
      <c r="BB51" s="451"/>
      <c r="BC51" s="65">
        <f t="shared" si="11"/>
        <v>0</v>
      </c>
      <c r="BD51" s="450">
        <v>0</v>
      </c>
      <c r="BE51" s="451"/>
      <c r="BF51" s="451"/>
      <c r="BG51" s="451"/>
      <c r="BH51" s="451"/>
      <c r="BI51" s="451"/>
      <c r="BJ51" s="451"/>
      <c r="BK51" s="451"/>
      <c r="BL51" s="65">
        <f t="shared" si="12"/>
        <v>0</v>
      </c>
      <c r="BM51" s="450">
        <v>0</v>
      </c>
      <c r="BN51" s="451"/>
      <c r="BO51" s="451"/>
      <c r="BP51" s="451"/>
      <c r="BQ51" s="451"/>
      <c r="BR51" s="451"/>
      <c r="BS51" s="451"/>
      <c r="BT51" s="451"/>
      <c r="BU51" s="65">
        <f t="shared" si="0"/>
        <v>0</v>
      </c>
      <c r="BV51" s="450">
        <v>0</v>
      </c>
      <c r="BW51" s="451"/>
      <c r="BX51" s="451"/>
      <c r="BY51" s="451"/>
      <c r="BZ51" s="451"/>
      <c r="CA51" s="451"/>
      <c r="CB51" s="451"/>
      <c r="CC51" s="451"/>
      <c r="CD51" s="65">
        <f t="shared" si="1"/>
        <v>0</v>
      </c>
      <c r="CE51" s="450">
        <v>0</v>
      </c>
      <c r="CF51" s="451"/>
      <c r="CG51" s="451"/>
      <c r="CH51" s="451"/>
      <c r="CI51" s="451"/>
      <c r="CJ51" s="451"/>
      <c r="CK51" s="451"/>
      <c r="CL51" s="451"/>
      <c r="CM51" s="65">
        <f t="shared" si="2"/>
        <v>0</v>
      </c>
      <c r="CN51" s="450">
        <v>0</v>
      </c>
      <c r="CO51" s="451"/>
      <c r="CP51" s="451"/>
      <c r="CQ51" s="451"/>
      <c r="CR51" s="451"/>
      <c r="CS51" s="451"/>
      <c r="CT51" s="451"/>
      <c r="CU51" s="451"/>
      <c r="CV51" s="65">
        <f t="shared" si="3"/>
        <v>0</v>
      </c>
      <c r="CW51" s="450">
        <v>0</v>
      </c>
      <c r="CX51" s="451"/>
      <c r="CY51" s="451"/>
      <c r="CZ51" s="451"/>
      <c r="DA51" s="451"/>
      <c r="DB51" s="451"/>
      <c r="DC51" s="451"/>
      <c r="DD51" s="451"/>
      <c r="DE51" s="65">
        <f t="shared" si="4"/>
        <v>0</v>
      </c>
      <c r="DF51" s="450">
        <v>0</v>
      </c>
      <c r="DG51" s="451"/>
      <c r="DH51" s="451"/>
      <c r="DI51" s="451"/>
      <c r="DJ51" s="451"/>
      <c r="DK51" s="451"/>
      <c r="DL51" s="451"/>
      <c r="DM51" s="451"/>
      <c r="DN51" s="65">
        <f t="shared" si="5"/>
        <v>0</v>
      </c>
      <c r="DO51" s="66">
        <f t="shared" si="6"/>
        <v>0</v>
      </c>
      <c r="DP51" s="67"/>
    </row>
    <row r="52" spans="2:120" ht="165" customHeight="1">
      <c r="B52" s="508"/>
      <c r="C52" s="508"/>
      <c r="D52" s="511"/>
      <c r="E52" s="512"/>
      <c r="F52" s="491"/>
      <c r="G52" s="491"/>
      <c r="H52" s="491"/>
      <c r="I52" s="492"/>
      <c r="J52" s="68" t="s">
        <v>73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69">
        <v>0</v>
      </c>
      <c r="S52" s="69">
        <f t="shared" si="7"/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f t="shared" si="8"/>
        <v>0</v>
      </c>
      <c r="AC52" s="467">
        <v>1</v>
      </c>
      <c r="AD52" s="468"/>
      <c r="AE52" s="468"/>
      <c r="AF52" s="468"/>
      <c r="AG52" s="468"/>
      <c r="AH52" s="468"/>
      <c r="AI52" s="468"/>
      <c r="AJ52" s="469"/>
      <c r="AK52" s="65">
        <f t="shared" si="9"/>
        <v>1</v>
      </c>
      <c r="AL52" s="467">
        <v>0</v>
      </c>
      <c r="AM52" s="468"/>
      <c r="AN52" s="468"/>
      <c r="AO52" s="468"/>
      <c r="AP52" s="468"/>
      <c r="AQ52" s="468"/>
      <c r="AR52" s="468"/>
      <c r="AS52" s="469"/>
      <c r="AT52" s="65">
        <f t="shared" si="10"/>
        <v>0</v>
      </c>
      <c r="AU52" s="467">
        <v>0</v>
      </c>
      <c r="AV52" s="468"/>
      <c r="AW52" s="468"/>
      <c r="AX52" s="468"/>
      <c r="AY52" s="468"/>
      <c r="AZ52" s="468"/>
      <c r="BA52" s="468"/>
      <c r="BB52" s="469"/>
      <c r="BC52" s="65">
        <f t="shared" si="11"/>
        <v>0</v>
      </c>
      <c r="BD52" s="467">
        <v>0</v>
      </c>
      <c r="BE52" s="468"/>
      <c r="BF52" s="468"/>
      <c r="BG52" s="468"/>
      <c r="BH52" s="468"/>
      <c r="BI52" s="468"/>
      <c r="BJ52" s="468"/>
      <c r="BK52" s="469"/>
      <c r="BL52" s="65">
        <f t="shared" si="12"/>
        <v>0</v>
      </c>
      <c r="BM52" s="65"/>
      <c r="BN52" s="65"/>
      <c r="BO52" s="65"/>
      <c r="BP52" s="65"/>
      <c r="BQ52" s="65"/>
      <c r="BR52" s="65"/>
      <c r="BS52" s="65"/>
      <c r="BT52" s="65"/>
      <c r="BU52" s="65">
        <f t="shared" si="0"/>
        <v>0</v>
      </c>
      <c r="BV52" s="65"/>
      <c r="BW52" s="65"/>
      <c r="BX52" s="65"/>
      <c r="BY52" s="65"/>
      <c r="BZ52" s="65"/>
      <c r="CA52" s="65"/>
      <c r="CB52" s="65"/>
      <c r="CC52" s="65"/>
      <c r="CD52" s="65">
        <f t="shared" si="1"/>
        <v>0</v>
      </c>
      <c r="CE52" s="65"/>
      <c r="CF52" s="65"/>
      <c r="CG52" s="65"/>
      <c r="CH52" s="65"/>
      <c r="CI52" s="65"/>
      <c r="CJ52" s="65"/>
      <c r="CK52" s="65"/>
      <c r="CL52" s="65"/>
      <c r="CM52" s="65">
        <f t="shared" si="2"/>
        <v>0</v>
      </c>
      <c r="CN52" s="65"/>
      <c r="CO52" s="65"/>
      <c r="CP52" s="65"/>
      <c r="CQ52" s="65"/>
      <c r="CR52" s="65"/>
      <c r="CS52" s="65"/>
      <c r="CT52" s="65"/>
      <c r="CU52" s="65"/>
      <c r="CV52" s="65">
        <f t="shared" si="3"/>
        <v>0</v>
      </c>
      <c r="CW52" s="65"/>
      <c r="CX52" s="65"/>
      <c r="CY52" s="65"/>
      <c r="CZ52" s="65"/>
      <c r="DA52" s="65"/>
      <c r="DB52" s="65"/>
      <c r="DC52" s="65"/>
      <c r="DD52" s="65"/>
      <c r="DE52" s="65">
        <f t="shared" si="4"/>
        <v>0</v>
      </c>
      <c r="DF52" s="65"/>
      <c r="DG52" s="65"/>
      <c r="DH52" s="65"/>
      <c r="DI52" s="65"/>
      <c r="DJ52" s="65"/>
      <c r="DK52" s="65"/>
      <c r="DL52" s="65"/>
      <c r="DM52" s="65"/>
      <c r="DN52" s="65">
        <f t="shared" si="5"/>
        <v>0</v>
      </c>
      <c r="DO52" s="66">
        <f t="shared" si="6"/>
        <v>1</v>
      </c>
      <c r="DP52" s="67"/>
    </row>
    <row r="53" spans="2:120" ht="251.25" hidden="1" customHeight="1">
      <c r="B53" s="491" t="s">
        <v>88</v>
      </c>
      <c r="C53" s="507" t="s">
        <v>15</v>
      </c>
      <c r="D53" s="509" t="s">
        <v>139</v>
      </c>
      <c r="E53" s="510"/>
      <c r="F53" s="491" t="s">
        <v>140</v>
      </c>
      <c r="G53" s="492">
        <v>0</v>
      </c>
      <c r="H53" s="491" t="s">
        <v>139</v>
      </c>
      <c r="I53" s="491">
        <v>1</v>
      </c>
      <c r="J53" s="64" t="s">
        <v>72</v>
      </c>
      <c r="K53" s="503">
        <v>0</v>
      </c>
      <c r="L53" s="504"/>
      <c r="M53" s="504"/>
      <c r="N53" s="504"/>
      <c r="O53" s="504"/>
      <c r="P53" s="504"/>
      <c r="Q53" s="504"/>
      <c r="R53" s="504"/>
      <c r="S53" s="69">
        <f t="shared" si="7"/>
        <v>0</v>
      </c>
      <c r="T53" s="67">
        <v>0</v>
      </c>
      <c r="U53" s="67">
        <v>0</v>
      </c>
      <c r="V53" s="67">
        <v>0</v>
      </c>
      <c r="W53" s="67">
        <v>0</v>
      </c>
      <c r="X53" s="67">
        <v>0</v>
      </c>
      <c r="Y53" s="67">
        <v>0</v>
      </c>
      <c r="Z53" s="67">
        <v>0</v>
      </c>
      <c r="AA53" s="67">
        <v>0</v>
      </c>
      <c r="AB53" s="67">
        <f t="shared" si="8"/>
        <v>0</v>
      </c>
      <c r="AC53" s="450">
        <v>0</v>
      </c>
      <c r="AD53" s="451"/>
      <c r="AE53" s="451"/>
      <c r="AF53" s="451"/>
      <c r="AG53" s="451"/>
      <c r="AH53" s="451"/>
      <c r="AI53" s="451"/>
      <c r="AJ53" s="451"/>
      <c r="AK53" s="65">
        <f t="shared" si="9"/>
        <v>0</v>
      </c>
      <c r="AL53" s="450">
        <v>0</v>
      </c>
      <c r="AM53" s="451"/>
      <c r="AN53" s="451"/>
      <c r="AO53" s="451"/>
      <c r="AP53" s="451"/>
      <c r="AQ53" s="451"/>
      <c r="AR53" s="451"/>
      <c r="AS53" s="451"/>
      <c r="AT53" s="65">
        <f t="shared" si="10"/>
        <v>0</v>
      </c>
      <c r="AU53" s="450">
        <v>0</v>
      </c>
      <c r="AV53" s="451"/>
      <c r="AW53" s="451"/>
      <c r="AX53" s="451"/>
      <c r="AY53" s="451"/>
      <c r="AZ53" s="451"/>
      <c r="BA53" s="451"/>
      <c r="BB53" s="451"/>
      <c r="BC53" s="65">
        <f t="shared" si="11"/>
        <v>0</v>
      </c>
      <c r="BD53" s="450">
        <v>0</v>
      </c>
      <c r="BE53" s="451"/>
      <c r="BF53" s="451"/>
      <c r="BG53" s="451"/>
      <c r="BH53" s="451"/>
      <c r="BI53" s="451"/>
      <c r="BJ53" s="451"/>
      <c r="BK53" s="451"/>
      <c r="BL53" s="65">
        <f t="shared" si="12"/>
        <v>0</v>
      </c>
      <c r="BM53" s="450">
        <v>0</v>
      </c>
      <c r="BN53" s="451"/>
      <c r="BO53" s="451"/>
      <c r="BP53" s="451"/>
      <c r="BQ53" s="451"/>
      <c r="BR53" s="451"/>
      <c r="BS53" s="451"/>
      <c r="BT53" s="451"/>
      <c r="BU53" s="65">
        <f t="shared" si="0"/>
        <v>0</v>
      </c>
      <c r="BV53" s="450">
        <v>0</v>
      </c>
      <c r="BW53" s="451"/>
      <c r="BX53" s="451"/>
      <c r="BY53" s="451"/>
      <c r="BZ53" s="451"/>
      <c r="CA53" s="451"/>
      <c r="CB53" s="451"/>
      <c r="CC53" s="451"/>
      <c r="CD53" s="65">
        <f t="shared" si="1"/>
        <v>0</v>
      </c>
      <c r="CE53" s="450">
        <v>0</v>
      </c>
      <c r="CF53" s="451"/>
      <c r="CG53" s="451"/>
      <c r="CH53" s="451"/>
      <c r="CI53" s="451"/>
      <c r="CJ53" s="451"/>
      <c r="CK53" s="451"/>
      <c r="CL53" s="451"/>
      <c r="CM53" s="65">
        <f t="shared" si="2"/>
        <v>0</v>
      </c>
      <c r="CN53" s="450">
        <v>0</v>
      </c>
      <c r="CO53" s="451"/>
      <c r="CP53" s="451"/>
      <c r="CQ53" s="451"/>
      <c r="CR53" s="451"/>
      <c r="CS53" s="451"/>
      <c r="CT53" s="451"/>
      <c r="CU53" s="451"/>
      <c r="CV53" s="65">
        <f t="shared" si="3"/>
        <v>0</v>
      </c>
      <c r="CW53" s="450">
        <v>0</v>
      </c>
      <c r="CX53" s="451"/>
      <c r="CY53" s="451"/>
      <c r="CZ53" s="451"/>
      <c r="DA53" s="451"/>
      <c r="DB53" s="451"/>
      <c r="DC53" s="451"/>
      <c r="DD53" s="451"/>
      <c r="DE53" s="65">
        <f t="shared" si="4"/>
        <v>0</v>
      </c>
      <c r="DF53" s="450">
        <v>0</v>
      </c>
      <c r="DG53" s="451"/>
      <c r="DH53" s="451"/>
      <c r="DI53" s="451"/>
      <c r="DJ53" s="451"/>
      <c r="DK53" s="451"/>
      <c r="DL53" s="451"/>
      <c r="DM53" s="451"/>
      <c r="DN53" s="65">
        <f t="shared" si="5"/>
        <v>0</v>
      </c>
      <c r="DO53" s="66">
        <f t="shared" si="6"/>
        <v>0</v>
      </c>
      <c r="DP53" s="67"/>
    </row>
    <row r="54" spans="2:120" ht="150" customHeight="1">
      <c r="B54" s="491"/>
      <c r="C54" s="508"/>
      <c r="D54" s="511"/>
      <c r="E54" s="512"/>
      <c r="F54" s="491"/>
      <c r="G54" s="491"/>
      <c r="H54" s="491" t="s">
        <v>9</v>
      </c>
      <c r="I54" s="491"/>
      <c r="J54" s="68" t="s">
        <v>73</v>
      </c>
      <c r="K54" s="69">
        <v>0</v>
      </c>
      <c r="L54" s="69">
        <v>0</v>
      </c>
      <c r="M54" s="69">
        <v>0</v>
      </c>
      <c r="N54" s="69">
        <v>0</v>
      </c>
      <c r="O54" s="69">
        <v>0</v>
      </c>
      <c r="P54" s="69">
        <v>0</v>
      </c>
      <c r="Q54" s="69">
        <v>0</v>
      </c>
      <c r="R54" s="69">
        <v>0</v>
      </c>
      <c r="S54" s="69">
        <f t="shared" si="7"/>
        <v>0</v>
      </c>
      <c r="T54" s="67">
        <v>0</v>
      </c>
      <c r="U54" s="67">
        <v>0</v>
      </c>
      <c r="V54" s="67">
        <v>0</v>
      </c>
      <c r="W54" s="67">
        <v>0</v>
      </c>
      <c r="X54" s="67">
        <v>0</v>
      </c>
      <c r="Y54" s="67">
        <v>0</v>
      </c>
      <c r="Z54" s="67">
        <v>0</v>
      </c>
      <c r="AA54" s="67">
        <v>0</v>
      </c>
      <c r="AB54" s="67">
        <f t="shared" si="8"/>
        <v>0</v>
      </c>
      <c r="AC54" s="467">
        <v>1</v>
      </c>
      <c r="AD54" s="468"/>
      <c r="AE54" s="468"/>
      <c r="AF54" s="468"/>
      <c r="AG54" s="468"/>
      <c r="AH54" s="468"/>
      <c r="AI54" s="468"/>
      <c r="AJ54" s="469"/>
      <c r="AK54" s="65">
        <f t="shared" si="9"/>
        <v>1</v>
      </c>
      <c r="AL54" s="467">
        <v>0</v>
      </c>
      <c r="AM54" s="468"/>
      <c r="AN54" s="468"/>
      <c r="AO54" s="468"/>
      <c r="AP54" s="468"/>
      <c r="AQ54" s="468"/>
      <c r="AR54" s="468"/>
      <c r="AS54" s="469"/>
      <c r="AT54" s="65">
        <f t="shared" si="10"/>
        <v>0</v>
      </c>
      <c r="AU54" s="467">
        <v>0</v>
      </c>
      <c r="AV54" s="468"/>
      <c r="AW54" s="468"/>
      <c r="AX54" s="468"/>
      <c r="AY54" s="468"/>
      <c r="AZ54" s="468"/>
      <c r="BA54" s="468"/>
      <c r="BB54" s="469"/>
      <c r="BC54" s="65">
        <f t="shared" si="11"/>
        <v>0</v>
      </c>
      <c r="BD54" s="467">
        <v>0</v>
      </c>
      <c r="BE54" s="468"/>
      <c r="BF54" s="468"/>
      <c r="BG54" s="468"/>
      <c r="BH54" s="468"/>
      <c r="BI54" s="468"/>
      <c r="BJ54" s="468"/>
      <c r="BK54" s="469"/>
      <c r="BL54" s="65">
        <f t="shared" si="12"/>
        <v>0</v>
      </c>
      <c r="BM54" s="65"/>
      <c r="BN54" s="65"/>
      <c r="BO54" s="65"/>
      <c r="BP54" s="65"/>
      <c r="BQ54" s="65"/>
      <c r="BR54" s="65"/>
      <c r="BS54" s="65"/>
      <c r="BT54" s="65"/>
      <c r="BU54" s="65">
        <f t="shared" si="0"/>
        <v>0</v>
      </c>
      <c r="BV54" s="65"/>
      <c r="BW54" s="65"/>
      <c r="BX54" s="65"/>
      <c r="BY54" s="65"/>
      <c r="BZ54" s="65"/>
      <c r="CA54" s="65"/>
      <c r="CB54" s="65"/>
      <c r="CC54" s="65"/>
      <c r="CD54" s="65">
        <f t="shared" si="1"/>
        <v>0</v>
      </c>
      <c r="CE54" s="65"/>
      <c r="CF54" s="65"/>
      <c r="CG54" s="65"/>
      <c r="CH54" s="65"/>
      <c r="CI54" s="65"/>
      <c r="CJ54" s="65"/>
      <c r="CK54" s="65"/>
      <c r="CL54" s="65"/>
      <c r="CM54" s="65">
        <f t="shared" si="2"/>
        <v>0</v>
      </c>
      <c r="CN54" s="65"/>
      <c r="CO54" s="65"/>
      <c r="CP54" s="65"/>
      <c r="CQ54" s="65"/>
      <c r="CR54" s="65"/>
      <c r="CS54" s="65"/>
      <c r="CT54" s="65"/>
      <c r="CU54" s="65"/>
      <c r="CV54" s="65">
        <f t="shared" si="3"/>
        <v>0</v>
      </c>
      <c r="CW54" s="65"/>
      <c r="CX54" s="65"/>
      <c r="CY54" s="65"/>
      <c r="CZ54" s="65"/>
      <c r="DA54" s="65"/>
      <c r="DB54" s="65"/>
      <c r="DC54" s="65"/>
      <c r="DD54" s="65"/>
      <c r="DE54" s="65">
        <f t="shared" si="4"/>
        <v>0</v>
      </c>
      <c r="DF54" s="65"/>
      <c r="DG54" s="65"/>
      <c r="DH54" s="65"/>
      <c r="DI54" s="65"/>
      <c r="DJ54" s="65"/>
      <c r="DK54" s="65"/>
      <c r="DL54" s="65"/>
      <c r="DM54" s="65"/>
      <c r="DN54" s="65">
        <f t="shared" si="5"/>
        <v>0</v>
      </c>
      <c r="DO54" s="66">
        <f t="shared" si="6"/>
        <v>1</v>
      </c>
      <c r="DP54" s="67"/>
    </row>
    <row r="55" spans="2:120" ht="150" hidden="1" customHeight="1">
      <c r="B55" s="507" t="s">
        <v>141</v>
      </c>
      <c r="C55" s="507" t="s">
        <v>10</v>
      </c>
      <c r="D55" s="509" t="s">
        <v>142</v>
      </c>
      <c r="E55" s="510"/>
      <c r="F55" s="491" t="s">
        <v>143</v>
      </c>
      <c r="G55" s="492">
        <v>1</v>
      </c>
      <c r="H55" s="491" t="s">
        <v>142</v>
      </c>
      <c r="I55" s="491">
        <v>1</v>
      </c>
      <c r="J55" s="64" t="s">
        <v>72</v>
      </c>
      <c r="K55" s="503">
        <v>0</v>
      </c>
      <c r="L55" s="504"/>
      <c r="M55" s="504"/>
      <c r="N55" s="504"/>
      <c r="O55" s="504"/>
      <c r="P55" s="504"/>
      <c r="Q55" s="504"/>
      <c r="R55" s="504"/>
      <c r="S55" s="69">
        <f t="shared" si="7"/>
        <v>0</v>
      </c>
      <c r="T55" s="505">
        <v>1</v>
      </c>
      <c r="U55" s="506"/>
      <c r="V55" s="506"/>
      <c r="W55" s="506"/>
      <c r="X55" s="506"/>
      <c r="Y55" s="506"/>
      <c r="Z55" s="506"/>
      <c r="AA55" s="506"/>
      <c r="AB55" s="67">
        <f t="shared" si="8"/>
        <v>1</v>
      </c>
      <c r="AC55" s="450">
        <v>0</v>
      </c>
      <c r="AD55" s="451"/>
      <c r="AE55" s="451"/>
      <c r="AF55" s="451"/>
      <c r="AG55" s="451"/>
      <c r="AH55" s="451"/>
      <c r="AI55" s="451"/>
      <c r="AJ55" s="451"/>
      <c r="AK55" s="65">
        <f t="shared" si="9"/>
        <v>0</v>
      </c>
      <c r="AL55" s="450">
        <v>0</v>
      </c>
      <c r="AM55" s="451"/>
      <c r="AN55" s="451"/>
      <c r="AO55" s="451"/>
      <c r="AP55" s="451"/>
      <c r="AQ55" s="451"/>
      <c r="AR55" s="451"/>
      <c r="AS55" s="451"/>
      <c r="AT55" s="65">
        <f t="shared" si="10"/>
        <v>0</v>
      </c>
      <c r="AU55" s="450">
        <v>0</v>
      </c>
      <c r="AV55" s="451"/>
      <c r="AW55" s="451"/>
      <c r="AX55" s="451"/>
      <c r="AY55" s="451"/>
      <c r="AZ55" s="451"/>
      <c r="BA55" s="451"/>
      <c r="BB55" s="451"/>
      <c r="BC55" s="65">
        <f t="shared" si="11"/>
        <v>0</v>
      </c>
      <c r="BD55" s="450">
        <v>0</v>
      </c>
      <c r="BE55" s="451"/>
      <c r="BF55" s="451"/>
      <c r="BG55" s="451"/>
      <c r="BH55" s="451"/>
      <c r="BI55" s="451"/>
      <c r="BJ55" s="451"/>
      <c r="BK55" s="451"/>
      <c r="BL55" s="65">
        <f t="shared" si="12"/>
        <v>0</v>
      </c>
      <c r="BM55" s="450">
        <v>0</v>
      </c>
      <c r="BN55" s="451"/>
      <c r="BO55" s="451"/>
      <c r="BP55" s="451"/>
      <c r="BQ55" s="451"/>
      <c r="BR55" s="451"/>
      <c r="BS55" s="451"/>
      <c r="BT55" s="451"/>
      <c r="BU55" s="65">
        <f t="shared" si="0"/>
        <v>0</v>
      </c>
      <c r="BV55" s="450">
        <v>0</v>
      </c>
      <c r="BW55" s="451"/>
      <c r="BX55" s="451"/>
      <c r="BY55" s="451"/>
      <c r="BZ55" s="451"/>
      <c r="CA55" s="451"/>
      <c r="CB55" s="451"/>
      <c r="CC55" s="451"/>
      <c r="CD55" s="65">
        <f t="shared" si="1"/>
        <v>0</v>
      </c>
      <c r="CE55" s="450">
        <v>0</v>
      </c>
      <c r="CF55" s="451"/>
      <c r="CG55" s="451"/>
      <c r="CH55" s="451"/>
      <c r="CI55" s="451"/>
      <c r="CJ55" s="451"/>
      <c r="CK55" s="451"/>
      <c r="CL55" s="451"/>
      <c r="CM55" s="65">
        <f t="shared" si="2"/>
        <v>0</v>
      </c>
      <c r="CN55" s="450">
        <v>0</v>
      </c>
      <c r="CO55" s="451"/>
      <c r="CP55" s="451"/>
      <c r="CQ55" s="451"/>
      <c r="CR55" s="451"/>
      <c r="CS55" s="451"/>
      <c r="CT55" s="451"/>
      <c r="CU55" s="451"/>
      <c r="CV55" s="65">
        <f t="shared" si="3"/>
        <v>0</v>
      </c>
      <c r="CW55" s="450">
        <v>0</v>
      </c>
      <c r="CX55" s="451"/>
      <c r="CY55" s="451"/>
      <c r="CZ55" s="451"/>
      <c r="DA55" s="451"/>
      <c r="DB55" s="451"/>
      <c r="DC55" s="451"/>
      <c r="DD55" s="451"/>
      <c r="DE55" s="65">
        <f t="shared" si="4"/>
        <v>0</v>
      </c>
      <c r="DF55" s="450">
        <v>0</v>
      </c>
      <c r="DG55" s="451"/>
      <c r="DH55" s="451"/>
      <c r="DI55" s="451"/>
      <c r="DJ55" s="451"/>
      <c r="DK55" s="451"/>
      <c r="DL55" s="451"/>
      <c r="DM55" s="451"/>
      <c r="DN55" s="65">
        <f t="shared" si="5"/>
        <v>0</v>
      </c>
      <c r="DO55" s="66">
        <f t="shared" si="6"/>
        <v>1</v>
      </c>
      <c r="DP55" s="67"/>
    </row>
    <row r="56" spans="2:120" ht="150" customHeight="1">
      <c r="B56" s="508"/>
      <c r="C56" s="508"/>
      <c r="D56" s="511"/>
      <c r="E56" s="512"/>
      <c r="F56" s="491"/>
      <c r="G56" s="491"/>
      <c r="H56" s="491"/>
      <c r="I56" s="491"/>
      <c r="J56" s="68" t="s">
        <v>73</v>
      </c>
      <c r="K56" s="503">
        <v>1</v>
      </c>
      <c r="L56" s="504"/>
      <c r="M56" s="504"/>
      <c r="N56" s="504"/>
      <c r="O56" s="504"/>
      <c r="P56" s="504"/>
      <c r="Q56" s="504"/>
      <c r="R56" s="504"/>
      <c r="S56" s="69">
        <f t="shared" si="7"/>
        <v>1</v>
      </c>
      <c r="T56" s="505">
        <v>0</v>
      </c>
      <c r="U56" s="506"/>
      <c r="V56" s="506"/>
      <c r="W56" s="506"/>
      <c r="X56" s="506"/>
      <c r="Y56" s="506"/>
      <c r="Z56" s="506"/>
      <c r="AA56" s="506"/>
      <c r="AB56" s="67">
        <f t="shared" si="8"/>
        <v>0</v>
      </c>
      <c r="AC56" s="450">
        <v>0</v>
      </c>
      <c r="AD56" s="451"/>
      <c r="AE56" s="451"/>
      <c r="AF56" s="451"/>
      <c r="AG56" s="451"/>
      <c r="AH56" s="451"/>
      <c r="AI56" s="451"/>
      <c r="AJ56" s="451"/>
      <c r="AK56" s="65">
        <f t="shared" si="9"/>
        <v>0</v>
      </c>
      <c r="AL56" s="450">
        <v>0</v>
      </c>
      <c r="AM56" s="451"/>
      <c r="AN56" s="451"/>
      <c r="AO56" s="451"/>
      <c r="AP56" s="451"/>
      <c r="AQ56" s="451"/>
      <c r="AR56" s="451"/>
      <c r="AS56" s="451"/>
      <c r="AT56" s="65">
        <f t="shared" si="10"/>
        <v>0</v>
      </c>
      <c r="AU56" s="450">
        <v>0</v>
      </c>
      <c r="AV56" s="451"/>
      <c r="AW56" s="451"/>
      <c r="AX56" s="451"/>
      <c r="AY56" s="451"/>
      <c r="AZ56" s="451"/>
      <c r="BA56" s="451"/>
      <c r="BB56" s="451"/>
      <c r="BC56" s="65">
        <f t="shared" si="11"/>
        <v>0</v>
      </c>
      <c r="BD56" s="450">
        <v>0</v>
      </c>
      <c r="BE56" s="451"/>
      <c r="BF56" s="451"/>
      <c r="BG56" s="451"/>
      <c r="BH56" s="451"/>
      <c r="BI56" s="451"/>
      <c r="BJ56" s="451"/>
      <c r="BK56" s="451"/>
      <c r="BL56" s="65">
        <f t="shared" si="12"/>
        <v>0</v>
      </c>
      <c r="BM56" s="450"/>
      <c r="BN56" s="451"/>
      <c r="BO56" s="451"/>
      <c r="BP56" s="451"/>
      <c r="BQ56" s="451"/>
      <c r="BR56" s="451"/>
      <c r="BS56" s="451"/>
      <c r="BT56" s="451"/>
      <c r="BU56" s="65">
        <f t="shared" si="0"/>
        <v>0</v>
      </c>
      <c r="BV56" s="450"/>
      <c r="BW56" s="451"/>
      <c r="BX56" s="451"/>
      <c r="BY56" s="451"/>
      <c r="BZ56" s="451"/>
      <c r="CA56" s="451"/>
      <c r="CB56" s="451"/>
      <c r="CC56" s="451"/>
      <c r="CD56" s="65">
        <f t="shared" si="1"/>
        <v>0</v>
      </c>
      <c r="CE56" s="450"/>
      <c r="CF56" s="451"/>
      <c r="CG56" s="451"/>
      <c r="CH56" s="451"/>
      <c r="CI56" s="451"/>
      <c r="CJ56" s="451"/>
      <c r="CK56" s="451"/>
      <c r="CL56" s="451"/>
      <c r="CM56" s="65">
        <f t="shared" si="2"/>
        <v>0</v>
      </c>
      <c r="CN56" s="450"/>
      <c r="CO56" s="451"/>
      <c r="CP56" s="451"/>
      <c r="CQ56" s="451"/>
      <c r="CR56" s="451"/>
      <c r="CS56" s="451"/>
      <c r="CT56" s="451"/>
      <c r="CU56" s="451"/>
      <c r="CV56" s="65">
        <f t="shared" si="3"/>
        <v>0</v>
      </c>
      <c r="CW56" s="450"/>
      <c r="CX56" s="451"/>
      <c r="CY56" s="451"/>
      <c r="CZ56" s="451"/>
      <c r="DA56" s="451"/>
      <c r="DB56" s="451"/>
      <c r="DC56" s="451"/>
      <c r="DD56" s="451"/>
      <c r="DE56" s="65">
        <f t="shared" si="4"/>
        <v>0</v>
      </c>
      <c r="DF56" s="450"/>
      <c r="DG56" s="451"/>
      <c r="DH56" s="451"/>
      <c r="DI56" s="451"/>
      <c r="DJ56" s="451"/>
      <c r="DK56" s="451"/>
      <c r="DL56" s="451"/>
      <c r="DM56" s="451"/>
      <c r="DN56" s="65">
        <f t="shared" si="5"/>
        <v>0</v>
      </c>
      <c r="DO56" s="66">
        <f t="shared" si="6"/>
        <v>1</v>
      </c>
      <c r="DP56" s="67" t="s">
        <v>144</v>
      </c>
    </row>
    <row r="57" spans="2:120" ht="150" hidden="1" customHeight="1">
      <c r="B57" s="507" t="s">
        <v>145</v>
      </c>
      <c r="C57" s="507" t="s">
        <v>11</v>
      </c>
      <c r="D57" s="509" t="s">
        <v>146</v>
      </c>
      <c r="E57" s="510"/>
      <c r="F57" s="491" t="s">
        <v>147</v>
      </c>
      <c r="G57" s="492">
        <v>0</v>
      </c>
      <c r="H57" s="491" t="s">
        <v>148</v>
      </c>
      <c r="I57" s="491">
        <v>1</v>
      </c>
      <c r="J57" s="64" t="s">
        <v>72</v>
      </c>
      <c r="K57" s="503">
        <v>0</v>
      </c>
      <c r="L57" s="504"/>
      <c r="M57" s="504"/>
      <c r="N57" s="504"/>
      <c r="O57" s="504"/>
      <c r="P57" s="504"/>
      <c r="Q57" s="504"/>
      <c r="R57" s="504"/>
      <c r="S57" s="69">
        <f t="shared" si="7"/>
        <v>0</v>
      </c>
      <c r="T57" s="505">
        <v>1</v>
      </c>
      <c r="U57" s="506"/>
      <c r="V57" s="506"/>
      <c r="W57" s="506"/>
      <c r="X57" s="506"/>
      <c r="Y57" s="506"/>
      <c r="Z57" s="506"/>
      <c r="AA57" s="506"/>
      <c r="AB57" s="67">
        <f t="shared" si="8"/>
        <v>1</v>
      </c>
      <c r="AC57" s="450">
        <v>0</v>
      </c>
      <c r="AD57" s="451"/>
      <c r="AE57" s="451"/>
      <c r="AF57" s="451"/>
      <c r="AG57" s="451"/>
      <c r="AH57" s="451"/>
      <c r="AI57" s="451"/>
      <c r="AJ57" s="451"/>
      <c r="AK57" s="65">
        <f t="shared" si="9"/>
        <v>0</v>
      </c>
      <c r="AL57" s="450">
        <v>0</v>
      </c>
      <c r="AM57" s="451"/>
      <c r="AN57" s="451"/>
      <c r="AO57" s="451"/>
      <c r="AP57" s="451"/>
      <c r="AQ57" s="451"/>
      <c r="AR57" s="451"/>
      <c r="AS57" s="451"/>
      <c r="AT57" s="65">
        <f t="shared" si="10"/>
        <v>0</v>
      </c>
      <c r="AU57" s="450">
        <v>0</v>
      </c>
      <c r="AV57" s="451"/>
      <c r="AW57" s="451"/>
      <c r="AX57" s="451"/>
      <c r="AY57" s="451"/>
      <c r="AZ57" s="451"/>
      <c r="BA57" s="451"/>
      <c r="BB57" s="451"/>
      <c r="BC57" s="65">
        <f t="shared" si="11"/>
        <v>0</v>
      </c>
      <c r="BD57" s="450">
        <v>0</v>
      </c>
      <c r="BE57" s="451"/>
      <c r="BF57" s="451"/>
      <c r="BG57" s="451"/>
      <c r="BH57" s="451"/>
      <c r="BI57" s="451"/>
      <c r="BJ57" s="451"/>
      <c r="BK57" s="451"/>
      <c r="BL57" s="65">
        <f t="shared" si="12"/>
        <v>0</v>
      </c>
      <c r="BM57" s="450">
        <v>0</v>
      </c>
      <c r="BN57" s="451"/>
      <c r="BO57" s="451"/>
      <c r="BP57" s="451"/>
      <c r="BQ57" s="451"/>
      <c r="BR57" s="451"/>
      <c r="BS57" s="451"/>
      <c r="BT57" s="451"/>
      <c r="BU57" s="65">
        <f t="shared" si="0"/>
        <v>0</v>
      </c>
      <c r="BV57" s="450">
        <v>0</v>
      </c>
      <c r="BW57" s="451"/>
      <c r="BX57" s="451"/>
      <c r="BY57" s="451"/>
      <c r="BZ57" s="451"/>
      <c r="CA57" s="451"/>
      <c r="CB57" s="451"/>
      <c r="CC57" s="451"/>
      <c r="CD57" s="65">
        <f t="shared" si="1"/>
        <v>0</v>
      </c>
      <c r="CE57" s="450">
        <v>0</v>
      </c>
      <c r="CF57" s="451"/>
      <c r="CG57" s="451"/>
      <c r="CH57" s="451"/>
      <c r="CI57" s="451"/>
      <c r="CJ57" s="451"/>
      <c r="CK57" s="451"/>
      <c r="CL57" s="451"/>
      <c r="CM57" s="65">
        <f t="shared" si="2"/>
        <v>0</v>
      </c>
      <c r="CN57" s="450">
        <v>0</v>
      </c>
      <c r="CO57" s="451"/>
      <c r="CP57" s="451"/>
      <c r="CQ57" s="451"/>
      <c r="CR57" s="451"/>
      <c r="CS57" s="451"/>
      <c r="CT57" s="451"/>
      <c r="CU57" s="451"/>
      <c r="CV57" s="65">
        <f t="shared" si="3"/>
        <v>0</v>
      </c>
      <c r="CW57" s="450">
        <v>0</v>
      </c>
      <c r="CX57" s="451"/>
      <c r="CY57" s="451"/>
      <c r="CZ57" s="451"/>
      <c r="DA57" s="451"/>
      <c r="DB57" s="451"/>
      <c r="DC57" s="451"/>
      <c r="DD57" s="451"/>
      <c r="DE57" s="65">
        <f t="shared" si="4"/>
        <v>0</v>
      </c>
      <c r="DF57" s="450">
        <v>0</v>
      </c>
      <c r="DG57" s="451"/>
      <c r="DH57" s="451"/>
      <c r="DI57" s="451"/>
      <c r="DJ57" s="451"/>
      <c r="DK57" s="451"/>
      <c r="DL57" s="451"/>
      <c r="DM57" s="451"/>
      <c r="DN57" s="65">
        <f t="shared" si="5"/>
        <v>0</v>
      </c>
      <c r="DO57" s="66">
        <f t="shared" si="6"/>
        <v>1</v>
      </c>
      <c r="DP57" s="67"/>
    </row>
    <row r="58" spans="2:120" ht="150" customHeight="1">
      <c r="B58" s="508"/>
      <c r="C58" s="508"/>
      <c r="D58" s="511"/>
      <c r="E58" s="512"/>
      <c r="F58" s="491"/>
      <c r="G58" s="491"/>
      <c r="H58" s="491"/>
      <c r="I58" s="491"/>
      <c r="J58" s="68" t="s">
        <v>73</v>
      </c>
      <c r="K58" s="503">
        <v>0</v>
      </c>
      <c r="L58" s="504"/>
      <c r="M58" s="504"/>
      <c r="N58" s="504"/>
      <c r="O58" s="504"/>
      <c r="P58" s="504"/>
      <c r="Q58" s="504"/>
      <c r="R58" s="504"/>
      <c r="S58" s="69">
        <f t="shared" si="7"/>
        <v>0</v>
      </c>
      <c r="T58" s="505">
        <v>0</v>
      </c>
      <c r="U58" s="506"/>
      <c r="V58" s="506"/>
      <c r="W58" s="506"/>
      <c r="X58" s="506"/>
      <c r="Y58" s="506"/>
      <c r="Z58" s="506"/>
      <c r="AA58" s="506"/>
      <c r="AB58" s="67">
        <f t="shared" si="8"/>
        <v>0</v>
      </c>
      <c r="AC58" s="450">
        <v>0</v>
      </c>
      <c r="AD58" s="451"/>
      <c r="AE58" s="451"/>
      <c r="AF58" s="451"/>
      <c r="AG58" s="451"/>
      <c r="AH58" s="451"/>
      <c r="AI58" s="451"/>
      <c r="AJ58" s="451"/>
      <c r="AK58" s="65">
        <f t="shared" si="9"/>
        <v>0</v>
      </c>
      <c r="AL58" s="450">
        <v>0</v>
      </c>
      <c r="AM58" s="451"/>
      <c r="AN58" s="451"/>
      <c r="AO58" s="451"/>
      <c r="AP58" s="451"/>
      <c r="AQ58" s="451"/>
      <c r="AR58" s="451"/>
      <c r="AS58" s="451"/>
      <c r="AT58" s="65">
        <f t="shared" si="10"/>
        <v>0</v>
      </c>
      <c r="AU58" s="450">
        <v>1</v>
      </c>
      <c r="AV58" s="451"/>
      <c r="AW58" s="451"/>
      <c r="AX58" s="451"/>
      <c r="AY58" s="451"/>
      <c r="AZ58" s="451"/>
      <c r="BA58" s="451"/>
      <c r="BB58" s="451"/>
      <c r="BC58" s="65">
        <f t="shared" si="11"/>
        <v>1</v>
      </c>
      <c r="BD58" s="450">
        <v>0</v>
      </c>
      <c r="BE58" s="451"/>
      <c r="BF58" s="451"/>
      <c r="BG58" s="451"/>
      <c r="BH58" s="451"/>
      <c r="BI58" s="451"/>
      <c r="BJ58" s="451"/>
      <c r="BK58" s="451"/>
      <c r="BL58" s="65">
        <f t="shared" si="12"/>
        <v>0</v>
      </c>
      <c r="BM58" s="450"/>
      <c r="BN58" s="451"/>
      <c r="BO58" s="451"/>
      <c r="BP58" s="451"/>
      <c r="BQ58" s="451"/>
      <c r="BR58" s="451"/>
      <c r="BS58" s="451"/>
      <c r="BT58" s="451"/>
      <c r="BU58" s="65">
        <f t="shared" si="0"/>
        <v>0</v>
      </c>
      <c r="BV58" s="450"/>
      <c r="BW58" s="451"/>
      <c r="BX58" s="451"/>
      <c r="BY58" s="451"/>
      <c r="BZ58" s="451"/>
      <c r="CA58" s="451"/>
      <c r="CB58" s="451"/>
      <c r="CC58" s="451"/>
      <c r="CD58" s="65">
        <f t="shared" si="1"/>
        <v>0</v>
      </c>
      <c r="CE58" s="450"/>
      <c r="CF58" s="451"/>
      <c r="CG58" s="451"/>
      <c r="CH58" s="451"/>
      <c r="CI58" s="451"/>
      <c r="CJ58" s="451"/>
      <c r="CK58" s="451"/>
      <c r="CL58" s="451"/>
      <c r="CM58" s="65">
        <f t="shared" si="2"/>
        <v>0</v>
      </c>
      <c r="CN58" s="450"/>
      <c r="CO58" s="451"/>
      <c r="CP58" s="451"/>
      <c r="CQ58" s="451"/>
      <c r="CR58" s="451"/>
      <c r="CS58" s="451"/>
      <c r="CT58" s="451"/>
      <c r="CU58" s="451"/>
      <c r="CV58" s="65">
        <f t="shared" si="3"/>
        <v>0</v>
      </c>
      <c r="CW58" s="450"/>
      <c r="CX58" s="451"/>
      <c r="CY58" s="451"/>
      <c r="CZ58" s="451"/>
      <c r="DA58" s="451"/>
      <c r="DB58" s="451"/>
      <c r="DC58" s="451"/>
      <c r="DD58" s="451"/>
      <c r="DE58" s="65">
        <f t="shared" si="4"/>
        <v>0</v>
      </c>
      <c r="DF58" s="450"/>
      <c r="DG58" s="451"/>
      <c r="DH58" s="451"/>
      <c r="DI58" s="451"/>
      <c r="DJ58" s="451"/>
      <c r="DK58" s="451"/>
      <c r="DL58" s="451"/>
      <c r="DM58" s="451"/>
      <c r="DN58" s="65">
        <f t="shared" si="5"/>
        <v>0</v>
      </c>
      <c r="DO58" s="66">
        <f t="shared" si="6"/>
        <v>1</v>
      </c>
      <c r="DP58" s="67"/>
    </row>
    <row r="59" spans="2:120" ht="61.5">
      <c r="K59" s="72"/>
      <c r="L59" s="72"/>
      <c r="M59" s="73"/>
      <c r="N59" s="73"/>
      <c r="O59" s="73"/>
      <c r="P59" s="73"/>
      <c r="Q59" s="73"/>
      <c r="R59" s="73"/>
      <c r="S59" s="73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5"/>
    </row>
    <row r="60" spans="2:120" ht="61.5">
      <c r="DP60" s="75"/>
    </row>
    <row r="61" spans="2:120" ht="61.5">
      <c r="DP61" s="75"/>
    </row>
    <row r="62" spans="2:120" ht="61.5">
      <c r="DP62" s="75"/>
    </row>
    <row r="63" spans="2:120" ht="61.5">
      <c r="DP63" s="75"/>
    </row>
    <row r="64" spans="2:120" ht="61.5">
      <c r="B64" s="524" t="s">
        <v>149</v>
      </c>
      <c r="C64" s="524"/>
      <c r="G64" s="524" t="s">
        <v>150</v>
      </c>
      <c r="H64" s="524"/>
      <c r="I64" s="524"/>
      <c r="J64" s="524"/>
      <c r="DP64" s="75"/>
    </row>
    <row r="65" spans="2:120">
      <c r="B65" s="524"/>
      <c r="C65" s="524"/>
      <c r="G65" s="524"/>
      <c r="H65" s="524"/>
      <c r="I65" s="524"/>
      <c r="J65" s="524"/>
      <c r="DP65" s="76"/>
    </row>
    <row r="66" spans="2:120">
      <c r="B66" s="524"/>
      <c r="C66" s="524"/>
      <c r="G66" s="524"/>
      <c r="H66" s="524"/>
      <c r="I66" s="524"/>
      <c r="J66" s="524"/>
      <c r="DP66" s="76"/>
    </row>
    <row r="67" spans="2:120">
      <c r="B67" s="524"/>
      <c r="C67" s="524"/>
      <c r="G67" s="524"/>
      <c r="H67" s="524"/>
      <c r="I67" s="524"/>
      <c r="J67" s="524"/>
      <c r="DP67" s="76"/>
    </row>
    <row r="68" spans="2:120">
      <c r="G68" s="525"/>
      <c r="H68" s="525"/>
      <c r="I68" s="525"/>
      <c r="J68" s="525"/>
      <c r="DP68" s="76"/>
    </row>
    <row r="69" spans="2:120" ht="78.75" customHeight="1">
      <c r="B69" s="526" t="s">
        <v>92</v>
      </c>
      <c r="C69" s="527"/>
      <c r="G69" s="526" t="s">
        <v>93</v>
      </c>
      <c r="H69" s="526"/>
      <c r="I69" s="526"/>
      <c r="J69" s="527"/>
    </row>
    <row r="70" spans="2:120" ht="33.75" customHeight="1"/>
  </sheetData>
  <mergeCells count="509">
    <mergeCell ref="B64:C67"/>
    <mergeCell ref="G64:J68"/>
    <mergeCell ref="B69:C69"/>
    <mergeCell ref="G69:J69"/>
    <mergeCell ref="BM58:BT58"/>
    <mergeCell ref="BV58:CC58"/>
    <mergeCell ref="CE58:CL58"/>
    <mergeCell ref="CN58:CU58"/>
    <mergeCell ref="CW58:DD58"/>
    <mergeCell ref="B57:B58"/>
    <mergeCell ref="C57:C58"/>
    <mergeCell ref="D57:E58"/>
    <mergeCell ref="F57:F58"/>
    <mergeCell ref="G57:G58"/>
    <mergeCell ref="H57:H58"/>
    <mergeCell ref="I57:I58"/>
    <mergeCell ref="CW55:DD55"/>
    <mergeCell ref="K55:R55"/>
    <mergeCell ref="DF58:DM58"/>
    <mergeCell ref="K58:R58"/>
    <mergeCell ref="T58:AA58"/>
    <mergeCell ref="AC58:AJ58"/>
    <mergeCell ref="AL58:AS58"/>
    <mergeCell ref="AU58:BB58"/>
    <mergeCell ref="BD58:BK58"/>
    <mergeCell ref="BM57:BT57"/>
    <mergeCell ref="BV57:CC57"/>
    <mergeCell ref="CE57:CL57"/>
    <mergeCell ref="CN57:CU57"/>
    <mergeCell ref="CW57:DD57"/>
    <mergeCell ref="DF57:DM57"/>
    <mergeCell ref="K57:R57"/>
    <mergeCell ref="T57:AA57"/>
    <mergeCell ref="AC57:AJ57"/>
    <mergeCell ref="AL57:AS57"/>
    <mergeCell ref="AU57:BB57"/>
    <mergeCell ref="BD57:BK57"/>
    <mergeCell ref="CW56:DD56"/>
    <mergeCell ref="DF56:DM56"/>
    <mergeCell ref="CN53:CU53"/>
    <mergeCell ref="CW53:DD53"/>
    <mergeCell ref="DF53:DM53"/>
    <mergeCell ref="I55:I56"/>
    <mergeCell ref="B55:B56"/>
    <mergeCell ref="C55:C56"/>
    <mergeCell ref="D55:E56"/>
    <mergeCell ref="F55:F56"/>
    <mergeCell ref="G55:G56"/>
    <mergeCell ref="H55:H56"/>
    <mergeCell ref="DF55:DM55"/>
    <mergeCell ref="K56:R56"/>
    <mergeCell ref="T56:AA56"/>
    <mergeCell ref="AC56:AJ56"/>
    <mergeCell ref="AL56:AS56"/>
    <mergeCell ref="AU56:BB56"/>
    <mergeCell ref="BD56:BK56"/>
    <mergeCell ref="BM56:BT56"/>
    <mergeCell ref="BV56:CC56"/>
    <mergeCell ref="CE56:CL56"/>
    <mergeCell ref="BD55:BK55"/>
    <mergeCell ref="BM55:BT55"/>
    <mergeCell ref="AC54:AJ54"/>
    <mergeCell ref="AL54:AS54"/>
    <mergeCell ref="AU54:BB54"/>
    <mergeCell ref="BD54:BK54"/>
    <mergeCell ref="T55:AA55"/>
    <mergeCell ref="AC55:AJ55"/>
    <mergeCell ref="AL55:AS55"/>
    <mergeCell ref="AU55:BB55"/>
    <mergeCell ref="CN56:CU56"/>
    <mergeCell ref="BV55:CC55"/>
    <mergeCell ref="CE55:CL55"/>
    <mergeCell ref="CN55:CU55"/>
    <mergeCell ref="B53:B54"/>
    <mergeCell ref="C53:C54"/>
    <mergeCell ref="D53:E54"/>
    <mergeCell ref="F53:F54"/>
    <mergeCell ref="G53:G54"/>
    <mergeCell ref="H53:H54"/>
    <mergeCell ref="BM51:BT51"/>
    <mergeCell ref="BV51:CC51"/>
    <mergeCell ref="CE51:CL51"/>
    <mergeCell ref="B51:B52"/>
    <mergeCell ref="C51:C52"/>
    <mergeCell ref="D51:E52"/>
    <mergeCell ref="F51:F52"/>
    <mergeCell ref="G51:G52"/>
    <mergeCell ref="H51:H52"/>
    <mergeCell ref="BM53:BT53"/>
    <mergeCell ref="BV53:CC53"/>
    <mergeCell ref="CE53:CL53"/>
    <mergeCell ref="I53:I54"/>
    <mergeCell ref="K53:R53"/>
    <mergeCell ref="AC53:AJ53"/>
    <mergeCell ref="AL53:AS53"/>
    <mergeCell ref="AU53:BB53"/>
    <mergeCell ref="BD53:BK53"/>
    <mergeCell ref="CN51:CU51"/>
    <mergeCell ref="CW51:DD51"/>
    <mergeCell ref="DF51:DM51"/>
    <mergeCell ref="I51:I52"/>
    <mergeCell ref="K51:R51"/>
    <mergeCell ref="AC51:AJ51"/>
    <mergeCell ref="AL51:AS51"/>
    <mergeCell ref="AU51:BB51"/>
    <mergeCell ref="BD51:BK51"/>
    <mergeCell ref="AC52:AJ52"/>
    <mergeCell ref="AL52:AS52"/>
    <mergeCell ref="AU52:BB52"/>
    <mergeCell ref="BD52:BK52"/>
    <mergeCell ref="AC50:AJ50"/>
    <mergeCell ref="AL50:AS50"/>
    <mergeCell ref="AU50:BB50"/>
    <mergeCell ref="BD50:BK50"/>
    <mergeCell ref="AU49:BB49"/>
    <mergeCell ref="BD49:BK49"/>
    <mergeCell ref="BM49:BT49"/>
    <mergeCell ref="BV49:CC49"/>
    <mergeCell ref="CE49:CL49"/>
    <mergeCell ref="T49:AA49"/>
    <mergeCell ref="AC49:AJ49"/>
    <mergeCell ref="AL49:AS49"/>
    <mergeCell ref="DF47:DM47"/>
    <mergeCell ref="AC48:AJ48"/>
    <mergeCell ref="AL48:AS48"/>
    <mergeCell ref="AU48:BB48"/>
    <mergeCell ref="BD48:BK48"/>
    <mergeCell ref="CN47:CU47"/>
    <mergeCell ref="CW47:DD47"/>
    <mergeCell ref="CW49:DD49"/>
    <mergeCell ref="DF49:DM49"/>
    <mergeCell ref="CN49:CU49"/>
    <mergeCell ref="B49:B50"/>
    <mergeCell ref="C49:C50"/>
    <mergeCell ref="D49:E50"/>
    <mergeCell ref="F49:F50"/>
    <mergeCell ref="G49:G50"/>
    <mergeCell ref="BD47:BK47"/>
    <mergeCell ref="BM47:BT47"/>
    <mergeCell ref="BV47:CC47"/>
    <mergeCell ref="CE47:CL47"/>
    <mergeCell ref="I47:I48"/>
    <mergeCell ref="K47:R47"/>
    <mergeCell ref="T47:AA47"/>
    <mergeCell ref="AC47:AJ47"/>
    <mergeCell ref="AL47:AS47"/>
    <mergeCell ref="AU47:BB47"/>
    <mergeCell ref="B47:B48"/>
    <mergeCell ref="C47:C48"/>
    <mergeCell ref="D47:E48"/>
    <mergeCell ref="F47:F48"/>
    <mergeCell ref="G47:G48"/>
    <mergeCell ref="H47:H48"/>
    <mergeCell ref="H49:H50"/>
    <mergeCell ref="I49:I50"/>
    <mergeCell ref="K49:R49"/>
    <mergeCell ref="CW45:DD45"/>
    <mergeCell ref="DF45:DM45"/>
    <mergeCell ref="AC46:AJ46"/>
    <mergeCell ref="AL46:AS46"/>
    <mergeCell ref="AU46:BB46"/>
    <mergeCell ref="BD46:BK46"/>
    <mergeCell ref="AU45:BB45"/>
    <mergeCell ref="BD45:BK45"/>
    <mergeCell ref="BM45:BT45"/>
    <mergeCell ref="BV45:CC45"/>
    <mergeCell ref="CE45:CL45"/>
    <mergeCell ref="CN45:CU45"/>
    <mergeCell ref="B45:B46"/>
    <mergeCell ref="C45:C46"/>
    <mergeCell ref="D45:E46"/>
    <mergeCell ref="F45:F46"/>
    <mergeCell ref="G45:G46"/>
    <mergeCell ref="BD43:BK43"/>
    <mergeCell ref="BM43:BT43"/>
    <mergeCell ref="BV43:CC43"/>
    <mergeCell ref="CE43:CL43"/>
    <mergeCell ref="I43:I44"/>
    <mergeCell ref="K43:R43"/>
    <mergeCell ref="T43:AA43"/>
    <mergeCell ref="AC43:AJ43"/>
    <mergeCell ref="AL43:AS43"/>
    <mergeCell ref="AU43:BB43"/>
    <mergeCell ref="H45:H46"/>
    <mergeCell ref="I45:I46"/>
    <mergeCell ref="K45:R45"/>
    <mergeCell ref="T45:AA45"/>
    <mergeCell ref="AC45:AJ45"/>
    <mergeCell ref="AL45:AS45"/>
    <mergeCell ref="AC44:AJ44"/>
    <mergeCell ref="AL44:AS44"/>
    <mergeCell ref="AU44:BB44"/>
    <mergeCell ref="CN41:CU41"/>
    <mergeCell ref="CW41:DD41"/>
    <mergeCell ref="DF41:DM41"/>
    <mergeCell ref="B43:B44"/>
    <mergeCell ref="C43:C44"/>
    <mergeCell ref="D43:E44"/>
    <mergeCell ref="F43:F44"/>
    <mergeCell ref="G43:G44"/>
    <mergeCell ref="H43:H44"/>
    <mergeCell ref="AC41:AJ41"/>
    <mergeCell ref="AL41:AS41"/>
    <mergeCell ref="AU41:BB41"/>
    <mergeCell ref="BD41:BK41"/>
    <mergeCell ref="BM41:BT41"/>
    <mergeCell ref="BV41:CC41"/>
    <mergeCell ref="DF43:DM43"/>
    <mergeCell ref="BD44:BK44"/>
    <mergeCell ref="CN43:CU43"/>
    <mergeCell ref="CW43:DD43"/>
    <mergeCell ref="BM37:BT37"/>
    <mergeCell ref="DF39:DM39"/>
    <mergeCell ref="B41:B42"/>
    <mergeCell ref="C41:C42"/>
    <mergeCell ref="D41:E42"/>
    <mergeCell ref="F41:F42"/>
    <mergeCell ref="G41:G42"/>
    <mergeCell ref="H41:H42"/>
    <mergeCell ref="I41:I42"/>
    <mergeCell ref="K41:R41"/>
    <mergeCell ref="T41:AA41"/>
    <mergeCell ref="BD39:BK39"/>
    <mergeCell ref="BM39:BT39"/>
    <mergeCell ref="BV39:CC39"/>
    <mergeCell ref="CE39:CL39"/>
    <mergeCell ref="CN39:CU39"/>
    <mergeCell ref="CW39:DD39"/>
    <mergeCell ref="H39:H40"/>
    <mergeCell ref="I39:I40"/>
    <mergeCell ref="T39:AA39"/>
    <mergeCell ref="AC39:AJ39"/>
    <mergeCell ref="AL39:AS39"/>
    <mergeCell ref="AU39:BB39"/>
    <mergeCell ref="CE41:CL41"/>
    <mergeCell ref="B39:B40"/>
    <mergeCell ref="C39:C40"/>
    <mergeCell ref="D39:E40"/>
    <mergeCell ref="F39:F40"/>
    <mergeCell ref="G39:G40"/>
    <mergeCell ref="T37:AA37"/>
    <mergeCell ref="AC37:AJ37"/>
    <mergeCell ref="AL37:AS37"/>
    <mergeCell ref="AU37:BB37"/>
    <mergeCell ref="B33:B34"/>
    <mergeCell ref="C33:C34"/>
    <mergeCell ref="CN35:CU35"/>
    <mergeCell ref="CW35:DD35"/>
    <mergeCell ref="DF35:DM35"/>
    <mergeCell ref="B37:B38"/>
    <mergeCell ref="C37:C38"/>
    <mergeCell ref="D37:E38"/>
    <mergeCell ref="F37:F38"/>
    <mergeCell ref="G37:G38"/>
    <mergeCell ref="H37:H38"/>
    <mergeCell ref="I37:I38"/>
    <mergeCell ref="AL35:AS35"/>
    <mergeCell ref="AU35:BB35"/>
    <mergeCell ref="BD35:BK35"/>
    <mergeCell ref="BM35:BT35"/>
    <mergeCell ref="BV35:CC35"/>
    <mergeCell ref="CE35:CL35"/>
    <mergeCell ref="BV37:CC37"/>
    <mergeCell ref="CE37:CL37"/>
    <mergeCell ref="CN37:CU37"/>
    <mergeCell ref="CW37:DD37"/>
    <mergeCell ref="DF37:DM37"/>
    <mergeCell ref="BD37:BK37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B35:B36"/>
    <mergeCell ref="C35:C36"/>
    <mergeCell ref="D35:E36"/>
    <mergeCell ref="F35:F36"/>
    <mergeCell ref="G35:G36"/>
    <mergeCell ref="H35:H36"/>
    <mergeCell ref="I35:I36"/>
    <mergeCell ref="T35:AA35"/>
    <mergeCell ref="AC35:AJ35"/>
    <mergeCell ref="D33:E34"/>
    <mergeCell ref="F33:F34"/>
    <mergeCell ref="G33:G34"/>
    <mergeCell ref="H33:H34"/>
    <mergeCell ref="BV31:CC31"/>
    <mergeCell ref="CE31:CL31"/>
    <mergeCell ref="CN31:CU31"/>
    <mergeCell ref="CW31:DD31"/>
    <mergeCell ref="DF31:DM31"/>
    <mergeCell ref="T32:AA32"/>
    <mergeCell ref="AC32:AJ32"/>
    <mergeCell ref="AL32:AS32"/>
    <mergeCell ref="AU32:BB32"/>
    <mergeCell ref="BD32:BK32"/>
    <mergeCell ref="T31:AA31"/>
    <mergeCell ref="AC31:AJ31"/>
    <mergeCell ref="AL31:AS31"/>
    <mergeCell ref="AU31:BB31"/>
    <mergeCell ref="BD31:BK31"/>
    <mergeCell ref="BM31:BT31"/>
    <mergeCell ref="DF33:DM33"/>
    <mergeCell ref="BD33:BK33"/>
    <mergeCell ref="BM33:BT33"/>
    <mergeCell ref="BV33:CC33"/>
    <mergeCell ref="B31:B32"/>
    <mergeCell ref="C31:C32"/>
    <mergeCell ref="D31:E32"/>
    <mergeCell ref="F31:F32"/>
    <mergeCell ref="G31:G32"/>
    <mergeCell ref="H31:H32"/>
    <mergeCell ref="I31:I32"/>
    <mergeCell ref="K31:R31"/>
    <mergeCell ref="BD29:BK29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AC29:AJ29"/>
    <mergeCell ref="AL29:AS29"/>
    <mergeCell ref="AU29:BB29"/>
    <mergeCell ref="DF29:DM29"/>
    <mergeCell ref="BD30:BK30"/>
    <mergeCell ref="DF25:DM25"/>
    <mergeCell ref="BD26:BK26"/>
    <mergeCell ref="BM25:BT25"/>
    <mergeCell ref="BV25:CC25"/>
    <mergeCell ref="CW27:DD27"/>
    <mergeCell ref="DF27:DM27"/>
    <mergeCell ref="T28:AA28"/>
    <mergeCell ref="AL28:AS28"/>
    <mergeCell ref="AU28:BB28"/>
    <mergeCell ref="BD28:BK28"/>
    <mergeCell ref="AU27:BB27"/>
    <mergeCell ref="BD27:BK27"/>
    <mergeCell ref="BM27:BT27"/>
    <mergeCell ref="BV27:CC27"/>
    <mergeCell ref="CE27:CL27"/>
    <mergeCell ref="CN27:CU27"/>
    <mergeCell ref="BM29:BT29"/>
    <mergeCell ref="BV29:CC29"/>
    <mergeCell ref="CE29:CL29"/>
    <mergeCell ref="CN29:CU29"/>
    <mergeCell ref="CW29:DD29"/>
    <mergeCell ref="B27:B28"/>
    <mergeCell ref="C27:C28"/>
    <mergeCell ref="D27:E28"/>
    <mergeCell ref="F27:F28"/>
    <mergeCell ref="G27:G28"/>
    <mergeCell ref="AC25:AJ25"/>
    <mergeCell ref="AL25:AS25"/>
    <mergeCell ref="AU25:BB25"/>
    <mergeCell ref="BD25:BK25"/>
    <mergeCell ref="B25:B26"/>
    <mergeCell ref="C25:C26"/>
    <mergeCell ref="D25:E26"/>
    <mergeCell ref="F25:F26"/>
    <mergeCell ref="G25:G26"/>
    <mergeCell ref="H25:H26"/>
    <mergeCell ref="H27:H28"/>
    <mergeCell ref="I27:I28"/>
    <mergeCell ref="K27:R27"/>
    <mergeCell ref="T27:AA27"/>
    <mergeCell ref="AC27:AJ27"/>
    <mergeCell ref="AL27:AS27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I25:I26"/>
    <mergeCell ref="K25:R25"/>
    <mergeCell ref="T25:AA25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B2:DP3"/>
    <mergeCell ref="B4:E4"/>
    <mergeCell ref="B5:E5"/>
    <mergeCell ref="G5:G8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&amp;RF-PEM-07-00 DIF GuadalajaraPág. &amp;P de &amp;N</oddFooter>
  </headerFooter>
  <rowBreaks count="3" manualBreakCount="3">
    <brk id="28" max="119" man="1"/>
    <brk id="48" max="119" man="1"/>
    <brk id="73" max="118" man="1"/>
  </rowBreaks>
  <colBreaks count="1" manualBreakCount="1">
    <brk id="121" max="37" man="1"/>
  </colBreaks>
  <ignoredErrors>
    <ignoredError sqref="DO32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295"/>
  <sheetViews>
    <sheetView topLeftCell="C1" zoomScale="19" zoomScaleNormal="19" workbookViewId="0">
      <selection activeCell="BJ28" sqref="BJ28"/>
    </sheetView>
  </sheetViews>
  <sheetFormatPr baseColWidth="10" defaultColWidth="14.42578125" defaultRowHeight="15" customHeight="1"/>
  <cols>
    <col min="1" max="1" width="6.5703125" style="206" customWidth="1"/>
    <col min="2" max="2" width="99.7109375" style="206" customWidth="1"/>
    <col min="3" max="3" width="64.7109375" style="206" customWidth="1"/>
    <col min="4" max="4" width="34.7109375" style="206" customWidth="1"/>
    <col min="5" max="5" width="30" style="206" customWidth="1"/>
    <col min="6" max="6" width="70.28515625" style="206" customWidth="1"/>
    <col min="7" max="7" width="64.7109375" style="206" customWidth="1"/>
    <col min="8" max="8" width="89.7109375" style="206" customWidth="1"/>
    <col min="9" max="9" width="40.42578125" style="206" customWidth="1"/>
    <col min="10" max="10" width="67.28515625" style="206" customWidth="1"/>
    <col min="11" max="55" width="30.7109375" style="206" hidden="1" customWidth="1"/>
    <col min="56" max="64" width="30.7109375" style="206" customWidth="1"/>
    <col min="65" max="118" width="30.7109375" style="206" hidden="1" customWidth="1"/>
    <col min="119" max="119" width="61.42578125" style="206" customWidth="1"/>
    <col min="120" max="120" width="82.5703125" style="206" customWidth="1"/>
    <col min="121" max="16384" width="14.42578125" style="206"/>
  </cols>
  <sheetData>
    <row r="1" spans="2:120">
      <c r="B1" s="203"/>
      <c r="C1" s="203"/>
      <c r="D1" s="203"/>
      <c r="E1" s="203"/>
      <c r="F1" s="203"/>
      <c r="G1" s="203"/>
      <c r="H1" s="203"/>
      <c r="I1" s="203"/>
      <c r="J1" s="203"/>
      <c r="K1" s="204"/>
      <c r="L1" s="204"/>
      <c r="M1" s="205"/>
      <c r="N1" s="205"/>
      <c r="O1" s="205"/>
      <c r="P1" s="205"/>
      <c r="Q1" s="205"/>
      <c r="R1" s="205"/>
      <c r="S1" s="205"/>
    </row>
    <row r="2" spans="2:120" ht="14.25">
      <c r="B2" s="528" t="s">
        <v>221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  <c r="DJ2" s="529"/>
      <c r="DK2" s="529"/>
      <c r="DL2" s="529"/>
      <c r="DM2" s="529"/>
      <c r="DN2" s="529"/>
      <c r="DO2" s="529"/>
      <c r="DP2" s="529"/>
    </row>
    <row r="3" spans="2:120" ht="115.5" customHeight="1"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  <c r="DJ3" s="529"/>
      <c r="DK3" s="529"/>
      <c r="DL3" s="529"/>
      <c r="DM3" s="529"/>
      <c r="DN3" s="529"/>
      <c r="DO3" s="529"/>
      <c r="DP3" s="529"/>
    </row>
    <row r="4" spans="2:120" ht="127.5" customHeight="1">
      <c r="B4" s="530" t="s">
        <v>222</v>
      </c>
      <c r="C4" s="531"/>
      <c r="D4" s="531"/>
      <c r="E4" s="531"/>
      <c r="F4" s="207"/>
      <c r="G4" s="203"/>
      <c r="H4" s="203"/>
      <c r="I4" s="203"/>
      <c r="J4" s="203"/>
      <c r="K4" s="204"/>
      <c r="L4" s="204"/>
      <c r="M4" s="205"/>
      <c r="N4" s="205"/>
      <c r="O4" s="205"/>
      <c r="P4" s="205"/>
      <c r="Q4" s="205"/>
      <c r="R4" s="205"/>
      <c r="S4" s="205"/>
      <c r="DO4" s="208"/>
    </row>
    <row r="5" spans="2:120" ht="69.75" customHeight="1">
      <c r="B5" s="532" t="s">
        <v>30</v>
      </c>
      <c r="C5" s="533"/>
      <c r="D5" s="533"/>
      <c r="E5" s="533"/>
      <c r="F5" s="209"/>
      <c r="G5" s="534" t="s">
        <v>23</v>
      </c>
      <c r="H5" s="210" t="s">
        <v>24</v>
      </c>
      <c r="I5" s="203"/>
      <c r="J5" s="211"/>
      <c r="K5" s="212"/>
      <c r="L5" s="212"/>
      <c r="M5" s="205"/>
      <c r="N5" s="205"/>
      <c r="O5" s="205"/>
      <c r="P5" s="213"/>
      <c r="Q5" s="213"/>
      <c r="R5" s="213"/>
      <c r="S5" s="213"/>
      <c r="T5" s="214"/>
      <c r="U5" s="214"/>
      <c r="DO5" s="208"/>
    </row>
    <row r="6" spans="2:120" ht="87" customHeight="1">
      <c r="B6" s="537" t="s">
        <v>20</v>
      </c>
      <c r="C6" s="344"/>
      <c r="D6" s="344"/>
      <c r="E6" s="344"/>
      <c r="F6" s="207"/>
      <c r="G6" s="535"/>
      <c r="H6" s="215" t="s">
        <v>26</v>
      </c>
      <c r="I6" s="203"/>
      <c r="J6" s="212"/>
      <c r="K6" s="204"/>
      <c r="L6" s="204"/>
      <c r="M6" s="205"/>
      <c r="N6" s="205"/>
      <c r="O6" s="205"/>
      <c r="P6" s="213"/>
      <c r="Q6" s="213"/>
      <c r="R6" s="213"/>
      <c r="S6" s="213"/>
      <c r="T6" s="216"/>
      <c r="U6" s="216"/>
      <c r="DO6" s="208"/>
    </row>
    <row r="7" spans="2:120" ht="47.25" customHeight="1">
      <c r="B7" s="538" t="s">
        <v>31</v>
      </c>
      <c r="C7" s="338"/>
      <c r="D7" s="338"/>
      <c r="E7" s="338"/>
      <c r="F7" s="209"/>
      <c r="G7" s="535"/>
      <c r="H7" s="539" t="s">
        <v>27</v>
      </c>
      <c r="I7" s="203"/>
      <c r="J7" s="203"/>
      <c r="K7" s="204"/>
      <c r="L7" s="204"/>
      <c r="M7" s="205"/>
      <c r="N7" s="205"/>
      <c r="O7" s="205"/>
      <c r="P7" s="213"/>
      <c r="Q7" s="213"/>
      <c r="R7" s="213"/>
      <c r="S7" s="213"/>
      <c r="T7" s="214"/>
      <c r="U7" s="214"/>
      <c r="DO7" s="208"/>
    </row>
    <row r="8" spans="2:120" ht="77.25" customHeight="1">
      <c r="B8" s="537" t="s">
        <v>32</v>
      </c>
      <c r="C8" s="344"/>
      <c r="D8" s="344"/>
      <c r="E8" s="344"/>
      <c r="F8" s="207"/>
      <c r="G8" s="536"/>
      <c r="H8" s="540"/>
      <c r="I8" s="203"/>
      <c r="J8" s="203"/>
      <c r="K8" s="204"/>
      <c r="L8" s="204"/>
      <c r="M8" s="205"/>
      <c r="N8" s="205"/>
      <c r="O8" s="205"/>
      <c r="P8" s="213"/>
      <c r="Q8" s="213"/>
      <c r="R8" s="213"/>
      <c r="S8" s="213"/>
      <c r="T8" s="214"/>
      <c r="U8" s="214"/>
      <c r="DO8" s="208"/>
    </row>
    <row r="9" spans="2:120" ht="103.5" customHeight="1">
      <c r="B9" s="538" t="s">
        <v>33</v>
      </c>
      <c r="C9" s="338"/>
      <c r="D9" s="338"/>
      <c r="E9" s="338"/>
      <c r="F9" s="209"/>
      <c r="G9" s="203"/>
      <c r="H9" s="203"/>
      <c r="I9" s="203"/>
      <c r="J9" s="203"/>
      <c r="K9" s="541" t="s">
        <v>96</v>
      </c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2"/>
      <c r="AD9" s="542"/>
      <c r="AE9" s="542"/>
      <c r="AF9" s="542"/>
      <c r="AG9" s="542"/>
      <c r="AH9" s="542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2"/>
      <c r="BV9" s="542"/>
      <c r="BW9" s="542"/>
      <c r="BX9" s="542"/>
      <c r="BY9" s="542"/>
      <c r="BZ9" s="542"/>
      <c r="CA9" s="542"/>
      <c r="CB9" s="542"/>
      <c r="CC9" s="542"/>
      <c r="CD9" s="542"/>
      <c r="CE9" s="542"/>
      <c r="CF9" s="542"/>
      <c r="CG9" s="542"/>
      <c r="CH9" s="542"/>
      <c r="CI9" s="542"/>
      <c r="CJ9" s="542"/>
      <c r="CK9" s="542"/>
      <c r="CL9" s="542"/>
      <c r="CM9" s="542"/>
      <c r="CN9" s="542"/>
      <c r="CO9" s="542"/>
      <c r="CP9" s="542"/>
      <c r="CQ9" s="542"/>
      <c r="CR9" s="542"/>
      <c r="CS9" s="542"/>
      <c r="CT9" s="542"/>
      <c r="CU9" s="542"/>
      <c r="CV9" s="542"/>
      <c r="CW9" s="542"/>
      <c r="CX9" s="542"/>
      <c r="CY9" s="542"/>
      <c r="CZ9" s="542"/>
      <c r="DA9" s="542"/>
      <c r="DB9" s="542"/>
      <c r="DC9" s="542"/>
      <c r="DD9" s="542"/>
      <c r="DE9" s="542"/>
      <c r="DF9" s="542"/>
      <c r="DG9" s="542"/>
      <c r="DH9" s="542"/>
      <c r="DI9" s="542"/>
      <c r="DJ9" s="542"/>
      <c r="DK9" s="542"/>
      <c r="DL9" s="542"/>
      <c r="DM9" s="542"/>
      <c r="DN9" s="542"/>
      <c r="DO9" s="542"/>
      <c r="DP9" s="542"/>
    </row>
    <row r="10" spans="2:120" ht="90" customHeight="1">
      <c r="B10" s="326" t="s">
        <v>35</v>
      </c>
      <c r="C10" s="326" t="s">
        <v>36</v>
      </c>
      <c r="D10" s="328" t="s">
        <v>37</v>
      </c>
      <c r="E10" s="543"/>
      <c r="F10" s="326" t="s">
        <v>38</v>
      </c>
      <c r="G10" s="326" t="s">
        <v>39</v>
      </c>
      <c r="H10" s="334" t="s">
        <v>40</v>
      </c>
      <c r="I10" s="335"/>
      <c r="J10" s="326" t="s">
        <v>58</v>
      </c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344"/>
      <c r="BX10" s="344"/>
      <c r="BY10" s="344"/>
      <c r="BZ10" s="344"/>
      <c r="CA10" s="344"/>
      <c r="CB10" s="344"/>
      <c r="CC10" s="344"/>
      <c r="CD10" s="344"/>
      <c r="CE10" s="344"/>
      <c r="CF10" s="344"/>
      <c r="CG10" s="344"/>
      <c r="CH10" s="344"/>
      <c r="CI10" s="344"/>
      <c r="CJ10" s="344"/>
      <c r="CK10" s="344"/>
      <c r="CL10" s="344"/>
      <c r="CM10" s="344"/>
      <c r="CN10" s="344"/>
      <c r="CO10" s="344"/>
      <c r="CP10" s="344"/>
      <c r="CQ10" s="344"/>
      <c r="CR10" s="344"/>
      <c r="CS10" s="344"/>
      <c r="CT10" s="344"/>
      <c r="CU10" s="344"/>
      <c r="CV10" s="344"/>
      <c r="CW10" s="344"/>
      <c r="CX10" s="344"/>
      <c r="CY10" s="344"/>
      <c r="CZ10" s="344"/>
      <c r="DA10" s="344"/>
      <c r="DB10" s="344"/>
      <c r="DC10" s="344"/>
      <c r="DD10" s="344"/>
      <c r="DE10" s="344"/>
      <c r="DF10" s="344"/>
      <c r="DG10" s="344"/>
      <c r="DH10" s="344"/>
      <c r="DI10" s="344"/>
      <c r="DJ10" s="344"/>
      <c r="DK10" s="344"/>
      <c r="DL10" s="344"/>
      <c r="DM10" s="344"/>
      <c r="DN10" s="344"/>
      <c r="DO10" s="344"/>
      <c r="DP10" s="344"/>
    </row>
    <row r="11" spans="2:120" ht="24.75" customHeight="1">
      <c r="B11" s="327"/>
      <c r="C11" s="327"/>
      <c r="D11" s="544"/>
      <c r="E11" s="545"/>
      <c r="F11" s="327"/>
      <c r="G11" s="327"/>
      <c r="H11" s="326" t="s">
        <v>42</v>
      </c>
      <c r="I11" s="326" t="s">
        <v>43</v>
      </c>
      <c r="J11" s="327"/>
      <c r="K11" s="337" t="s">
        <v>44</v>
      </c>
      <c r="L11" s="338"/>
      <c r="M11" s="338"/>
      <c r="N11" s="338"/>
      <c r="O11" s="338"/>
      <c r="P11" s="338"/>
      <c r="Q11" s="338"/>
      <c r="R11" s="338"/>
      <c r="S11" s="339"/>
      <c r="T11" s="337" t="s">
        <v>45</v>
      </c>
      <c r="U11" s="338"/>
      <c r="V11" s="338"/>
      <c r="W11" s="338"/>
      <c r="X11" s="338"/>
      <c r="Y11" s="338"/>
      <c r="Z11" s="338"/>
      <c r="AA11" s="338"/>
      <c r="AB11" s="339"/>
      <c r="AC11" s="337" t="s">
        <v>46</v>
      </c>
      <c r="AD11" s="338"/>
      <c r="AE11" s="338"/>
      <c r="AF11" s="338"/>
      <c r="AG11" s="338"/>
      <c r="AH11" s="338"/>
      <c r="AI11" s="338"/>
      <c r="AJ11" s="338"/>
      <c r="AK11" s="339"/>
      <c r="AL11" s="337" t="s">
        <v>47</v>
      </c>
      <c r="AM11" s="338"/>
      <c r="AN11" s="338"/>
      <c r="AO11" s="338"/>
      <c r="AP11" s="338"/>
      <c r="AQ11" s="338"/>
      <c r="AR11" s="338"/>
      <c r="AS11" s="338"/>
      <c r="AT11" s="339"/>
      <c r="AU11" s="337" t="s">
        <v>48</v>
      </c>
      <c r="AV11" s="338"/>
      <c r="AW11" s="338"/>
      <c r="AX11" s="338"/>
      <c r="AY11" s="338"/>
      <c r="AZ11" s="338"/>
      <c r="BA11" s="338"/>
      <c r="BB11" s="338"/>
      <c r="BC11" s="339"/>
      <c r="BD11" s="337" t="s">
        <v>49</v>
      </c>
      <c r="BE11" s="338"/>
      <c r="BF11" s="338"/>
      <c r="BG11" s="338"/>
      <c r="BH11" s="338"/>
      <c r="BI11" s="338"/>
      <c r="BJ11" s="338"/>
      <c r="BK11" s="338"/>
      <c r="BL11" s="339"/>
      <c r="BM11" s="337" t="s">
        <v>50</v>
      </c>
      <c r="BN11" s="338"/>
      <c r="BO11" s="338"/>
      <c r="BP11" s="338"/>
      <c r="BQ11" s="338"/>
      <c r="BR11" s="338"/>
      <c r="BS11" s="338"/>
      <c r="BT11" s="338"/>
      <c r="BU11" s="339"/>
      <c r="BV11" s="337" t="s">
        <v>51</v>
      </c>
      <c r="BW11" s="338"/>
      <c r="BX11" s="338"/>
      <c r="BY11" s="338"/>
      <c r="BZ11" s="338"/>
      <c r="CA11" s="338"/>
      <c r="CB11" s="338"/>
      <c r="CC11" s="338"/>
      <c r="CD11" s="339"/>
      <c r="CE11" s="337" t="s">
        <v>52</v>
      </c>
      <c r="CF11" s="338"/>
      <c r="CG11" s="338"/>
      <c r="CH11" s="338"/>
      <c r="CI11" s="338"/>
      <c r="CJ11" s="338"/>
      <c r="CK11" s="338"/>
      <c r="CL11" s="338"/>
      <c r="CM11" s="339"/>
      <c r="CN11" s="337" t="s">
        <v>53</v>
      </c>
      <c r="CO11" s="338"/>
      <c r="CP11" s="338"/>
      <c r="CQ11" s="338"/>
      <c r="CR11" s="338"/>
      <c r="CS11" s="338"/>
      <c r="CT11" s="338"/>
      <c r="CU11" s="338"/>
      <c r="CV11" s="339"/>
      <c r="CW11" s="337" t="s">
        <v>54</v>
      </c>
      <c r="CX11" s="338"/>
      <c r="CY11" s="338"/>
      <c r="CZ11" s="338"/>
      <c r="DA11" s="338"/>
      <c r="DB11" s="338"/>
      <c r="DC11" s="338"/>
      <c r="DD11" s="338"/>
      <c r="DE11" s="339"/>
      <c r="DF11" s="337" t="s">
        <v>55</v>
      </c>
      <c r="DG11" s="338"/>
      <c r="DH11" s="338"/>
      <c r="DI11" s="338"/>
      <c r="DJ11" s="338"/>
      <c r="DK11" s="338"/>
      <c r="DL11" s="338"/>
      <c r="DM11" s="338"/>
      <c r="DN11" s="339"/>
      <c r="DO11" s="444" t="s">
        <v>56</v>
      </c>
      <c r="DP11" s="366" t="s">
        <v>57</v>
      </c>
    </row>
    <row r="12" spans="2:120" ht="48" customHeight="1">
      <c r="B12" s="327"/>
      <c r="C12" s="327"/>
      <c r="D12" s="544"/>
      <c r="E12" s="545"/>
      <c r="F12" s="327"/>
      <c r="G12" s="327"/>
      <c r="H12" s="327"/>
      <c r="I12" s="327"/>
      <c r="J12" s="336"/>
      <c r="K12" s="340"/>
      <c r="L12" s="341"/>
      <c r="M12" s="341"/>
      <c r="N12" s="341"/>
      <c r="O12" s="341"/>
      <c r="P12" s="341"/>
      <c r="Q12" s="341"/>
      <c r="R12" s="341"/>
      <c r="S12" s="342"/>
      <c r="T12" s="340"/>
      <c r="U12" s="341"/>
      <c r="V12" s="341"/>
      <c r="W12" s="341"/>
      <c r="X12" s="341"/>
      <c r="Y12" s="341"/>
      <c r="Z12" s="341"/>
      <c r="AA12" s="341"/>
      <c r="AB12" s="342"/>
      <c r="AC12" s="340"/>
      <c r="AD12" s="341"/>
      <c r="AE12" s="341"/>
      <c r="AF12" s="341"/>
      <c r="AG12" s="341"/>
      <c r="AH12" s="341"/>
      <c r="AI12" s="341"/>
      <c r="AJ12" s="341"/>
      <c r="AK12" s="342"/>
      <c r="AL12" s="340"/>
      <c r="AM12" s="341"/>
      <c r="AN12" s="341"/>
      <c r="AO12" s="341"/>
      <c r="AP12" s="341"/>
      <c r="AQ12" s="341"/>
      <c r="AR12" s="341"/>
      <c r="AS12" s="341"/>
      <c r="AT12" s="342"/>
      <c r="AU12" s="340"/>
      <c r="AV12" s="341"/>
      <c r="AW12" s="341"/>
      <c r="AX12" s="341"/>
      <c r="AY12" s="341"/>
      <c r="AZ12" s="341"/>
      <c r="BA12" s="341"/>
      <c r="BB12" s="341"/>
      <c r="BC12" s="342"/>
      <c r="BD12" s="340"/>
      <c r="BE12" s="341"/>
      <c r="BF12" s="341"/>
      <c r="BG12" s="341"/>
      <c r="BH12" s="341"/>
      <c r="BI12" s="341"/>
      <c r="BJ12" s="341"/>
      <c r="BK12" s="341"/>
      <c r="BL12" s="342"/>
      <c r="BM12" s="340"/>
      <c r="BN12" s="341"/>
      <c r="BO12" s="341"/>
      <c r="BP12" s="341"/>
      <c r="BQ12" s="341"/>
      <c r="BR12" s="341"/>
      <c r="BS12" s="341"/>
      <c r="BT12" s="341"/>
      <c r="BU12" s="342"/>
      <c r="BV12" s="340"/>
      <c r="BW12" s="341"/>
      <c r="BX12" s="341"/>
      <c r="BY12" s="341"/>
      <c r="BZ12" s="341"/>
      <c r="CA12" s="341"/>
      <c r="CB12" s="341"/>
      <c r="CC12" s="341"/>
      <c r="CD12" s="342"/>
      <c r="CE12" s="340"/>
      <c r="CF12" s="341"/>
      <c r="CG12" s="341"/>
      <c r="CH12" s="341"/>
      <c r="CI12" s="341"/>
      <c r="CJ12" s="341"/>
      <c r="CK12" s="341"/>
      <c r="CL12" s="341"/>
      <c r="CM12" s="342"/>
      <c r="CN12" s="340"/>
      <c r="CO12" s="341"/>
      <c r="CP12" s="341"/>
      <c r="CQ12" s="341"/>
      <c r="CR12" s="341"/>
      <c r="CS12" s="341"/>
      <c r="CT12" s="341"/>
      <c r="CU12" s="341"/>
      <c r="CV12" s="342"/>
      <c r="CW12" s="340"/>
      <c r="CX12" s="341"/>
      <c r="CY12" s="341"/>
      <c r="CZ12" s="341"/>
      <c r="DA12" s="341"/>
      <c r="DB12" s="341"/>
      <c r="DC12" s="341"/>
      <c r="DD12" s="341"/>
      <c r="DE12" s="342"/>
      <c r="DF12" s="340"/>
      <c r="DG12" s="341"/>
      <c r="DH12" s="341"/>
      <c r="DI12" s="341"/>
      <c r="DJ12" s="341"/>
      <c r="DK12" s="341"/>
      <c r="DL12" s="341"/>
      <c r="DM12" s="341"/>
      <c r="DN12" s="342"/>
      <c r="DO12" s="367"/>
      <c r="DP12" s="367"/>
    </row>
    <row r="13" spans="2:120" ht="78" customHeight="1">
      <c r="B13" s="327"/>
      <c r="C13" s="327"/>
      <c r="D13" s="544"/>
      <c r="E13" s="545"/>
      <c r="F13" s="327"/>
      <c r="G13" s="327"/>
      <c r="H13" s="327"/>
      <c r="I13" s="327"/>
      <c r="J13" s="366" t="s">
        <v>41</v>
      </c>
      <c r="K13" s="343"/>
      <c r="L13" s="344"/>
      <c r="M13" s="344"/>
      <c r="N13" s="344"/>
      <c r="O13" s="344"/>
      <c r="P13" s="344"/>
      <c r="Q13" s="344"/>
      <c r="R13" s="344"/>
      <c r="S13" s="345"/>
      <c r="T13" s="343"/>
      <c r="U13" s="344"/>
      <c r="V13" s="344"/>
      <c r="W13" s="344"/>
      <c r="X13" s="344"/>
      <c r="Y13" s="344"/>
      <c r="Z13" s="344"/>
      <c r="AA13" s="344"/>
      <c r="AB13" s="345"/>
      <c r="AC13" s="343"/>
      <c r="AD13" s="344"/>
      <c r="AE13" s="344"/>
      <c r="AF13" s="344"/>
      <c r="AG13" s="344"/>
      <c r="AH13" s="344"/>
      <c r="AI13" s="344"/>
      <c r="AJ13" s="344"/>
      <c r="AK13" s="345"/>
      <c r="AL13" s="343"/>
      <c r="AM13" s="344"/>
      <c r="AN13" s="344"/>
      <c r="AO13" s="344"/>
      <c r="AP13" s="344"/>
      <c r="AQ13" s="344"/>
      <c r="AR13" s="344"/>
      <c r="AS13" s="344"/>
      <c r="AT13" s="345"/>
      <c r="AU13" s="343"/>
      <c r="AV13" s="344"/>
      <c r="AW13" s="344"/>
      <c r="AX13" s="344"/>
      <c r="AY13" s="344"/>
      <c r="AZ13" s="344"/>
      <c r="BA13" s="344"/>
      <c r="BB13" s="344"/>
      <c r="BC13" s="345"/>
      <c r="BD13" s="343"/>
      <c r="BE13" s="344"/>
      <c r="BF13" s="344"/>
      <c r="BG13" s="344"/>
      <c r="BH13" s="344"/>
      <c r="BI13" s="344"/>
      <c r="BJ13" s="344"/>
      <c r="BK13" s="344"/>
      <c r="BL13" s="345"/>
      <c r="BM13" s="343"/>
      <c r="BN13" s="344"/>
      <c r="BO13" s="344"/>
      <c r="BP13" s="344"/>
      <c r="BQ13" s="344"/>
      <c r="BR13" s="344"/>
      <c r="BS13" s="344"/>
      <c r="BT13" s="344"/>
      <c r="BU13" s="345"/>
      <c r="BV13" s="343"/>
      <c r="BW13" s="344"/>
      <c r="BX13" s="344"/>
      <c r="BY13" s="344"/>
      <c r="BZ13" s="344"/>
      <c r="CA13" s="344"/>
      <c r="CB13" s="344"/>
      <c r="CC13" s="344"/>
      <c r="CD13" s="345"/>
      <c r="CE13" s="343"/>
      <c r="CF13" s="344"/>
      <c r="CG13" s="344"/>
      <c r="CH13" s="344"/>
      <c r="CI13" s="344"/>
      <c r="CJ13" s="344"/>
      <c r="CK13" s="344"/>
      <c r="CL13" s="344"/>
      <c r="CM13" s="345"/>
      <c r="CN13" s="343"/>
      <c r="CO13" s="344"/>
      <c r="CP13" s="344"/>
      <c r="CQ13" s="344"/>
      <c r="CR13" s="344"/>
      <c r="CS13" s="344"/>
      <c r="CT13" s="344"/>
      <c r="CU13" s="344"/>
      <c r="CV13" s="345"/>
      <c r="CW13" s="343"/>
      <c r="CX13" s="344"/>
      <c r="CY13" s="344"/>
      <c r="CZ13" s="344"/>
      <c r="DA13" s="344"/>
      <c r="DB13" s="344"/>
      <c r="DC13" s="344"/>
      <c r="DD13" s="344"/>
      <c r="DE13" s="345"/>
      <c r="DF13" s="343"/>
      <c r="DG13" s="344"/>
      <c r="DH13" s="344"/>
      <c r="DI13" s="344"/>
      <c r="DJ13" s="344"/>
      <c r="DK13" s="344"/>
      <c r="DL13" s="344"/>
      <c r="DM13" s="344"/>
      <c r="DN13" s="345"/>
      <c r="DO13" s="367"/>
      <c r="DP13" s="367"/>
    </row>
    <row r="14" spans="2:120" ht="99.75" customHeight="1">
      <c r="B14" s="327"/>
      <c r="C14" s="327"/>
      <c r="D14" s="544"/>
      <c r="E14" s="545"/>
      <c r="F14" s="327"/>
      <c r="G14" s="327"/>
      <c r="H14" s="327"/>
      <c r="I14" s="327"/>
      <c r="J14" s="367"/>
      <c r="K14" s="63" t="s">
        <v>59</v>
      </c>
      <c r="L14" s="63" t="s">
        <v>60</v>
      </c>
      <c r="M14" s="63" t="s">
        <v>61</v>
      </c>
      <c r="N14" s="63" t="s">
        <v>62</v>
      </c>
      <c r="O14" s="63" t="s">
        <v>63</v>
      </c>
      <c r="P14" s="63" t="s">
        <v>64</v>
      </c>
      <c r="Q14" s="63" t="s">
        <v>65</v>
      </c>
      <c r="R14" s="63" t="s">
        <v>66</v>
      </c>
      <c r="S14" s="63" t="s">
        <v>67</v>
      </c>
      <c r="T14" s="63" t="s">
        <v>59</v>
      </c>
      <c r="U14" s="63" t="s">
        <v>60</v>
      </c>
      <c r="V14" s="63" t="s">
        <v>61</v>
      </c>
      <c r="W14" s="63" t="s">
        <v>62</v>
      </c>
      <c r="X14" s="63" t="s">
        <v>63</v>
      </c>
      <c r="Y14" s="63" t="s">
        <v>64</v>
      </c>
      <c r="Z14" s="63" t="s">
        <v>65</v>
      </c>
      <c r="AA14" s="63" t="s">
        <v>66</v>
      </c>
      <c r="AB14" s="63" t="s">
        <v>67</v>
      </c>
      <c r="AC14" s="63" t="s">
        <v>59</v>
      </c>
      <c r="AD14" s="63" t="s">
        <v>60</v>
      </c>
      <c r="AE14" s="63" t="s">
        <v>61</v>
      </c>
      <c r="AF14" s="63" t="s">
        <v>62</v>
      </c>
      <c r="AG14" s="63" t="s">
        <v>63</v>
      </c>
      <c r="AH14" s="63" t="s">
        <v>64</v>
      </c>
      <c r="AI14" s="63" t="s">
        <v>65</v>
      </c>
      <c r="AJ14" s="63" t="s">
        <v>66</v>
      </c>
      <c r="AK14" s="63" t="s">
        <v>67</v>
      </c>
      <c r="AL14" s="63" t="s">
        <v>59</v>
      </c>
      <c r="AM14" s="63" t="s">
        <v>60</v>
      </c>
      <c r="AN14" s="63" t="s">
        <v>61</v>
      </c>
      <c r="AO14" s="63" t="s">
        <v>62</v>
      </c>
      <c r="AP14" s="63" t="s">
        <v>63</v>
      </c>
      <c r="AQ14" s="63" t="s">
        <v>64</v>
      </c>
      <c r="AR14" s="63" t="s">
        <v>65</v>
      </c>
      <c r="AS14" s="63" t="s">
        <v>66</v>
      </c>
      <c r="AT14" s="63" t="s">
        <v>67</v>
      </c>
      <c r="AU14" s="63" t="s">
        <v>59</v>
      </c>
      <c r="AV14" s="63" t="s">
        <v>60</v>
      </c>
      <c r="AW14" s="63" t="s">
        <v>61</v>
      </c>
      <c r="AX14" s="63" t="s">
        <v>62</v>
      </c>
      <c r="AY14" s="63" t="s">
        <v>63</v>
      </c>
      <c r="AZ14" s="63" t="s">
        <v>64</v>
      </c>
      <c r="BA14" s="63" t="s">
        <v>65</v>
      </c>
      <c r="BB14" s="63" t="s">
        <v>66</v>
      </c>
      <c r="BC14" s="63" t="s">
        <v>67</v>
      </c>
      <c r="BD14" s="63" t="s">
        <v>59</v>
      </c>
      <c r="BE14" s="63" t="s">
        <v>60</v>
      </c>
      <c r="BF14" s="63" t="s">
        <v>61</v>
      </c>
      <c r="BG14" s="63" t="s">
        <v>62</v>
      </c>
      <c r="BH14" s="63" t="s">
        <v>63</v>
      </c>
      <c r="BI14" s="63" t="s">
        <v>64</v>
      </c>
      <c r="BJ14" s="63" t="s">
        <v>65</v>
      </c>
      <c r="BK14" s="63" t="s">
        <v>66</v>
      </c>
      <c r="BL14" s="63" t="s">
        <v>67</v>
      </c>
      <c r="BM14" s="63" t="s">
        <v>59</v>
      </c>
      <c r="BN14" s="63" t="s">
        <v>60</v>
      </c>
      <c r="BO14" s="63" t="s">
        <v>61</v>
      </c>
      <c r="BP14" s="63" t="s">
        <v>62</v>
      </c>
      <c r="BQ14" s="63" t="s">
        <v>63</v>
      </c>
      <c r="BR14" s="63" t="s">
        <v>64</v>
      </c>
      <c r="BS14" s="63" t="s">
        <v>65</v>
      </c>
      <c r="BT14" s="63" t="s">
        <v>66</v>
      </c>
      <c r="BU14" s="63" t="s">
        <v>67</v>
      </c>
      <c r="BV14" s="63" t="s">
        <v>59</v>
      </c>
      <c r="BW14" s="63" t="s">
        <v>60</v>
      </c>
      <c r="BX14" s="63" t="s">
        <v>61</v>
      </c>
      <c r="BY14" s="63" t="s">
        <v>62</v>
      </c>
      <c r="BZ14" s="63" t="s">
        <v>63</v>
      </c>
      <c r="CA14" s="63" t="s">
        <v>64</v>
      </c>
      <c r="CB14" s="63" t="s">
        <v>65</v>
      </c>
      <c r="CC14" s="63" t="s">
        <v>66</v>
      </c>
      <c r="CD14" s="63" t="s">
        <v>67</v>
      </c>
      <c r="CE14" s="63" t="s">
        <v>59</v>
      </c>
      <c r="CF14" s="63" t="s">
        <v>60</v>
      </c>
      <c r="CG14" s="63" t="s">
        <v>61</v>
      </c>
      <c r="CH14" s="63" t="s">
        <v>62</v>
      </c>
      <c r="CI14" s="63" t="s">
        <v>63</v>
      </c>
      <c r="CJ14" s="63" t="s">
        <v>64</v>
      </c>
      <c r="CK14" s="63" t="s">
        <v>65</v>
      </c>
      <c r="CL14" s="63" t="s">
        <v>66</v>
      </c>
      <c r="CM14" s="63" t="s">
        <v>67</v>
      </c>
      <c r="CN14" s="63" t="s">
        <v>59</v>
      </c>
      <c r="CO14" s="63" t="s">
        <v>60</v>
      </c>
      <c r="CP14" s="63" t="s">
        <v>61</v>
      </c>
      <c r="CQ14" s="63" t="s">
        <v>62</v>
      </c>
      <c r="CR14" s="63" t="s">
        <v>63</v>
      </c>
      <c r="CS14" s="63" t="s">
        <v>64</v>
      </c>
      <c r="CT14" s="63" t="s">
        <v>65</v>
      </c>
      <c r="CU14" s="63" t="s">
        <v>66</v>
      </c>
      <c r="CV14" s="63" t="s">
        <v>67</v>
      </c>
      <c r="CW14" s="63" t="s">
        <v>59</v>
      </c>
      <c r="CX14" s="63" t="s">
        <v>60</v>
      </c>
      <c r="CY14" s="63" t="s">
        <v>61</v>
      </c>
      <c r="CZ14" s="63" t="s">
        <v>62</v>
      </c>
      <c r="DA14" s="63" t="s">
        <v>63</v>
      </c>
      <c r="DB14" s="63" t="s">
        <v>64</v>
      </c>
      <c r="DC14" s="63" t="s">
        <v>65</v>
      </c>
      <c r="DD14" s="63" t="s">
        <v>66</v>
      </c>
      <c r="DE14" s="63" t="s">
        <v>67</v>
      </c>
      <c r="DF14" s="63" t="s">
        <v>59</v>
      </c>
      <c r="DG14" s="63" t="s">
        <v>60</v>
      </c>
      <c r="DH14" s="63" t="s">
        <v>61</v>
      </c>
      <c r="DI14" s="63" t="s">
        <v>62</v>
      </c>
      <c r="DJ14" s="63" t="s">
        <v>63</v>
      </c>
      <c r="DK14" s="63" t="s">
        <v>64</v>
      </c>
      <c r="DL14" s="63" t="s">
        <v>65</v>
      </c>
      <c r="DM14" s="63" t="s">
        <v>66</v>
      </c>
      <c r="DN14" s="217" t="s">
        <v>67</v>
      </c>
      <c r="DO14" s="368"/>
      <c r="DP14" s="368"/>
    </row>
    <row r="15" spans="2:120" ht="208.5" hidden="1" customHeight="1">
      <c r="B15" s="546" t="s">
        <v>68</v>
      </c>
      <c r="C15" s="546" t="s">
        <v>69</v>
      </c>
      <c r="D15" s="548" t="s">
        <v>70</v>
      </c>
      <c r="E15" s="549"/>
      <c r="F15" s="546" t="s">
        <v>13</v>
      </c>
      <c r="G15" s="546">
        <v>344</v>
      </c>
      <c r="H15" s="552" t="s">
        <v>223</v>
      </c>
      <c r="I15" s="548">
        <v>263</v>
      </c>
      <c r="J15" s="158" t="s">
        <v>72</v>
      </c>
      <c r="K15" s="554">
        <v>50</v>
      </c>
      <c r="L15" s="555"/>
      <c r="M15" s="555"/>
      <c r="N15" s="555"/>
      <c r="O15" s="555"/>
      <c r="P15" s="555"/>
      <c r="Q15" s="555"/>
      <c r="R15" s="556"/>
      <c r="S15" s="218">
        <f>SUM(K15)</f>
        <v>50</v>
      </c>
      <c r="T15" s="557">
        <v>100</v>
      </c>
      <c r="U15" s="558"/>
      <c r="V15" s="558"/>
      <c r="W15" s="558"/>
      <c r="X15" s="558"/>
      <c r="Y15" s="558"/>
      <c r="Z15" s="558"/>
      <c r="AA15" s="559"/>
      <c r="AB15" s="219">
        <f>SUM(T15)</f>
        <v>100</v>
      </c>
      <c r="AC15" s="557">
        <v>50</v>
      </c>
      <c r="AD15" s="558"/>
      <c r="AE15" s="558"/>
      <c r="AF15" s="558"/>
      <c r="AG15" s="558"/>
      <c r="AH15" s="558"/>
      <c r="AI15" s="558"/>
      <c r="AJ15" s="559"/>
      <c r="AK15" s="219">
        <f>SUM(AC15)</f>
        <v>50</v>
      </c>
      <c r="AL15" s="560"/>
      <c r="AM15" s="558"/>
      <c r="AN15" s="558"/>
      <c r="AO15" s="558"/>
      <c r="AP15" s="558"/>
      <c r="AQ15" s="558"/>
      <c r="AR15" s="558"/>
      <c r="AS15" s="559"/>
      <c r="AT15" s="219">
        <f>SUM(AL15)</f>
        <v>0</v>
      </c>
      <c r="AU15" s="560"/>
      <c r="AV15" s="558"/>
      <c r="AW15" s="558"/>
      <c r="AX15" s="558"/>
      <c r="AY15" s="558"/>
      <c r="AZ15" s="558"/>
      <c r="BA15" s="558"/>
      <c r="BB15" s="559"/>
      <c r="BC15" s="219">
        <f>SUM(AU15)</f>
        <v>0</v>
      </c>
      <c r="BD15" s="560"/>
      <c r="BE15" s="558"/>
      <c r="BF15" s="558"/>
      <c r="BG15" s="558"/>
      <c r="BH15" s="558"/>
      <c r="BI15" s="558"/>
      <c r="BJ15" s="558"/>
      <c r="BK15" s="559"/>
      <c r="BL15" s="219">
        <f>SUM(BD15)</f>
        <v>0</v>
      </c>
      <c r="BM15" s="560">
        <v>20</v>
      </c>
      <c r="BN15" s="558"/>
      <c r="BO15" s="558"/>
      <c r="BP15" s="558"/>
      <c r="BQ15" s="558"/>
      <c r="BR15" s="558"/>
      <c r="BS15" s="558"/>
      <c r="BT15" s="559"/>
      <c r="BU15" s="219">
        <f>SUM(BM15)</f>
        <v>20</v>
      </c>
      <c r="BV15" s="560">
        <v>20</v>
      </c>
      <c r="BW15" s="558"/>
      <c r="BX15" s="558"/>
      <c r="BY15" s="558"/>
      <c r="BZ15" s="558"/>
      <c r="CA15" s="558"/>
      <c r="CB15" s="558"/>
      <c r="CC15" s="559"/>
      <c r="CD15" s="219">
        <f>SUM(BV15)</f>
        <v>20</v>
      </c>
      <c r="CE15" s="560">
        <v>20</v>
      </c>
      <c r="CF15" s="558"/>
      <c r="CG15" s="558"/>
      <c r="CH15" s="558"/>
      <c r="CI15" s="558"/>
      <c r="CJ15" s="558"/>
      <c r="CK15" s="558"/>
      <c r="CL15" s="559"/>
      <c r="CM15" s="219">
        <f>SUM(CE15)</f>
        <v>20</v>
      </c>
      <c r="CN15" s="560">
        <v>3</v>
      </c>
      <c r="CO15" s="558"/>
      <c r="CP15" s="558"/>
      <c r="CQ15" s="558"/>
      <c r="CR15" s="558"/>
      <c r="CS15" s="558"/>
      <c r="CT15" s="558"/>
      <c r="CU15" s="559"/>
      <c r="CV15" s="219">
        <f>SUM(CN15)</f>
        <v>3</v>
      </c>
      <c r="CW15" s="560"/>
      <c r="CX15" s="558"/>
      <c r="CY15" s="558"/>
      <c r="CZ15" s="558"/>
      <c r="DA15" s="558"/>
      <c r="DB15" s="558"/>
      <c r="DC15" s="558"/>
      <c r="DD15" s="559"/>
      <c r="DE15" s="219">
        <f>SUM(CW15)</f>
        <v>0</v>
      </c>
      <c r="DF15" s="560"/>
      <c r="DG15" s="558"/>
      <c r="DH15" s="558"/>
      <c r="DI15" s="558"/>
      <c r="DJ15" s="558"/>
      <c r="DK15" s="558"/>
      <c r="DL15" s="558"/>
      <c r="DM15" s="559"/>
      <c r="DN15" s="219">
        <f>SUM(DF15)</f>
        <v>0</v>
      </c>
      <c r="DO15" s="160">
        <f>SUM(DN15,DE15,CV15,CM15,CD15,BU15,BL15,BC15,AT15,AK15,AB15,S15)</f>
        <v>263</v>
      </c>
      <c r="DP15" s="161"/>
    </row>
    <row r="16" spans="2:120" ht="181.9" customHeight="1">
      <c r="B16" s="547"/>
      <c r="C16" s="547"/>
      <c r="D16" s="550"/>
      <c r="E16" s="551"/>
      <c r="F16" s="547"/>
      <c r="G16" s="547"/>
      <c r="H16" s="553"/>
      <c r="I16" s="550"/>
      <c r="J16" s="162" t="s">
        <v>73</v>
      </c>
      <c r="K16" s="220">
        <v>2</v>
      </c>
      <c r="L16" s="218">
        <v>12</v>
      </c>
      <c r="M16" s="218">
        <v>6</v>
      </c>
      <c r="N16" s="218">
        <v>1</v>
      </c>
      <c r="O16" s="218">
        <v>0</v>
      </c>
      <c r="P16" s="218">
        <v>0</v>
      </c>
      <c r="Q16" s="218">
        <v>0</v>
      </c>
      <c r="R16" s="218">
        <v>0</v>
      </c>
      <c r="S16" s="218">
        <f>SUM(K16:R16)</f>
        <v>21</v>
      </c>
      <c r="T16" s="159">
        <v>11</v>
      </c>
      <c r="U16" s="159">
        <v>12</v>
      </c>
      <c r="V16" s="159">
        <v>7</v>
      </c>
      <c r="W16" s="159">
        <v>11</v>
      </c>
      <c r="X16" s="159">
        <v>5</v>
      </c>
      <c r="Y16" s="159">
        <v>5</v>
      </c>
      <c r="Z16" s="159">
        <v>0</v>
      </c>
      <c r="AA16" s="159">
        <v>0</v>
      </c>
      <c r="AB16" s="159">
        <v>51</v>
      </c>
      <c r="AC16" s="221">
        <v>3</v>
      </c>
      <c r="AD16" s="221">
        <v>6</v>
      </c>
      <c r="AE16" s="221">
        <v>4</v>
      </c>
      <c r="AF16" s="221">
        <v>0</v>
      </c>
      <c r="AG16" s="221">
        <v>0</v>
      </c>
      <c r="AH16" s="221">
        <v>0</v>
      </c>
      <c r="AI16" s="221">
        <v>0</v>
      </c>
      <c r="AJ16" s="221">
        <v>0</v>
      </c>
      <c r="AK16" s="219">
        <v>13</v>
      </c>
      <c r="AL16" s="219">
        <v>9</v>
      </c>
      <c r="AM16" s="219">
        <v>3</v>
      </c>
      <c r="AN16" s="219">
        <v>6</v>
      </c>
      <c r="AO16" s="219">
        <v>6</v>
      </c>
      <c r="AP16" s="219">
        <v>0</v>
      </c>
      <c r="AQ16" s="219">
        <v>0</v>
      </c>
      <c r="AR16" s="219">
        <v>0</v>
      </c>
      <c r="AS16" s="219">
        <v>0</v>
      </c>
      <c r="AT16" s="219">
        <f>SUM(AL16:AS16)</f>
        <v>24</v>
      </c>
      <c r="AU16" s="219">
        <v>21</v>
      </c>
      <c r="AV16" s="219">
        <v>21</v>
      </c>
      <c r="AW16" s="219">
        <v>19</v>
      </c>
      <c r="AX16" s="219">
        <v>16</v>
      </c>
      <c r="AY16" s="219">
        <v>0</v>
      </c>
      <c r="AZ16" s="219">
        <v>0</v>
      </c>
      <c r="BA16" s="219">
        <v>0</v>
      </c>
      <c r="BB16" s="219">
        <v>0</v>
      </c>
      <c r="BC16" s="219">
        <f>SUM(AU16:BB16)</f>
        <v>77</v>
      </c>
      <c r="BD16" s="219">
        <v>6</v>
      </c>
      <c r="BE16" s="219">
        <v>7</v>
      </c>
      <c r="BF16" s="219">
        <v>6</v>
      </c>
      <c r="BG16" s="219">
        <v>1</v>
      </c>
      <c r="BH16" s="219">
        <v>0</v>
      </c>
      <c r="BI16" s="219">
        <v>0</v>
      </c>
      <c r="BJ16" s="219">
        <v>0</v>
      </c>
      <c r="BK16" s="219">
        <v>0</v>
      </c>
      <c r="BL16" s="219">
        <f>SUM(BD16:BK16)</f>
        <v>20</v>
      </c>
      <c r="BM16" s="219"/>
      <c r="BN16" s="219"/>
      <c r="BO16" s="219"/>
      <c r="BP16" s="219"/>
      <c r="BQ16" s="219"/>
      <c r="BR16" s="219"/>
      <c r="BS16" s="219"/>
      <c r="BT16" s="219"/>
      <c r="BU16" s="219">
        <f t="shared" ref="BU16:BU68" si="0">SUM(BM16)</f>
        <v>0</v>
      </c>
      <c r="BV16" s="219"/>
      <c r="BW16" s="219"/>
      <c r="BX16" s="219"/>
      <c r="BY16" s="219"/>
      <c r="BZ16" s="219"/>
      <c r="CA16" s="219"/>
      <c r="CB16" s="219"/>
      <c r="CC16" s="219"/>
      <c r="CD16" s="219">
        <f t="shared" ref="CD16:CD68" si="1">SUM(BV16)</f>
        <v>0</v>
      </c>
      <c r="CE16" s="219"/>
      <c r="CF16" s="219"/>
      <c r="CG16" s="219"/>
      <c r="CH16" s="219"/>
      <c r="CI16" s="219"/>
      <c r="CJ16" s="219"/>
      <c r="CK16" s="219"/>
      <c r="CL16" s="219"/>
      <c r="CM16" s="219">
        <f t="shared" ref="CM16:CM68" si="2">SUM(CE16)</f>
        <v>0</v>
      </c>
      <c r="CN16" s="219"/>
      <c r="CO16" s="219"/>
      <c r="CP16" s="219"/>
      <c r="CQ16" s="219"/>
      <c r="CR16" s="219"/>
      <c r="CS16" s="219"/>
      <c r="CT16" s="219"/>
      <c r="CU16" s="219"/>
      <c r="CV16" s="219">
        <f t="shared" ref="CV16:CV68" si="3">SUM(CN16)</f>
        <v>0</v>
      </c>
      <c r="CW16" s="219"/>
      <c r="CX16" s="219"/>
      <c r="CY16" s="219"/>
      <c r="CZ16" s="219"/>
      <c r="DA16" s="219"/>
      <c r="DB16" s="219"/>
      <c r="DC16" s="219"/>
      <c r="DD16" s="219"/>
      <c r="DE16" s="219">
        <f t="shared" ref="DE16:DE68" si="4">SUM(CW16)</f>
        <v>0</v>
      </c>
      <c r="DF16" s="219"/>
      <c r="DG16" s="219"/>
      <c r="DH16" s="219"/>
      <c r="DI16" s="219"/>
      <c r="DJ16" s="219"/>
      <c r="DK16" s="219"/>
      <c r="DL16" s="219"/>
      <c r="DM16" s="219"/>
      <c r="DN16" s="219">
        <f t="shared" ref="DN16:DN68" si="5">SUM(DF16)</f>
        <v>0</v>
      </c>
      <c r="DO16" s="160">
        <f>SUM(DN16,DE16,CV16,CM16,CD16,BU16,BL16,BC16,AT16,AK16,AB16,S16)</f>
        <v>206</v>
      </c>
      <c r="DP16" s="161"/>
    </row>
    <row r="17" spans="2:120" ht="208.5" hidden="1" customHeight="1">
      <c r="B17" s="546" t="s">
        <v>68</v>
      </c>
      <c r="C17" s="546" t="s">
        <v>69</v>
      </c>
      <c r="D17" s="548" t="s">
        <v>70</v>
      </c>
      <c r="E17" s="549"/>
      <c r="F17" s="546" t="s">
        <v>13</v>
      </c>
      <c r="G17" s="546">
        <v>0</v>
      </c>
      <c r="H17" s="552" t="s">
        <v>224</v>
      </c>
      <c r="I17" s="548">
        <v>15</v>
      </c>
      <c r="J17" s="158" t="s">
        <v>72</v>
      </c>
      <c r="K17" s="554">
        <v>1</v>
      </c>
      <c r="L17" s="555"/>
      <c r="M17" s="555"/>
      <c r="N17" s="555"/>
      <c r="O17" s="555"/>
      <c r="P17" s="555"/>
      <c r="Q17" s="555"/>
      <c r="R17" s="556"/>
      <c r="S17" s="218">
        <f t="shared" ref="S17:S68" si="6">SUM(K17:R17)</f>
        <v>1</v>
      </c>
      <c r="T17" s="357">
        <v>2</v>
      </c>
      <c r="U17" s="358"/>
      <c r="V17" s="358"/>
      <c r="W17" s="358"/>
      <c r="X17" s="358"/>
      <c r="Y17" s="358"/>
      <c r="Z17" s="358"/>
      <c r="AA17" s="359"/>
      <c r="AB17" s="159">
        <f>SUM(T17)</f>
        <v>2</v>
      </c>
      <c r="AC17" s="557">
        <v>1</v>
      </c>
      <c r="AD17" s="558"/>
      <c r="AE17" s="558"/>
      <c r="AF17" s="558"/>
      <c r="AG17" s="558"/>
      <c r="AH17" s="558"/>
      <c r="AI17" s="558"/>
      <c r="AJ17" s="559"/>
      <c r="AK17" s="219">
        <f>SUM(AC17)</f>
        <v>1</v>
      </c>
      <c r="AL17" s="560">
        <v>1</v>
      </c>
      <c r="AM17" s="558"/>
      <c r="AN17" s="558"/>
      <c r="AO17" s="558"/>
      <c r="AP17" s="558"/>
      <c r="AQ17" s="558"/>
      <c r="AR17" s="558"/>
      <c r="AS17" s="559"/>
      <c r="AT17" s="219">
        <f t="shared" ref="AT17:AT68" si="7">SUM(AL17:AS17)</f>
        <v>1</v>
      </c>
      <c r="AU17" s="560">
        <v>2</v>
      </c>
      <c r="AV17" s="558"/>
      <c r="AW17" s="558"/>
      <c r="AX17" s="558"/>
      <c r="AY17" s="558"/>
      <c r="AZ17" s="558"/>
      <c r="BA17" s="558"/>
      <c r="BB17" s="559"/>
      <c r="BC17" s="219">
        <f t="shared" ref="BC17:BC68" si="8">SUM(AU17:BB17)</f>
        <v>2</v>
      </c>
      <c r="BD17" s="560">
        <v>1</v>
      </c>
      <c r="BE17" s="558"/>
      <c r="BF17" s="558"/>
      <c r="BG17" s="558"/>
      <c r="BH17" s="558"/>
      <c r="BI17" s="558"/>
      <c r="BJ17" s="558"/>
      <c r="BK17" s="559"/>
      <c r="BL17" s="219">
        <f t="shared" ref="BL17:BL68" si="9">SUM(BD17:BK17)</f>
        <v>1</v>
      </c>
      <c r="BM17" s="560">
        <v>1</v>
      </c>
      <c r="BN17" s="558"/>
      <c r="BO17" s="558"/>
      <c r="BP17" s="558"/>
      <c r="BQ17" s="558"/>
      <c r="BR17" s="558"/>
      <c r="BS17" s="558"/>
      <c r="BT17" s="559"/>
      <c r="BU17" s="219">
        <f t="shared" si="0"/>
        <v>1</v>
      </c>
      <c r="BV17" s="560">
        <v>1</v>
      </c>
      <c r="BW17" s="558"/>
      <c r="BX17" s="558"/>
      <c r="BY17" s="558"/>
      <c r="BZ17" s="558"/>
      <c r="CA17" s="558"/>
      <c r="CB17" s="558"/>
      <c r="CC17" s="559"/>
      <c r="CD17" s="219">
        <f>SUM(BV17)</f>
        <v>1</v>
      </c>
      <c r="CE17" s="560">
        <v>1</v>
      </c>
      <c r="CF17" s="558"/>
      <c r="CG17" s="558"/>
      <c r="CH17" s="558"/>
      <c r="CI17" s="558"/>
      <c r="CJ17" s="558"/>
      <c r="CK17" s="558"/>
      <c r="CL17" s="559"/>
      <c r="CM17" s="219">
        <f>SUM(CE17)</f>
        <v>1</v>
      </c>
      <c r="CN17" s="560">
        <v>1</v>
      </c>
      <c r="CO17" s="558"/>
      <c r="CP17" s="558"/>
      <c r="CQ17" s="558"/>
      <c r="CR17" s="558"/>
      <c r="CS17" s="558"/>
      <c r="CT17" s="558"/>
      <c r="CU17" s="559"/>
      <c r="CV17" s="219">
        <f t="shared" si="3"/>
        <v>1</v>
      </c>
      <c r="CW17" s="560">
        <v>2</v>
      </c>
      <c r="CX17" s="558"/>
      <c r="CY17" s="558"/>
      <c r="CZ17" s="558"/>
      <c r="DA17" s="558"/>
      <c r="DB17" s="558"/>
      <c r="DC17" s="558"/>
      <c r="DD17" s="559"/>
      <c r="DE17" s="219">
        <f>SUM(CW17)</f>
        <v>2</v>
      </c>
      <c r="DF17" s="560">
        <v>1</v>
      </c>
      <c r="DG17" s="558"/>
      <c r="DH17" s="558"/>
      <c r="DI17" s="558"/>
      <c r="DJ17" s="558"/>
      <c r="DK17" s="558"/>
      <c r="DL17" s="558"/>
      <c r="DM17" s="559"/>
      <c r="DN17" s="219">
        <f>SUM(DF17)</f>
        <v>1</v>
      </c>
      <c r="DO17" s="160">
        <f t="shared" ref="DO17:DO68" si="10">SUM(DN17,DE17,CV17,CM17,CD17,BU17,BL17,BC17,AT17,AK17,AB17,S17)</f>
        <v>15</v>
      </c>
      <c r="DP17" s="161"/>
    </row>
    <row r="18" spans="2:120" ht="173.45" customHeight="1">
      <c r="B18" s="547"/>
      <c r="C18" s="547"/>
      <c r="D18" s="550"/>
      <c r="E18" s="551"/>
      <c r="F18" s="547"/>
      <c r="G18" s="547"/>
      <c r="H18" s="553"/>
      <c r="I18" s="550"/>
      <c r="J18" s="162" t="s">
        <v>73</v>
      </c>
      <c r="K18" s="220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f t="shared" si="6"/>
        <v>0</v>
      </c>
      <c r="T18" s="159">
        <v>0</v>
      </c>
      <c r="U18" s="159">
        <v>0</v>
      </c>
      <c r="V18" s="159">
        <v>0</v>
      </c>
      <c r="W18" s="159">
        <v>0</v>
      </c>
      <c r="X18" s="159">
        <v>0</v>
      </c>
      <c r="Y18" s="159">
        <v>0</v>
      </c>
      <c r="Z18" s="159">
        <v>0</v>
      </c>
      <c r="AA18" s="159">
        <v>0</v>
      </c>
      <c r="AB18" s="159">
        <f t="shared" ref="AB18:AB68" si="11">SUM(T18)</f>
        <v>0</v>
      </c>
      <c r="AC18" s="221">
        <v>0</v>
      </c>
      <c r="AD18" s="221">
        <v>0</v>
      </c>
      <c r="AE18" s="221">
        <v>0</v>
      </c>
      <c r="AF18" s="221">
        <v>0</v>
      </c>
      <c r="AG18" s="221">
        <v>0</v>
      </c>
      <c r="AH18" s="221">
        <v>0</v>
      </c>
      <c r="AI18" s="221">
        <v>0</v>
      </c>
      <c r="AJ18" s="221">
        <v>0</v>
      </c>
      <c r="AK18" s="219">
        <f t="shared" ref="AK18:AK68" si="12">SUM(AC18)</f>
        <v>0</v>
      </c>
      <c r="AL18" s="219"/>
      <c r="AM18" s="219"/>
      <c r="AN18" s="219"/>
      <c r="AO18" s="219"/>
      <c r="AP18" s="219"/>
      <c r="AQ18" s="219"/>
      <c r="AR18" s="219"/>
      <c r="AS18" s="219"/>
      <c r="AT18" s="219">
        <f t="shared" si="7"/>
        <v>0</v>
      </c>
      <c r="AU18" s="219">
        <v>0</v>
      </c>
      <c r="AV18" s="219">
        <v>0</v>
      </c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f t="shared" si="8"/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f t="shared" si="9"/>
        <v>0</v>
      </c>
      <c r="BM18" s="219"/>
      <c r="BN18" s="219"/>
      <c r="BO18" s="219"/>
      <c r="BP18" s="219"/>
      <c r="BQ18" s="219"/>
      <c r="BR18" s="219"/>
      <c r="BS18" s="219"/>
      <c r="BT18" s="219"/>
      <c r="BU18" s="219">
        <f t="shared" si="0"/>
        <v>0</v>
      </c>
      <c r="BV18" s="219"/>
      <c r="BW18" s="219"/>
      <c r="BX18" s="219"/>
      <c r="BY18" s="219"/>
      <c r="BZ18" s="219"/>
      <c r="CA18" s="219"/>
      <c r="CB18" s="219"/>
      <c r="CC18" s="219"/>
      <c r="CD18" s="219">
        <f t="shared" si="1"/>
        <v>0</v>
      </c>
      <c r="CE18" s="219"/>
      <c r="CF18" s="219"/>
      <c r="CG18" s="219"/>
      <c r="CH18" s="219"/>
      <c r="CI18" s="219"/>
      <c r="CJ18" s="219"/>
      <c r="CK18" s="219"/>
      <c r="CL18" s="219"/>
      <c r="CM18" s="219">
        <f t="shared" si="2"/>
        <v>0</v>
      </c>
      <c r="CN18" s="219"/>
      <c r="CO18" s="219"/>
      <c r="CP18" s="219"/>
      <c r="CQ18" s="219"/>
      <c r="CR18" s="219"/>
      <c r="CS18" s="219"/>
      <c r="CT18" s="219"/>
      <c r="CU18" s="219"/>
      <c r="CV18" s="219">
        <f t="shared" si="3"/>
        <v>0</v>
      </c>
      <c r="CW18" s="219"/>
      <c r="CX18" s="219"/>
      <c r="CY18" s="219"/>
      <c r="CZ18" s="219"/>
      <c r="DA18" s="219"/>
      <c r="DB18" s="219"/>
      <c r="DC18" s="219"/>
      <c r="DD18" s="219"/>
      <c r="DE18" s="219">
        <f t="shared" si="4"/>
        <v>0</v>
      </c>
      <c r="DF18" s="219"/>
      <c r="DG18" s="219"/>
      <c r="DH18" s="219"/>
      <c r="DI18" s="219"/>
      <c r="DJ18" s="219"/>
      <c r="DK18" s="219"/>
      <c r="DL18" s="219"/>
      <c r="DM18" s="219"/>
      <c r="DN18" s="219">
        <f t="shared" si="5"/>
        <v>0</v>
      </c>
      <c r="DO18" s="160">
        <f t="shared" si="10"/>
        <v>0</v>
      </c>
      <c r="DP18" s="161"/>
    </row>
    <row r="19" spans="2:120" ht="217.15" hidden="1" customHeight="1">
      <c r="B19" s="546" t="s">
        <v>74</v>
      </c>
      <c r="C19" s="546" t="s">
        <v>171</v>
      </c>
      <c r="D19" s="548" t="s">
        <v>70</v>
      </c>
      <c r="E19" s="549"/>
      <c r="F19" s="546" t="s">
        <v>12</v>
      </c>
      <c r="G19" s="546">
        <v>519</v>
      </c>
      <c r="H19" s="561" t="s">
        <v>211</v>
      </c>
      <c r="I19" s="548">
        <v>600</v>
      </c>
      <c r="J19" s="158" t="s">
        <v>72</v>
      </c>
      <c r="K19" s="554">
        <v>45</v>
      </c>
      <c r="L19" s="555"/>
      <c r="M19" s="555"/>
      <c r="N19" s="555"/>
      <c r="O19" s="555"/>
      <c r="P19" s="555"/>
      <c r="Q19" s="555"/>
      <c r="R19" s="556"/>
      <c r="S19" s="218">
        <f t="shared" si="6"/>
        <v>45</v>
      </c>
      <c r="T19" s="357">
        <v>45</v>
      </c>
      <c r="U19" s="358"/>
      <c r="V19" s="358"/>
      <c r="W19" s="358"/>
      <c r="X19" s="358"/>
      <c r="Y19" s="358"/>
      <c r="Z19" s="358"/>
      <c r="AA19" s="359"/>
      <c r="AB19" s="159">
        <f t="shared" si="11"/>
        <v>45</v>
      </c>
      <c r="AC19" s="557">
        <v>45</v>
      </c>
      <c r="AD19" s="558"/>
      <c r="AE19" s="558"/>
      <c r="AF19" s="558"/>
      <c r="AG19" s="558"/>
      <c r="AH19" s="558"/>
      <c r="AI19" s="558"/>
      <c r="AJ19" s="559"/>
      <c r="AK19" s="219">
        <f t="shared" si="12"/>
        <v>45</v>
      </c>
      <c r="AL19" s="560">
        <v>50</v>
      </c>
      <c r="AM19" s="558"/>
      <c r="AN19" s="558"/>
      <c r="AO19" s="558"/>
      <c r="AP19" s="558"/>
      <c r="AQ19" s="558"/>
      <c r="AR19" s="558"/>
      <c r="AS19" s="559"/>
      <c r="AT19" s="219">
        <f t="shared" si="7"/>
        <v>50</v>
      </c>
      <c r="AU19" s="560">
        <v>45</v>
      </c>
      <c r="AV19" s="558"/>
      <c r="AW19" s="558"/>
      <c r="AX19" s="558"/>
      <c r="AY19" s="558"/>
      <c r="AZ19" s="558"/>
      <c r="BA19" s="558"/>
      <c r="BB19" s="559"/>
      <c r="BC19" s="219">
        <f t="shared" si="8"/>
        <v>45</v>
      </c>
      <c r="BD19" s="560">
        <v>50</v>
      </c>
      <c r="BE19" s="558"/>
      <c r="BF19" s="558"/>
      <c r="BG19" s="558"/>
      <c r="BH19" s="558"/>
      <c r="BI19" s="558"/>
      <c r="BJ19" s="558"/>
      <c r="BK19" s="559"/>
      <c r="BL19" s="219">
        <f t="shared" si="9"/>
        <v>50</v>
      </c>
      <c r="BM19" s="560">
        <v>50</v>
      </c>
      <c r="BN19" s="558"/>
      <c r="BO19" s="558"/>
      <c r="BP19" s="558"/>
      <c r="BQ19" s="558"/>
      <c r="BR19" s="558"/>
      <c r="BS19" s="558"/>
      <c r="BT19" s="559"/>
      <c r="BU19" s="219">
        <f t="shared" si="0"/>
        <v>50</v>
      </c>
      <c r="BV19" s="560">
        <v>55</v>
      </c>
      <c r="BW19" s="558"/>
      <c r="BX19" s="558"/>
      <c r="BY19" s="558"/>
      <c r="BZ19" s="558"/>
      <c r="CA19" s="558"/>
      <c r="CB19" s="558"/>
      <c r="CC19" s="559"/>
      <c r="CD19" s="219">
        <f t="shared" si="1"/>
        <v>55</v>
      </c>
      <c r="CE19" s="560">
        <v>60</v>
      </c>
      <c r="CF19" s="558"/>
      <c r="CG19" s="558"/>
      <c r="CH19" s="558"/>
      <c r="CI19" s="558"/>
      <c r="CJ19" s="558"/>
      <c r="CK19" s="558"/>
      <c r="CL19" s="559"/>
      <c r="CM19" s="219">
        <f t="shared" si="2"/>
        <v>60</v>
      </c>
      <c r="CN19" s="560">
        <v>45</v>
      </c>
      <c r="CO19" s="558"/>
      <c r="CP19" s="558"/>
      <c r="CQ19" s="558"/>
      <c r="CR19" s="558"/>
      <c r="CS19" s="558"/>
      <c r="CT19" s="558"/>
      <c r="CU19" s="559"/>
      <c r="CV19" s="219">
        <f t="shared" si="3"/>
        <v>45</v>
      </c>
      <c r="CW19" s="560">
        <v>50</v>
      </c>
      <c r="CX19" s="558"/>
      <c r="CY19" s="558"/>
      <c r="CZ19" s="558"/>
      <c r="DA19" s="558"/>
      <c r="DB19" s="558"/>
      <c r="DC19" s="558"/>
      <c r="DD19" s="559"/>
      <c r="DE19" s="219">
        <f t="shared" si="4"/>
        <v>50</v>
      </c>
      <c r="DF19" s="560">
        <v>60</v>
      </c>
      <c r="DG19" s="558"/>
      <c r="DH19" s="558"/>
      <c r="DI19" s="558"/>
      <c r="DJ19" s="558"/>
      <c r="DK19" s="558"/>
      <c r="DL19" s="558"/>
      <c r="DM19" s="559"/>
      <c r="DN19" s="219">
        <f t="shared" si="5"/>
        <v>60</v>
      </c>
      <c r="DO19" s="160">
        <f t="shared" si="10"/>
        <v>600</v>
      </c>
      <c r="DP19" s="161"/>
    </row>
    <row r="20" spans="2:120" ht="173.45" customHeight="1">
      <c r="B20" s="547"/>
      <c r="C20" s="547"/>
      <c r="D20" s="550"/>
      <c r="E20" s="551"/>
      <c r="F20" s="547"/>
      <c r="G20" s="547"/>
      <c r="H20" s="562"/>
      <c r="I20" s="550"/>
      <c r="J20" s="162" t="s">
        <v>73</v>
      </c>
      <c r="K20" s="220">
        <v>8</v>
      </c>
      <c r="L20" s="218">
        <v>1</v>
      </c>
      <c r="M20" s="218">
        <v>7</v>
      </c>
      <c r="N20" s="218">
        <v>1</v>
      </c>
      <c r="O20" s="218">
        <v>5</v>
      </c>
      <c r="P20" s="218">
        <v>0</v>
      </c>
      <c r="Q20" s="218">
        <v>6</v>
      </c>
      <c r="R20" s="218">
        <v>1</v>
      </c>
      <c r="S20" s="218">
        <f t="shared" si="6"/>
        <v>29</v>
      </c>
      <c r="T20" s="159">
        <v>8</v>
      </c>
      <c r="U20" s="159">
        <v>8</v>
      </c>
      <c r="V20" s="159">
        <v>7</v>
      </c>
      <c r="W20" s="159">
        <v>7</v>
      </c>
      <c r="X20" s="159">
        <v>5</v>
      </c>
      <c r="Y20" s="159">
        <v>5</v>
      </c>
      <c r="Z20" s="159">
        <v>0</v>
      </c>
      <c r="AA20" s="159">
        <v>0</v>
      </c>
      <c r="AB20" s="159">
        <v>40</v>
      </c>
      <c r="AC20" s="221">
        <v>14</v>
      </c>
      <c r="AD20" s="221">
        <v>13</v>
      </c>
      <c r="AE20" s="221">
        <v>6</v>
      </c>
      <c r="AF20" s="221">
        <v>7</v>
      </c>
      <c r="AG20" s="221"/>
      <c r="AH20" s="221"/>
      <c r="AI20" s="221"/>
      <c r="AJ20" s="221"/>
      <c r="AK20" s="219">
        <v>40</v>
      </c>
      <c r="AL20" s="219">
        <v>13</v>
      </c>
      <c r="AM20" s="219">
        <v>6</v>
      </c>
      <c r="AN20" s="219">
        <v>15</v>
      </c>
      <c r="AO20" s="219">
        <v>8</v>
      </c>
      <c r="AP20" s="219">
        <v>2</v>
      </c>
      <c r="AQ20" s="219">
        <v>0</v>
      </c>
      <c r="AR20" s="219">
        <v>0</v>
      </c>
      <c r="AS20" s="219">
        <v>0</v>
      </c>
      <c r="AT20" s="219">
        <f t="shared" si="7"/>
        <v>44</v>
      </c>
      <c r="AU20" s="219">
        <v>9</v>
      </c>
      <c r="AV20" s="219">
        <v>10</v>
      </c>
      <c r="AW20" s="219">
        <v>12</v>
      </c>
      <c r="AX20" s="219">
        <v>4</v>
      </c>
      <c r="AY20" s="219">
        <v>0</v>
      </c>
      <c r="AZ20" s="219">
        <v>0</v>
      </c>
      <c r="BA20" s="219">
        <v>0</v>
      </c>
      <c r="BB20" s="219">
        <v>0</v>
      </c>
      <c r="BC20" s="219">
        <f t="shared" si="8"/>
        <v>35</v>
      </c>
      <c r="BD20" s="219">
        <v>38</v>
      </c>
      <c r="BE20" s="219">
        <v>19</v>
      </c>
      <c r="BF20" s="219">
        <v>18</v>
      </c>
      <c r="BG20" s="219">
        <v>13</v>
      </c>
      <c r="BH20" s="219">
        <v>12</v>
      </c>
      <c r="BI20" s="219">
        <v>3</v>
      </c>
      <c r="BJ20" s="219">
        <v>0</v>
      </c>
      <c r="BK20" s="219">
        <v>0</v>
      </c>
      <c r="BL20" s="219">
        <f t="shared" si="9"/>
        <v>103</v>
      </c>
      <c r="BM20" s="219"/>
      <c r="BN20" s="219"/>
      <c r="BO20" s="219"/>
      <c r="BP20" s="219"/>
      <c r="BQ20" s="219"/>
      <c r="BR20" s="219"/>
      <c r="BS20" s="219"/>
      <c r="BT20" s="219"/>
      <c r="BU20" s="219">
        <f t="shared" si="0"/>
        <v>0</v>
      </c>
      <c r="BV20" s="219"/>
      <c r="BW20" s="219"/>
      <c r="BX20" s="219"/>
      <c r="BY20" s="219"/>
      <c r="BZ20" s="219"/>
      <c r="CA20" s="219"/>
      <c r="CB20" s="219"/>
      <c r="CC20" s="219"/>
      <c r="CD20" s="219">
        <f t="shared" si="1"/>
        <v>0</v>
      </c>
      <c r="CE20" s="219"/>
      <c r="CF20" s="219"/>
      <c r="CG20" s="219"/>
      <c r="CH20" s="219"/>
      <c r="CI20" s="219"/>
      <c r="CJ20" s="219"/>
      <c r="CK20" s="219"/>
      <c r="CL20" s="219"/>
      <c r="CM20" s="219">
        <f t="shared" si="2"/>
        <v>0</v>
      </c>
      <c r="CN20" s="219"/>
      <c r="CO20" s="219"/>
      <c r="CP20" s="219"/>
      <c r="CQ20" s="219"/>
      <c r="CR20" s="219"/>
      <c r="CS20" s="219"/>
      <c r="CT20" s="219"/>
      <c r="CU20" s="219"/>
      <c r="CV20" s="219">
        <f t="shared" si="3"/>
        <v>0</v>
      </c>
      <c r="CW20" s="219"/>
      <c r="CX20" s="219"/>
      <c r="CY20" s="219"/>
      <c r="CZ20" s="219"/>
      <c r="DA20" s="219"/>
      <c r="DB20" s="219"/>
      <c r="DC20" s="219"/>
      <c r="DD20" s="219"/>
      <c r="DE20" s="219">
        <f t="shared" si="4"/>
        <v>0</v>
      </c>
      <c r="DF20" s="222"/>
      <c r="DG20" s="222"/>
      <c r="DH20" s="222"/>
      <c r="DI20" s="222"/>
      <c r="DJ20" s="222"/>
      <c r="DK20" s="222"/>
      <c r="DL20" s="222"/>
      <c r="DM20" s="222"/>
      <c r="DN20" s="219">
        <f t="shared" si="5"/>
        <v>0</v>
      </c>
      <c r="DO20" s="160">
        <f t="shared" si="10"/>
        <v>291</v>
      </c>
      <c r="DP20" s="161"/>
    </row>
    <row r="21" spans="2:120" ht="287.25" hidden="1" customHeight="1">
      <c r="B21" s="546" t="s">
        <v>112</v>
      </c>
      <c r="C21" s="564" t="s">
        <v>225</v>
      </c>
      <c r="D21" s="548" t="s">
        <v>70</v>
      </c>
      <c r="E21" s="549"/>
      <c r="F21" s="546" t="s">
        <v>226</v>
      </c>
      <c r="G21" s="546">
        <v>88</v>
      </c>
      <c r="H21" s="566" t="s">
        <v>227</v>
      </c>
      <c r="I21" s="546">
        <v>69</v>
      </c>
      <c r="J21" s="158" t="s">
        <v>72</v>
      </c>
      <c r="K21" s="554">
        <v>0</v>
      </c>
      <c r="L21" s="555"/>
      <c r="M21" s="555"/>
      <c r="N21" s="555"/>
      <c r="O21" s="555"/>
      <c r="P21" s="555"/>
      <c r="Q21" s="555"/>
      <c r="R21" s="556"/>
      <c r="S21" s="218">
        <f t="shared" si="6"/>
        <v>0</v>
      </c>
      <c r="T21" s="357">
        <v>2</v>
      </c>
      <c r="U21" s="358"/>
      <c r="V21" s="358"/>
      <c r="W21" s="358"/>
      <c r="X21" s="358"/>
      <c r="Y21" s="358"/>
      <c r="Z21" s="358"/>
      <c r="AA21" s="359"/>
      <c r="AB21" s="159">
        <f t="shared" si="11"/>
        <v>2</v>
      </c>
      <c r="AC21" s="557">
        <v>2</v>
      </c>
      <c r="AD21" s="558"/>
      <c r="AE21" s="558"/>
      <c r="AF21" s="558"/>
      <c r="AG21" s="558"/>
      <c r="AH21" s="558"/>
      <c r="AI21" s="558"/>
      <c r="AJ21" s="559"/>
      <c r="AK21" s="219">
        <f t="shared" si="12"/>
        <v>2</v>
      </c>
      <c r="AL21" s="560">
        <v>0</v>
      </c>
      <c r="AM21" s="558"/>
      <c r="AN21" s="558"/>
      <c r="AO21" s="558"/>
      <c r="AP21" s="558"/>
      <c r="AQ21" s="558"/>
      <c r="AR21" s="558"/>
      <c r="AS21" s="559"/>
      <c r="AT21" s="219">
        <f>SUM(AL21:AS21)</f>
        <v>0</v>
      </c>
      <c r="AU21" s="560">
        <v>4</v>
      </c>
      <c r="AV21" s="558"/>
      <c r="AW21" s="558"/>
      <c r="AX21" s="558"/>
      <c r="AY21" s="558"/>
      <c r="AZ21" s="558"/>
      <c r="BA21" s="558"/>
      <c r="BB21" s="559"/>
      <c r="BC21" s="219">
        <f t="shared" si="8"/>
        <v>4</v>
      </c>
      <c r="BD21" s="560">
        <v>4</v>
      </c>
      <c r="BE21" s="558"/>
      <c r="BF21" s="558"/>
      <c r="BG21" s="558"/>
      <c r="BH21" s="558"/>
      <c r="BI21" s="558"/>
      <c r="BJ21" s="558"/>
      <c r="BK21" s="559"/>
      <c r="BL21" s="219">
        <f t="shared" si="9"/>
        <v>4</v>
      </c>
      <c r="BM21" s="560">
        <v>15</v>
      </c>
      <c r="BN21" s="558"/>
      <c r="BO21" s="558"/>
      <c r="BP21" s="558"/>
      <c r="BQ21" s="558"/>
      <c r="BR21" s="558"/>
      <c r="BS21" s="558"/>
      <c r="BT21" s="559"/>
      <c r="BU21" s="219">
        <f t="shared" si="0"/>
        <v>15</v>
      </c>
      <c r="BV21" s="560">
        <v>15</v>
      </c>
      <c r="BW21" s="558"/>
      <c r="BX21" s="558"/>
      <c r="BY21" s="558"/>
      <c r="BZ21" s="558"/>
      <c r="CA21" s="558"/>
      <c r="CB21" s="558"/>
      <c r="CC21" s="559"/>
      <c r="CD21" s="219">
        <f t="shared" si="1"/>
        <v>15</v>
      </c>
      <c r="CE21" s="560">
        <v>15</v>
      </c>
      <c r="CF21" s="558"/>
      <c r="CG21" s="558"/>
      <c r="CH21" s="558"/>
      <c r="CI21" s="558"/>
      <c r="CJ21" s="558"/>
      <c r="CK21" s="558"/>
      <c r="CL21" s="559"/>
      <c r="CM21" s="219">
        <f t="shared" si="2"/>
        <v>15</v>
      </c>
      <c r="CN21" s="560">
        <v>4</v>
      </c>
      <c r="CO21" s="558"/>
      <c r="CP21" s="558"/>
      <c r="CQ21" s="558"/>
      <c r="CR21" s="558"/>
      <c r="CS21" s="558"/>
      <c r="CT21" s="558"/>
      <c r="CU21" s="559"/>
      <c r="CV21" s="219">
        <f t="shared" si="3"/>
        <v>4</v>
      </c>
      <c r="CW21" s="560">
        <v>4</v>
      </c>
      <c r="CX21" s="558"/>
      <c r="CY21" s="558"/>
      <c r="CZ21" s="558"/>
      <c r="DA21" s="558"/>
      <c r="DB21" s="558"/>
      <c r="DC21" s="558"/>
      <c r="DD21" s="559"/>
      <c r="DE21" s="219">
        <f t="shared" si="4"/>
        <v>4</v>
      </c>
      <c r="DF21" s="560">
        <v>4</v>
      </c>
      <c r="DG21" s="558"/>
      <c r="DH21" s="558"/>
      <c r="DI21" s="558"/>
      <c r="DJ21" s="558"/>
      <c r="DK21" s="558"/>
      <c r="DL21" s="558"/>
      <c r="DM21" s="559"/>
      <c r="DN21" s="219">
        <f t="shared" si="5"/>
        <v>4</v>
      </c>
      <c r="DO21" s="160">
        <f t="shared" si="10"/>
        <v>69</v>
      </c>
      <c r="DP21" s="161"/>
    </row>
    <row r="22" spans="2:120" ht="287.25" customHeight="1">
      <c r="B22" s="563"/>
      <c r="C22" s="565"/>
      <c r="D22" s="550"/>
      <c r="E22" s="551"/>
      <c r="F22" s="547"/>
      <c r="G22" s="547"/>
      <c r="H22" s="567"/>
      <c r="I22" s="547"/>
      <c r="J22" s="162" t="s">
        <v>73</v>
      </c>
      <c r="K22" s="220">
        <v>3</v>
      </c>
      <c r="L22" s="218">
        <v>2</v>
      </c>
      <c r="M22" s="218">
        <v>1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f t="shared" si="6"/>
        <v>6</v>
      </c>
      <c r="T22" s="159">
        <v>1</v>
      </c>
      <c r="U22" s="159">
        <v>0</v>
      </c>
      <c r="V22" s="159">
        <v>3</v>
      </c>
      <c r="W22" s="159">
        <v>3</v>
      </c>
      <c r="X22" s="159">
        <v>0</v>
      </c>
      <c r="Y22" s="159">
        <v>0</v>
      </c>
      <c r="Z22" s="159">
        <v>0</v>
      </c>
      <c r="AA22" s="159">
        <v>0</v>
      </c>
      <c r="AB22" s="159">
        <v>7</v>
      </c>
      <c r="AC22" s="221">
        <v>5</v>
      </c>
      <c r="AD22" s="221">
        <v>1</v>
      </c>
      <c r="AE22" s="221">
        <v>2</v>
      </c>
      <c r="AF22" s="221">
        <v>1</v>
      </c>
      <c r="AG22" s="221"/>
      <c r="AH22" s="221"/>
      <c r="AI22" s="221"/>
      <c r="AJ22" s="221"/>
      <c r="AK22" s="219">
        <v>9</v>
      </c>
      <c r="AL22" s="219">
        <v>6</v>
      </c>
      <c r="AM22" s="219">
        <v>2</v>
      </c>
      <c r="AN22" s="219">
        <v>1</v>
      </c>
      <c r="AO22" s="219">
        <v>0</v>
      </c>
      <c r="AP22" s="219">
        <v>0</v>
      </c>
      <c r="AQ22" s="219">
        <v>0</v>
      </c>
      <c r="AR22" s="219">
        <v>0</v>
      </c>
      <c r="AS22" s="219">
        <v>0</v>
      </c>
      <c r="AT22" s="219">
        <f t="shared" si="7"/>
        <v>9</v>
      </c>
      <c r="AU22" s="219">
        <v>7</v>
      </c>
      <c r="AV22" s="219">
        <v>6</v>
      </c>
      <c r="AW22" s="219">
        <v>1</v>
      </c>
      <c r="AX22" s="219">
        <v>1</v>
      </c>
      <c r="AY22" s="219">
        <v>0</v>
      </c>
      <c r="AZ22" s="219">
        <v>0</v>
      </c>
      <c r="BA22" s="219">
        <v>0</v>
      </c>
      <c r="BB22" s="219">
        <v>0</v>
      </c>
      <c r="BC22" s="219">
        <f t="shared" si="8"/>
        <v>15</v>
      </c>
      <c r="BD22" s="219">
        <v>10</v>
      </c>
      <c r="BE22" s="219">
        <v>9</v>
      </c>
      <c r="BF22" s="219">
        <v>1</v>
      </c>
      <c r="BG22" s="219">
        <v>2</v>
      </c>
      <c r="BH22" s="219">
        <v>0</v>
      </c>
      <c r="BI22" s="219">
        <v>0</v>
      </c>
      <c r="BJ22" s="219">
        <v>0</v>
      </c>
      <c r="BK22" s="219">
        <v>0</v>
      </c>
      <c r="BL22" s="219">
        <f t="shared" si="9"/>
        <v>22</v>
      </c>
      <c r="BM22" s="219"/>
      <c r="BN22" s="219"/>
      <c r="BO22" s="219"/>
      <c r="BP22" s="219"/>
      <c r="BQ22" s="219"/>
      <c r="BR22" s="219"/>
      <c r="BS22" s="219"/>
      <c r="BT22" s="219"/>
      <c r="BU22" s="219">
        <f t="shared" si="0"/>
        <v>0</v>
      </c>
      <c r="BV22" s="219"/>
      <c r="BW22" s="219"/>
      <c r="BX22" s="219"/>
      <c r="BY22" s="219"/>
      <c r="BZ22" s="219"/>
      <c r="CA22" s="219"/>
      <c r="CB22" s="219"/>
      <c r="CC22" s="219"/>
      <c r="CD22" s="219">
        <f t="shared" si="1"/>
        <v>0</v>
      </c>
      <c r="CE22" s="219"/>
      <c r="CF22" s="219"/>
      <c r="CG22" s="219"/>
      <c r="CH22" s="219"/>
      <c r="CI22" s="219"/>
      <c r="CJ22" s="219"/>
      <c r="CK22" s="219"/>
      <c r="CL22" s="219"/>
      <c r="CM22" s="219">
        <f t="shared" si="2"/>
        <v>0</v>
      </c>
      <c r="CN22" s="219"/>
      <c r="CO22" s="219"/>
      <c r="CP22" s="219"/>
      <c r="CQ22" s="219"/>
      <c r="CR22" s="219"/>
      <c r="CS22" s="219"/>
      <c r="CT22" s="219"/>
      <c r="CU22" s="219"/>
      <c r="CV22" s="219">
        <f t="shared" si="3"/>
        <v>0</v>
      </c>
      <c r="CW22" s="219"/>
      <c r="CX22" s="219"/>
      <c r="CY22" s="219"/>
      <c r="CZ22" s="219"/>
      <c r="DA22" s="219"/>
      <c r="DB22" s="219"/>
      <c r="DC22" s="219"/>
      <c r="DD22" s="219"/>
      <c r="DE22" s="219">
        <f t="shared" si="4"/>
        <v>0</v>
      </c>
      <c r="DF22" s="222"/>
      <c r="DG22" s="222"/>
      <c r="DH22" s="222"/>
      <c r="DI22" s="222"/>
      <c r="DJ22" s="222"/>
      <c r="DK22" s="222"/>
      <c r="DL22" s="222"/>
      <c r="DM22" s="222"/>
      <c r="DN22" s="219">
        <f t="shared" si="5"/>
        <v>0</v>
      </c>
      <c r="DO22" s="160">
        <f t="shared" si="10"/>
        <v>68</v>
      </c>
      <c r="DP22" s="161"/>
    </row>
    <row r="23" spans="2:120" ht="234.75" hidden="1" customHeight="1">
      <c r="B23" s="546" t="s">
        <v>112</v>
      </c>
      <c r="C23" s="564" t="s">
        <v>225</v>
      </c>
      <c r="D23" s="548" t="s">
        <v>70</v>
      </c>
      <c r="E23" s="549"/>
      <c r="F23" s="546" t="s">
        <v>226</v>
      </c>
      <c r="G23" s="546">
        <v>90</v>
      </c>
      <c r="H23" s="566" t="s">
        <v>228</v>
      </c>
      <c r="I23" s="548">
        <v>44</v>
      </c>
      <c r="J23" s="158" t="s">
        <v>72</v>
      </c>
      <c r="K23" s="554">
        <v>2</v>
      </c>
      <c r="L23" s="555"/>
      <c r="M23" s="555"/>
      <c r="N23" s="555"/>
      <c r="O23" s="555"/>
      <c r="P23" s="555"/>
      <c r="Q23" s="555"/>
      <c r="R23" s="556"/>
      <c r="S23" s="218">
        <f t="shared" si="6"/>
        <v>2</v>
      </c>
      <c r="T23" s="357">
        <v>2</v>
      </c>
      <c r="U23" s="358"/>
      <c r="V23" s="358"/>
      <c r="W23" s="358"/>
      <c r="X23" s="358"/>
      <c r="Y23" s="358"/>
      <c r="Z23" s="358"/>
      <c r="AA23" s="359"/>
      <c r="AB23" s="159">
        <f t="shared" si="11"/>
        <v>2</v>
      </c>
      <c r="AC23" s="557">
        <v>4</v>
      </c>
      <c r="AD23" s="558"/>
      <c r="AE23" s="558"/>
      <c r="AF23" s="558"/>
      <c r="AG23" s="558"/>
      <c r="AH23" s="558"/>
      <c r="AI23" s="558"/>
      <c r="AJ23" s="559"/>
      <c r="AK23" s="219">
        <f t="shared" si="12"/>
        <v>4</v>
      </c>
      <c r="AL23" s="560">
        <v>4</v>
      </c>
      <c r="AM23" s="558"/>
      <c r="AN23" s="558"/>
      <c r="AO23" s="558"/>
      <c r="AP23" s="558"/>
      <c r="AQ23" s="558"/>
      <c r="AR23" s="558"/>
      <c r="AS23" s="559"/>
      <c r="AT23" s="219">
        <f>SUM(AL23:AS23)</f>
        <v>4</v>
      </c>
      <c r="AU23" s="560">
        <v>4</v>
      </c>
      <c r="AV23" s="558"/>
      <c r="AW23" s="558"/>
      <c r="AX23" s="558"/>
      <c r="AY23" s="558"/>
      <c r="AZ23" s="558"/>
      <c r="BA23" s="558"/>
      <c r="BB23" s="559"/>
      <c r="BC23" s="219">
        <f t="shared" si="8"/>
        <v>4</v>
      </c>
      <c r="BD23" s="560">
        <v>4</v>
      </c>
      <c r="BE23" s="558"/>
      <c r="BF23" s="558"/>
      <c r="BG23" s="558"/>
      <c r="BH23" s="558"/>
      <c r="BI23" s="558"/>
      <c r="BJ23" s="558"/>
      <c r="BK23" s="559"/>
      <c r="BL23" s="219">
        <f t="shared" si="9"/>
        <v>4</v>
      </c>
      <c r="BM23" s="560">
        <v>4</v>
      </c>
      <c r="BN23" s="558"/>
      <c r="BO23" s="558"/>
      <c r="BP23" s="558"/>
      <c r="BQ23" s="558"/>
      <c r="BR23" s="558"/>
      <c r="BS23" s="558"/>
      <c r="BT23" s="559"/>
      <c r="BU23" s="219">
        <f t="shared" si="0"/>
        <v>4</v>
      </c>
      <c r="BV23" s="560">
        <v>4</v>
      </c>
      <c r="BW23" s="558"/>
      <c r="BX23" s="558"/>
      <c r="BY23" s="558"/>
      <c r="BZ23" s="558"/>
      <c r="CA23" s="558"/>
      <c r="CB23" s="558"/>
      <c r="CC23" s="559"/>
      <c r="CD23" s="219">
        <f t="shared" si="1"/>
        <v>4</v>
      </c>
      <c r="CE23" s="560">
        <v>4</v>
      </c>
      <c r="CF23" s="558"/>
      <c r="CG23" s="558"/>
      <c r="CH23" s="558"/>
      <c r="CI23" s="558"/>
      <c r="CJ23" s="558"/>
      <c r="CK23" s="558"/>
      <c r="CL23" s="559"/>
      <c r="CM23" s="219">
        <f t="shared" si="2"/>
        <v>4</v>
      </c>
      <c r="CN23" s="560">
        <v>4</v>
      </c>
      <c r="CO23" s="558"/>
      <c r="CP23" s="558"/>
      <c r="CQ23" s="558"/>
      <c r="CR23" s="558"/>
      <c r="CS23" s="558"/>
      <c r="CT23" s="558"/>
      <c r="CU23" s="559"/>
      <c r="CV23" s="219">
        <f t="shared" si="3"/>
        <v>4</v>
      </c>
      <c r="CW23" s="560">
        <v>4</v>
      </c>
      <c r="CX23" s="558"/>
      <c r="CY23" s="558"/>
      <c r="CZ23" s="558"/>
      <c r="DA23" s="558"/>
      <c r="DB23" s="558"/>
      <c r="DC23" s="558"/>
      <c r="DD23" s="559"/>
      <c r="DE23" s="219">
        <f t="shared" si="4"/>
        <v>4</v>
      </c>
      <c r="DF23" s="560">
        <v>4</v>
      </c>
      <c r="DG23" s="558"/>
      <c r="DH23" s="558"/>
      <c r="DI23" s="558"/>
      <c r="DJ23" s="558"/>
      <c r="DK23" s="558"/>
      <c r="DL23" s="558"/>
      <c r="DM23" s="559"/>
      <c r="DN23" s="219">
        <f t="shared" si="5"/>
        <v>4</v>
      </c>
      <c r="DO23" s="160">
        <f t="shared" si="10"/>
        <v>44</v>
      </c>
      <c r="DP23" s="161"/>
    </row>
    <row r="24" spans="2:120" ht="234.75" customHeight="1">
      <c r="B24" s="563"/>
      <c r="C24" s="565"/>
      <c r="D24" s="550"/>
      <c r="E24" s="551"/>
      <c r="F24" s="547"/>
      <c r="G24" s="547"/>
      <c r="H24" s="567"/>
      <c r="I24" s="550"/>
      <c r="J24" s="162" t="s">
        <v>73</v>
      </c>
      <c r="K24" s="220">
        <v>4</v>
      </c>
      <c r="L24" s="218">
        <v>3</v>
      </c>
      <c r="M24" s="218">
        <v>0</v>
      </c>
      <c r="N24" s="218">
        <v>1</v>
      </c>
      <c r="O24" s="218">
        <v>0</v>
      </c>
      <c r="P24" s="218">
        <v>0</v>
      </c>
      <c r="Q24" s="218">
        <v>0</v>
      </c>
      <c r="R24" s="218">
        <v>0</v>
      </c>
      <c r="S24" s="218">
        <f t="shared" si="6"/>
        <v>8</v>
      </c>
      <c r="T24" s="159">
        <v>1</v>
      </c>
      <c r="U24" s="159">
        <v>0</v>
      </c>
      <c r="V24" s="159">
        <v>3</v>
      </c>
      <c r="W24" s="159">
        <v>3</v>
      </c>
      <c r="X24" s="159">
        <v>0</v>
      </c>
      <c r="Y24" s="159">
        <v>0</v>
      </c>
      <c r="Z24" s="159">
        <v>0</v>
      </c>
      <c r="AA24" s="159">
        <v>0</v>
      </c>
      <c r="AB24" s="159">
        <v>7</v>
      </c>
      <c r="AC24" s="221">
        <v>4</v>
      </c>
      <c r="AD24" s="221">
        <v>1</v>
      </c>
      <c r="AE24" s="221">
        <v>2</v>
      </c>
      <c r="AF24" s="221">
        <v>1</v>
      </c>
      <c r="AG24" s="221"/>
      <c r="AH24" s="221"/>
      <c r="AI24" s="221"/>
      <c r="AJ24" s="221"/>
      <c r="AK24" s="219">
        <v>8</v>
      </c>
      <c r="AL24" s="219">
        <v>5</v>
      </c>
      <c r="AM24" s="219">
        <v>2</v>
      </c>
      <c r="AN24" s="219">
        <v>1</v>
      </c>
      <c r="AO24" s="219">
        <v>0</v>
      </c>
      <c r="AP24" s="219">
        <v>0</v>
      </c>
      <c r="AQ24" s="219">
        <v>0</v>
      </c>
      <c r="AR24" s="219">
        <v>0</v>
      </c>
      <c r="AS24" s="219">
        <v>0</v>
      </c>
      <c r="AT24" s="219">
        <f t="shared" si="7"/>
        <v>8</v>
      </c>
      <c r="AU24" s="219">
        <v>4</v>
      </c>
      <c r="AV24" s="219">
        <v>4</v>
      </c>
      <c r="AW24" s="219">
        <v>0</v>
      </c>
      <c r="AX24" s="219">
        <v>1</v>
      </c>
      <c r="AY24" s="219">
        <v>0</v>
      </c>
      <c r="AZ24" s="219">
        <v>0</v>
      </c>
      <c r="BA24" s="219">
        <v>0</v>
      </c>
      <c r="BB24" s="219">
        <v>0</v>
      </c>
      <c r="BC24" s="219">
        <f t="shared" si="8"/>
        <v>9</v>
      </c>
      <c r="BD24" s="219">
        <v>11</v>
      </c>
      <c r="BE24" s="219">
        <v>10</v>
      </c>
      <c r="BF24" s="219">
        <v>0</v>
      </c>
      <c r="BG24" s="219">
        <v>1</v>
      </c>
      <c r="BH24" s="219">
        <v>0</v>
      </c>
      <c r="BI24" s="219">
        <v>0</v>
      </c>
      <c r="BJ24" s="219">
        <v>0</v>
      </c>
      <c r="BK24" s="219">
        <v>0</v>
      </c>
      <c r="BL24" s="219">
        <f t="shared" si="9"/>
        <v>22</v>
      </c>
      <c r="BM24" s="219"/>
      <c r="BN24" s="219"/>
      <c r="BO24" s="219"/>
      <c r="BP24" s="219"/>
      <c r="BQ24" s="219"/>
      <c r="BR24" s="219"/>
      <c r="BS24" s="219"/>
      <c r="BT24" s="219"/>
      <c r="BU24" s="219">
        <f t="shared" si="0"/>
        <v>0</v>
      </c>
      <c r="BV24" s="219"/>
      <c r="BW24" s="219"/>
      <c r="BX24" s="219"/>
      <c r="BY24" s="219"/>
      <c r="BZ24" s="219"/>
      <c r="CA24" s="219"/>
      <c r="CB24" s="219"/>
      <c r="CC24" s="219"/>
      <c r="CD24" s="219">
        <f t="shared" si="1"/>
        <v>0</v>
      </c>
      <c r="CE24" s="219"/>
      <c r="CF24" s="219"/>
      <c r="CG24" s="219"/>
      <c r="CH24" s="219"/>
      <c r="CI24" s="219"/>
      <c r="CJ24" s="219"/>
      <c r="CK24" s="219"/>
      <c r="CL24" s="219"/>
      <c r="CM24" s="219">
        <f t="shared" si="2"/>
        <v>0</v>
      </c>
      <c r="CN24" s="219"/>
      <c r="CO24" s="219"/>
      <c r="CP24" s="219"/>
      <c r="CQ24" s="219"/>
      <c r="CR24" s="219"/>
      <c r="CS24" s="219"/>
      <c r="CT24" s="219"/>
      <c r="CU24" s="219"/>
      <c r="CV24" s="219">
        <f t="shared" si="3"/>
        <v>0</v>
      </c>
      <c r="CW24" s="219"/>
      <c r="CX24" s="219"/>
      <c r="CY24" s="219"/>
      <c r="CZ24" s="219"/>
      <c r="DA24" s="219"/>
      <c r="DB24" s="219"/>
      <c r="DC24" s="219"/>
      <c r="DD24" s="219"/>
      <c r="DE24" s="219">
        <f t="shared" si="4"/>
        <v>0</v>
      </c>
      <c r="DF24" s="222"/>
      <c r="DG24" s="222"/>
      <c r="DH24" s="222"/>
      <c r="DI24" s="222"/>
      <c r="DJ24" s="222"/>
      <c r="DK24" s="222"/>
      <c r="DL24" s="222"/>
      <c r="DM24" s="222"/>
      <c r="DN24" s="219">
        <f t="shared" si="5"/>
        <v>0</v>
      </c>
      <c r="DO24" s="160">
        <f t="shared" si="10"/>
        <v>62</v>
      </c>
      <c r="DP24" s="161"/>
    </row>
    <row r="25" spans="2:120" ht="287.25" hidden="1" customHeight="1">
      <c r="B25" s="546" t="s">
        <v>112</v>
      </c>
      <c r="C25" s="564" t="s">
        <v>225</v>
      </c>
      <c r="D25" s="548" t="s">
        <v>70</v>
      </c>
      <c r="E25" s="549"/>
      <c r="F25" s="546" t="s">
        <v>226</v>
      </c>
      <c r="G25" s="546">
        <v>78</v>
      </c>
      <c r="H25" s="566" t="s">
        <v>229</v>
      </c>
      <c r="I25" s="548">
        <v>13</v>
      </c>
      <c r="J25" s="158" t="s">
        <v>72</v>
      </c>
      <c r="K25" s="554">
        <v>1</v>
      </c>
      <c r="L25" s="555"/>
      <c r="M25" s="555"/>
      <c r="N25" s="555"/>
      <c r="O25" s="555"/>
      <c r="P25" s="555"/>
      <c r="Q25" s="555"/>
      <c r="R25" s="556"/>
      <c r="S25" s="218">
        <f t="shared" si="6"/>
        <v>1</v>
      </c>
      <c r="T25" s="357">
        <v>1</v>
      </c>
      <c r="U25" s="358"/>
      <c r="V25" s="358"/>
      <c r="W25" s="358"/>
      <c r="X25" s="358"/>
      <c r="Y25" s="358"/>
      <c r="Z25" s="358"/>
      <c r="AA25" s="359"/>
      <c r="AB25" s="159">
        <f t="shared" si="11"/>
        <v>1</v>
      </c>
      <c r="AC25" s="557">
        <v>2</v>
      </c>
      <c r="AD25" s="558"/>
      <c r="AE25" s="558"/>
      <c r="AF25" s="558"/>
      <c r="AG25" s="558"/>
      <c r="AH25" s="558"/>
      <c r="AI25" s="558"/>
      <c r="AJ25" s="559"/>
      <c r="AK25" s="219">
        <f t="shared" si="12"/>
        <v>2</v>
      </c>
      <c r="AL25" s="560">
        <v>1</v>
      </c>
      <c r="AM25" s="558"/>
      <c r="AN25" s="558"/>
      <c r="AO25" s="558"/>
      <c r="AP25" s="558"/>
      <c r="AQ25" s="558"/>
      <c r="AR25" s="558"/>
      <c r="AS25" s="559"/>
      <c r="AT25" s="219">
        <f t="shared" si="7"/>
        <v>1</v>
      </c>
      <c r="AU25" s="560">
        <v>1</v>
      </c>
      <c r="AV25" s="558"/>
      <c r="AW25" s="558"/>
      <c r="AX25" s="558"/>
      <c r="AY25" s="558"/>
      <c r="AZ25" s="558"/>
      <c r="BA25" s="558"/>
      <c r="BB25" s="559"/>
      <c r="BC25" s="219">
        <f t="shared" si="8"/>
        <v>1</v>
      </c>
      <c r="BD25" s="560">
        <v>1</v>
      </c>
      <c r="BE25" s="558"/>
      <c r="BF25" s="558"/>
      <c r="BG25" s="558"/>
      <c r="BH25" s="558"/>
      <c r="BI25" s="558"/>
      <c r="BJ25" s="558"/>
      <c r="BK25" s="559"/>
      <c r="BL25" s="219">
        <f t="shared" si="9"/>
        <v>1</v>
      </c>
      <c r="BM25" s="560">
        <v>1</v>
      </c>
      <c r="BN25" s="558"/>
      <c r="BO25" s="558"/>
      <c r="BP25" s="558"/>
      <c r="BQ25" s="558"/>
      <c r="BR25" s="558"/>
      <c r="BS25" s="558"/>
      <c r="BT25" s="559"/>
      <c r="BU25" s="219">
        <f t="shared" si="0"/>
        <v>1</v>
      </c>
      <c r="BV25" s="560">
        <v>1</v>
      </c>
      <c r="BW25" s="558"/>
      <c r="BX25" s="558"/>
      <c r="BY25" s="558"/>
      <c r="BZ25" s="558"/>
      <c r="CA25" s="558"/>
      <c r="CB25" s="558"/>
      <c r="CC25" s="559"/>
      <c r="CD25" s="219">
        <f t="shared" si="1"/>
        <v>1</v>
      </c>
      <c r="CE25" s="560">
        <v>1</v>
      </c>
      <c r="CF25" s="558"/>
      <c r="CG25" s="558"/>
      <c r="CH25" s="558"/>
      <c r="CI25" s="558"/>
      <c r="CJ25" s="558"/>
      <c r="CK25" s="558"/>
      <c r="CL25" s="559"/>
      <c r="CM25" s="219">
        <f t="shared" si="2"/>
        <v>1</v>
      </c>
      <c r="CN25" s="560">
        <v>1</v>
      </c>
      <c r="CO25" s="558"/>
      <c r="CP25" s="558"/>
      <c r="CQ25" s="558"/>
      <c r="CR25" s="558"/>
      <c r="CS25" s="558"/>
      <c r="CT25" s="558"/>
      <c r="CU25" s="559"/>
      <c r="CV25" s="219">
        <f t="shared" si="3"/>
        <v>1</v>
      </c>
      <c r="CW25" s="560">
        <v>1</v>
      </c>
      <c r="CX25" s="558"/>
      <c r="CY25" s="558"/>
      <c r="CZ25" s="558"/>
      <c r="DA25" s="558"/>
      <c r="DB25" s="558"/>
      <c r="DC25" s="558"/>
      <c r="DD25" s="559"/>
      <c r="DE25" s="219">
        <f t="shared" si="4"/>
        <v>1</v>
      </c>
      <c r="DF25" s="560">
        <v>1</v>
      </c>
      <c r="DG25" s="558"/>
      <c r="DH25" s="558"/>
      <c r="DI25" s="558"/>
      <c r="DJ25" s="558"/>
      <c r="DK25" s="558"/>
      <c r="DL25" s="558"/>
      <c r="DM25" s="559"/>
      <c r="DN25" s="219">
        <f t="shared" si="5"/>
        <v>1</v>
      </c>
      <c r="DO25" s="160">
        <f t="shared" si="10"/>
        <v>13</v>
      </c>
      <c r="DP25" s="161"/>
    </row>
    <row r="26" spans="2:120" ht="287.25" customHeight="1">
      <c r="B26" s="563"/>
      <c r="C26" s="565"/>
      <c r="D26" s="550"/>
      <c r="E26" s="551"/>
      <c r="F26" s="547"/>
      <c r="G26" s="547"/>
      <c r="H26" s="567"/>
      <c r="I26" s="550"/>
      <c r="J26" s="162" t="s">
        <v>73</v>
      </c>
      <c r="K26" s="220">
        <v>0</v>
      </c>
      <c r="L26" s="218">
        <v>1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f t="shared" si="6"/>
        <v>1</v>
      </c>
      <c r="T26" s="159">
        <v>1</v>
      </c>
      <c r="U26" s="159">
        <v>2</v>
      </c>
      <c r="V26" s="159">
        <v>0</v>
      </c>
      <c r="W26" s="159">
        <v>1</v>
      </c>
      <c r="X26" s="159">
        <v>0</v>
      </c>
      <c r="Y26" s="159">
        <v>0</v>
      </c>
      <c r="Z26" s="159">
        <v>0</v>
      </c>
      <c r="AA26" s="159">
        <v>0</v>
      </c>
      <c r="AB26" s="159">
        <v>4</v>
      </c>
      <c r="AC26" s="221">
        <v>2</v>
      </c>
      <c r="AD26" s="221">
        <v>6</v>
      </c>
      <c r="AE26" s="221">
        <v>5</v>
      </c>
      <c r="AF26" s="221">
        <v>2</v>
      </c>
      <c r="AG26" s="221"/>
      <c r="AH26" s="221"/>
      <c r="AI26" s="221"/>
      <c r="AJ26" s="221"/>
      <c r="AK26" s="219">
        <v>15</v>
      </c>
      <c r="AL26" s="219">
        <v>1</v>
      </c>
      <c r="AM26" s="219">
        <v>0</v>
      </c>
      <c r="AN26" s="219">
        <v>0</v>
      </c>
      <c r="AO26" s="219">
        <v>0</v>
      </c>
      <c r="AP26" s="219">
        <v>0</v>
      </c>
      <c r="AQ26" s="219">
        <v>0</v>
      </c>
      <c r="AR26" s="219">
        <v>0</v>
      </c>
      <c r="AS26" s="219">
        <v>0</v>
      </c>
      <c r="AT26" s="219">
        <f t="shared" si="7"/>
        <v>1</v>
      </c>
      <c r="AU26" s="219">
        <v>2</v>
      </c>
      <c r="AV26" s="219">
        <v>1</v>
      </c>
      <c r="AW26" s="219">
        <v>4</v>
      </c>
      <c r="AX26" s="219">
        <v>2</v>
      </c>
      <c r="AY26" s="219">
        <v>0</v>
      </c>
      <c r="AZ26" s="219">
        <v>0</v>
      </c>
      <c r="BA26" s="219">
        <v>0</v>
      </c>
      <c r="BB26" s="219">
        <v>0</v>
      </c>
      <c r="BC26" s="219">
        <f t="shared" si="8"/>
        <v>9</v>
      </c>
      <c r="BD26" s="219">
        <v>3</v>
      </c>
      <c r="BE26" s="219">
        <v>3</v>
      </c>
      <c r="BF26" s="219">
        <v>2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f t="shared" si="9"/>
        <v>8</v>
      </c>
      <c r="BM26" s="219"/>
      <c r="BN26" s="219"/>
      <c r="BO26" s="219"/>
      <c r="BP26" s="219"/>
      <c r="BQ26" s="219"/>
      <c r="BR26" s="219"/>
      <c r="BS26" s="219"/>
      <c r="BT26" s="219"/>
      <c r="BU26" s="219">
        <f t="shared" si="0"/>
        <v>0</v>
      </c>
      <c r="BV26" s="219"/>
      <c r="BW26" s="219"/>
      <c r="BX26" s="219"/>
      <c r="BY26" s="219"/>
      <c r="BZ26" s="219"/>
      <c r="CA26" s="219"/>
      <c r="CB26" s="219"/>
      <c r="CC26" s="219"/>
      <c r="CD26" s="219">
        <f t="shared" si="1"/>
        <v>0</v>
      </c>
      <c r="CE26" s="219"/>
      <c r="CF26" s="219"/>
      <c r="CG26" s="219"/>
      <c r="CH26" s="219"/>
      <c r="CI26" s="219"/>
      <c r="CJ26" s="219"/>
      <c r="CK26" s="219"/>
      <c r="CL26" s="219"/>
      <c r="CM26" s="219">
        <f t="shared" si="2"/>
        <v>0</v>
      </c>
      <c r="CN26" s="219"/>
      <c r="CO26" s="219"/>
      <c r="CP26" s="219"/>
      <c r="CQ26" s="219"/>
      <c r="CR26" s="219"/>
      <c r="CS26" s="219"/>
      <c r="CT26" s="219"/>
      <c r="CU26" s="219"/>
      <c r="CV26" s="219">
        <f t="shared" si="3"/>
        <v>0</v>
      </c>
      <c r="CW26" s="219"/>
      <c r="CX26" s="219"/>
      <c r="CY26" s="219"/>
      <c r="CZ26" s="219"/>
      <c r="DA26" s="219"/>
      <c r="DB26" s="219"/>
      <c r="DC26" s="219"/>
      <c r="DD26" s="219"/>
      <c r="DE26" s="219">
        <f t="shared" si="4"/>
        <v>0</v>
      </c>
      <c r="DF26" s="222"/>
      <c r="DG26" s="222"/>
      <c r="DH26" s="222"/>
      <c r="DI26" s="222"/>
      <c r="DJ26" s="222"/>
      <c r="DK26" s="222"/>
      <c r="DL26" s="222"/>
      <c r="DM26" s="222"/>
      <c r="DN26" s="219">
        <f t="shared" si="5"/>
        <v>0</v>
      </c>
      <c r="DO26" s="160">
        <f t="shared" si="10"/>
        <v>38</v>
      </c>
      <c r="DP26" s="161"/>
    </row>
    <row r="27" spans="2:120" ht="287.25" hidden="1" customHeight="1">
      <c r="B27" s="546" t="s">
        <v>230</v>
      </c>
      <c r="C27" s="546" t="s">
        <v>231</v>
      </c>
      <c r="D27" s="548" t="s">
        <v>78</v>
      </c>
      <c r="E27" s="549"/>
      <c r="F27" s="546" t="s">
        <v>13</v>
      </c>
      <c r="G27" s="546">
        <v>272</v>
      </c>
      <c r="H27" s="552" t="s">
        <v>232</v>
      </c>
      <c r="I27" s="548">
        <v>225</v>
      </c>
      <c r="J27" s="158" t="s">
        <v>72</v>
      </c>
      <c r="K27" s="568">
        <v>10</v>
      </c>
      <c r="L27" s="569"/>
      <c r="M27" s="569"/>
      <c r="N27" s="569"/>
      <c r="O27" s="569"/>
      <c r="P27" s="569"/>
      <c r="Q27" s="569"/>
      <c r="R27" s="570"/>
      <c r="S27" s="218">
        <f t="shared" si="6"/>
        <v>10</v>
      </c>
      <c r="T27" s="357">
        <v>10</v>
      </c>
      <c r="U27" s="358"/>
      <c r="V27" s="358"/>
      <c r="W27" s="358"/>
      <c r="X27" s="358"/>
      <c r="Y27" s="358"/>
      <c r="Z27" s="358"/>
      <c r="AA27" s="359"/>
      <c r="AB27" s="159">
        <f t="shared" si="11"/>
        <v>10</v>
      </c>
      <c r="AC27" s="557">
        <v>22</v>
      </c>
      <c r="AD27" s="558"/>
      <c r="AE27" s="558"/>
      <c r="AF27" s="558"/>
      <c r="AG27" s="558"/>
      <c r="AH27" s="558"/>
      <c r="AI27" s="558"/>
      <c r="AJ27" s="559"/>
      <c r="AK27" s="219">
        <f t="shared" si="12"/>
        <v>22</v>
      </c>
      <c r="AL27" s="560">
        <v>22</v>
      </c>
      <c r="AM27" s="558"/>
      <c r="AN27" s="558"/>
      <c r="AO27" s="558"/>
      <c r="AP27" s="558"/>
      <c r="AQ27" s="558"/>
      <c r="AR27" s="558"/>
      <c r="AS27" s="559"/>
      <c r="AT27" s="219">
        <f t="shared" si="7"/>
        <v>22</v>
      </c>
      <c r="AU27" s="560">
        <v>22</v>
      </c>
      <c r="AV27" s="558"/>
      <c r="AW27" s="558"/>
      <c r="AX27" s="558"/>
      <c r="AY27" s="558"/>
      <c r="AZ27" s="558"/>
      <c r="BA27" s="558"/>
      <c r="BB27" s="559"/>
      <c r="BC27" s="219">
        <f t="shared" si="8"/>
        <v>22</v>
      </c>
      <c r="BD27" s="560">
        <v>22</v>
      </c>
      <c r="BE27" s="558"/>
      <c r="BF27" s="558"/>
      <c r="BG27" s="558"/>
      <c r="BH27" s="558"/>
      <c r="BI27" s="558"/>
      <c r="BJ27" s="558"/>
      <c r="BK27" s="559"/>
      <c r="BL27" s="219">
        <f t="shared" si="9"/>
        <v>22</v>
      </c>
      <c r="BM27" s="560">
        <v>22</v>
      </c>
      <c r="BN27" s="558"/>
      <c r="BO27" s="558"/>
      <c r="BP27" s="558"/>
      <c r="BQ27" s="558"/>
      <c r="BR27" s="558"/>
      <c r="BS27" s="558"/>
      <c r="BT27" s="559"/>
      <c r="BU27" s="219">
        <f t="shared" si="0"/>
        <v>22</v>
      </c>
      <c r="BV27" s="560">
        <v>28</v>
      </c>
      <c r="BW27" s="558"/>
      <c r="BX27" s="558"/>
      <c r="BY27" s="558"/>
      <c r="BZ27" s="558"/>
      <c r="CA27" s="558"/>
      <c r="CB27" s="558"/>
      <c r="CC27" s="559"/>
      <c r="CD27" s="219">
        <f t="shared" si="1"/>
        <v>28</v>
      </c>
      <c r="CE27" s="560">
        <v>25</v>
      </c>
      <c r="CF27" s="558"/>
      <c r="CG27" s="558"/>
      <c r="CH27" s="558"/>
      <c r="CI27" s="558"/>
      <c r="CJ27" s="558"/>
      <c r="CK27" s="558"/>
      <c r="CL27" s="559"/>
      <c r="CM27" s="219">
        <f t="shared" si="2"/>
        <v>25</v>
      </c>
      <c r="CN27" s="560">
        <v>22</v>
      </c>
      <c r="CO27" s="558"/>
      <c r="CP27" s="558"/>
      <c r="CQ27" s="558"/>
      <c r="CR27" s="558"/>
      <c r="CS27" s="558"/>
      <c r="CT27" s="558"/>
      <c r="CU27" s="559"/>
      <c r="CV27" s="219">
        <f t="shared" si="3"/>
        <v>22</v>
      </c>
      <c r="CW27" s="560">
        <v>10</v>
      </c>
      <c r="CX27" s="558"/>
      <c r="CY27" s="558"/>
      <c r="CZ27" s="558"/>
      <c r="DA27" s="558"/>
      <c r="DB27" s="558"/>
      <c r="DC27" s="558"/>
      <c r="DD27" s="559"/>
      <c r="DE27" s="219">
        <f t="shared" si="4"/>
        <v>10</v>
      </c>
      <c r="DF27" s="560">
        <v>10</v>
      </c>
      <c r="DG27" s="558"/>
      <c r="DH27" s="558"/>
      <c r="DI27" s="558"/>
      <c r="DJ27" s="558"/>
      <c r="DK27" s="558"/>
      <c r="DL27" s="558"/>
      <c r="DM27" s="559"/>
      <c r="DN27" s="219">
        <f t="shared" si="5"/>
        <v>10</v>
      </c>
      <c r="DO27" s="160">
        <f t="shared" si="10"/>
        <v>225</v>
      </c>
      <c r="DP27" s="161"/>
    </row>
    <row r="28" spans="2:120" ht="287.25" customHeight="1">
      <c r="B28" s="563"/>
      <c r="C28" s="563"/>
      <c r="D28" s="550"/>
      <c r="E28" s="551"/>
      <c r="F28" s="547"/>
      <c r="G28" s="547"/>
      <c r="H28" s="553"/>
      <c r="I28" s="550"/>
      <c r="J28" s="141" t="s">
        <v>73</v>
      </c>
      <c r="K28" s="65">
        <v>0</v>
      </c>
      <c r="L28" s="65">
        <v>4</v>
      </c>
      <c r="M28" s="65">
        <v>1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220">
        <f t="shared" si="6"/>
        <v>5</v>
      </c>
      <c r="T28" s="159">
        <v>0</v>
      </c>
      <c r="U28" s="159">
        <v>0</v>
      </c>
      <c r="V28" s="159">
        <v>3</v>
      </c>
      <c r="W28" s="159">
        <v>2</v>
      </c>
      <c r="X28" s="159">
        <v>0</v>
      </c>
      <c r="Y28" s="159">
        <v>0</v>
      </c>
      <c r="Z28" s="159">
        <v>0</v>
      </c>
      <c r="AA28" s="159">
        <v>0</v>
      </c>
      <c r="AB28" s="159">
        <v>5</v>
      </c>
      <c r="AC28" s="221">
        <v>4</v>
      </c>
      <c r="AD28" s="221">
        <v>5</v>
      </c>
      <c r="AE28" s="221">
        <v>6</v>
      </c>
      <c r="AF28" s="221">
        <v>1</v>
      </c>
      <c r="AG28" s="221">
        <v>0</v>
      </c>
      <c r="AH28" s="221">
        <v>0</v>
      </c>
      <c r="AI28" s="221">
        <v>0</v>
      </c>
      <c r="AJ28" s="221">
        <v>0</v>
      </c>
      <c r="AK28" s="219">
        <v>16</v>
      </c>
      <c r="AL28" s="219">
        <v>3</v>
      </c>
      <c r="AM28" s="219">
        <v>2</v>
      </c>
      <c r="AN28" s="219">
        <v>4</v>
      </c>
      <c r="AO28" s="219">
        <v>3</v>
      </c>
      <c r="AP28" s="219">
        <v>0</v>
      </c>
      <c r="AQ28" s="219">
        <v>0</v>
      </c>
      <c r="AR28" s="219">
        <v>0</v>
      </c>
      <c r="AS28" s="219">
        <v>0</v>
      </c>
      <c r="AT28" s="219">
        <f t="shared" si="7"/>
        <v>12</v>
      </c>
      <c r="AU28" s="219">
        <v>5</v>
      </c>
      <c r="AV28" s="219">
        <v>6</v>
      </c>
      <c r="AW28" s="219">
        <v>8</v>
      </c>
      <c r="AX28" s="219">
        <v>8</v>
      </c>
      <c r="AY28" s="219">
        <v>0</v>
      </c>
      <c r="AZ28" s="219">
        <v>0</v>
      </c>
      <c r="BA28" s="219">
        <v>0</v>
      </c>
      <c r="BB28" s="219">
        <v>0</v>
      </c>
      <c r="BC28" s="219">
        <f t="shared" si="8"/>
        <v>27</v>
      </c>
      <c r="BD28" s="219">
        <v>3</v>
      </c>
      <c r="BE28" s="219">
        <v>6</v>
      </c>
      <c r="BF28" s="219">
        <v>5</v>
      </c>
      <c r="BG28" s="219">
        <v>3</v>
      </c>
      <c r="BH28" s="219">
        <v>0</v>
      </c>
      <c r="BI28" s="219">
        <v>0</v>
      </c>
      <c r="BJ28" s="219">
        <v>0</v>
      </c>
      <c r="BK28" s="219">
        <v>0</v>
      </c>
      <c r="BL28" s="219">
        <f t="shared" si="9"/>
        <v>17</v>
      </c>
      <c r="BM28" s="219"/>
      <c r="BN28" s="219"/>
      <c r="BO28" s="219"/>
      <c r="BP28" s="219"/>
      <c r="BQ28" s="219"/>
      <c r="BR28" s="219"/>
      <c r="BS28" s="219"/>
      <c r="BT28" s="219"/>
      <c r="BU28" s="219">
        <f t="shared" si="0"/>
        <v>0</v>
      </c>
      <c r="BV28" s="219"/>
      <c r="BW28" s="219"/>
      <c r="BX28" s="219"/>
      <c r="BY28" s="219"/>
      <c r="BZ28" s="219"/>
      <c r="CA28" s="219"/>
      <c r="CB28" s="219"/>
      <c r="CC28" s="219"/>
      <c r="CD28" s="219">
        <f t="shared" si="1"/>
        <v>0</v>
      </c>
      <c r="CE28" s="219"/>
      <c r="CF28" s="219"/>
      <c r="CG28" s="219"/>
      <c r="CH28" s="219"/>
      <c r="CI28" s="219"/>
      <c r="CJ28" s="219"/>
      <c r="CK28" s="219"/>
      <c r="CL28" s="219"/>
      <c r="CM28" s="219">
        <f t="shared" si="2"/>
        <v>0</v>
      </c>
      <c r="CN28" s="219"/>
      <c r="CO28" s="219"/>
      <c r="CP28" s="219"/>
      <c r="CQ28" s="219"/>
      <c r="CR28" s="219"/>
      <c r="CS28" s="219"/>
      <c r="CT28" s="219"/>
      <c r="CU28" s="219"/>
      <c r="CV28" s="219">
        <f t="shared" si="3"/>
        <v>0</v>
      </c>
      <c r="CW28" s="219"/>
      <c r="CX28" s="219"/>
      <c r="CY28" s="219"/>
      <c r="CZ28" s="219"/>
      <c r="DA28" s="219"/>
      <c r="DB28" s="219"/>
      <c r="DC28" s="219"/>
      <c r="DD28" s="219"/>
      <c r="DE28" s="219">
        <f t="shared" si="4"/>
        <v>0</v>
      </c>
      <c r="DF28" s="222"/>
      <c r="DG28" s="222"/>
      <c r="DH28" s="222"/>
      <c r="DI28" s="222"/>
      <c r="DJ28" s="222"/>
      <c r="DK28" s="222"/>
      <c r="DL28" s="222"/>
      <c r="DM28" s="222"/>
      <c r="DN28" s="219">
        <f t="shared" si="5"/>
        <v>0</v>
      </c>
      <c r="DO28" s="160">
        <f t="shared" si="10"/>
        <v>82</v>
      </c>
      <c r="DP28" s="161"/>
    </row>
    <row r="29" spans="2:120" ht="287.25" hidden="1" customHeight="1">
      <c r="B29" s="546" t="s">
        <v>230</v>
      </c>
      <c r="C29" s="546" t="s">
        <v>231</v>
      </c>
      <c r="D29" s="548" t="s">
        <v>78</v>
      </c>
      <c r="E29" s="549"/>
      <c r="F29" s="546" t="s">
        <v>13</v>
      </c>
      <c r="G29" s="546">
        <v>166</v>
      </c>
      <c r="H29" s="552" t="s">
        <v>233</v>
      </c>
      <c r="I29" s="548">
        <v>225</v>
      </c>
      <c r="J29" s="138" t="s">
        <v>72</v>
      </c>
      <c r="K29" s="223">
        <v>37</v>
      </c>
      <c r="L29" s="224"/>
      <c r="M29" s="224"/>
      <c r="N29" s="224"/>
      <c r="O29" s="224"/>
      <c r="P29" s="224"/>
      <c r="Q29" s="224"/>
      <c r="R29" s="224"/>
      <c r="S29" s="220">
        <f t="shared" si="6"/>
        <v>37</v>
      </c>
      <c r="T29" s="357">
        <v>15</v>
      </c>
      <c r="U29" s="358"/>
      <c r="V29" s="358"/>
      <c r="W29" s="358"/>
      <c r="X29" s="358"/>
      <c r="Y29" s="358"/>
      <c r="Z29" s="358"/>
      <c r="AA29" s="359"/>
      <c r="AB29" s="159">
        <f t="shared" si="11"/>
        <v>15</v>
      </c>
      <c r="AC29" s="557">
        <v>15</v>
      </c>
      <c r="AD29" s="558"/>
      <c r="AE29" s="558"/>
      <c r="AF29" s="558"/>
      <c r="AG29" s="558"/>
      <c r="AH29" s="558"/>
      <c r="AI29" s="558"/>
      <c r="AJ29" s="559"/>
      <c r="AK29" s="219">
        <f t="shared" si="12"/>
        <v>15</v>
      </c>
      <c r="AL29" s="560">
        <v>15</v>
      </c>
      <c r="AM29" s="558"/>
      <c r="AN29" s="558"/>
      <c r="AO29" s="558"/>
      <c r="AP29" s="558"/>
      <c r="AQ29" s="558"/>
      <c r="AR29" s="558"/>
      <c r="AS29" s="559"/>
      <c r="AT29" s="219">
        <f t="shared" si="7"/>
        <v>15</v>
      </c>
      <c r="AU29" s="560">
        <v>20</v>
      </c>
      <c r="AV29" s="558"/>
      <c r="AW29" s="558"/>
      <c r="AX29" s="558"/>
      <c r="AY29" s="558"/>
      <c r="AZ29" s="558"/>
      <c r="BA29" s="558"/>
      <c r="BB29" s="559"/>
      <c r="BC29" s="219">
        <f t="shared" si="8"/>
        <v>20</v>
      </c>
      <c r="BD29" s="560">
        <v>15</v>
      </c>
      <c r="BE29" s="558"/>
      <c r="BF29" s="558"/>
      <c r="BG29" s="558"/>
      <c r="BH29" s="558"/>
      <c r="BI29" s="558"/>
      <c r="BJ29" s="558"/>
      <c r="BK29" s="559"/>
      <c r="BL29" s="219">
        <f t="shared" si="9"/>
        <v>15</v>
      </c>
      <c r="BM29" s="560">
        <v>22</v>
      </c>
      <c r="BN29" s="558"/>
      <c r="BO29" s="558"/>
      <c r="BP29" s="558"/>
      <c r="BQ29" s="558"/>
      <c r="BR29" s="558"/>
      <c r="BS29" s="558"/>
      <c r="BT29" s="559"/>
      <c r="BU29" s="219">
        <f t="shared" si="0"/>
        <v>22</v>
      </c>
      <c r="BV29" s="560">
        <v>22</v>
      </c>
      <c r="BW29" s="558"/>
      <c r="BX29" s="558"/>
      <c r="BY29" s="558"/>
      <c r="BZ29" s="558"/>
      <c r="CA29" s="558"/>
      <c r="CB29" s="558"/>
      <c r="CC29" s="559"/>
      <c r="CD29" s="219">
        <f t="shared" si="1"/>
        <v>22</v>
      </c>
      <c r="CE29" s="560">
        <v>18</v>
      </c>
      <c r="CF29" s="558"/>
      <c r="CG29" s="558"/>
      <c r="CH29" s="558"/>
      <c r="CI29" s="558"/>
      <c r="CJ29" s="558"/>
      <c r="CK29" s="558"/>
      <c r="CL29" s="559"/>
      <c r="CM29" s="219">
        <f t="shared" si="2"/>
        <v>18</v>
      </c>
      <c r="CN29" s="560">
        <v>12</v>
      </c>
      <c r="CO29" s="558"/>
      <c r="CP29" s="558"/>
      <c r="CQ29" s="558"/>
      <c r="CR29" s="558"/>
      <c r="CS29" s="558"/>
      <c r="CT29" s="558"/>
      <c r="CU29" s="559"/>
      <c r="CV29" s="219">
        <f t="shared" si="3"/>
        <v>12</v>
      </c>
      <c r="CW29" s="560">
        <v>17</v>
      </c>
      <c r="CX29" s="558"/>
      <c r="CY29" s="558"/>
      <c r="CZ29" s="558"/>
      <c r="DA29" s="558"/>
      <c r="DB29" s="558"/>
      <c r="DC29" s="558"/>
      <c r="DD29" s="559"/>
      <c r="DE29" s="219">
        <f t="shared" si="4"/>
        <v>17</v>
      </c>
      <c r="DF29" s="560">
        <v>17</v>
      </c>
      <c r="DG29" s="558"/>
      <c r="DH29" s="558"/>
      <c r="DI29" s="558"/>
      <c r="DJ29" s="558"/>
      <c r="DK29" s="558"/>
      <c r="DL29" s="558"/>
      <c r="DM29" s="559"/>
      <c r="DN29" s="219">
        <f t="shared" si="5"/>
        <v>17</v>
      </c>
      <c r="DO29" s="160">
        <f t="shared" si="10"/>
        <v>225</v>
      </c>
      <c r="DP29" s="161"/>
    </row>
    <row r="30" spans="2:120" ht="287.25" customHeight="1">
      <c r="B30" s="563"/>
      <c r="C30" s="563"/>
      <c r="D30" s="550"/>
      <c r="E30" s="551"/>
      <c r="F30" s="547"/>
      <c r="G30" s="547"/>
      <c r="H30" s="553"/>
      <c r="I30" s="550"/>
      <c r="J30" s="141" t="s">
        <v>73</v>
      </c>
      <c r="K30" s="65">
        <v>0</v>
      </c>
      <c r="L30" s="65">
        <v>4</v>
      </c>
      <c r="M30" s="65">
        <v>1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220">
        <f t="shared" si="6"/>
        <v>5</v>
      </c>
      <c r="T30" s="159">
        <v>0</v>
      </c>
      <c r="U30" s="159">
        <v>0</v>
      </c>
      <c r="V30" s="159">
        <v>3</v>
      </c>
      <c r="W30" s="159">
        <v>2</v>
      </c>
      <c r="X30" s="159">
        <v>0</v>
      </c>
      <c r="Y30" s="159">
        <v>0</v>
      </c>
      <c r="Z30" s="159">
        <v>0</v>
      </c>
      <c r="AA30" s="159">
        <v>0</v>
      </c>
      <c r="AB30" s="159">
        <v>5</v>
      </c>
      <c r="AC30" s="221">
        <v>2</v>
      </c>
      <c r="AD30" s="221">
        <v>5</v>
      </c>
      <c r="AE30" s="221">
        <v>3</v>
      </c>
      <c r="AF30" s="221">
        <v>3</v>
      </c>
      <c r="AG30" s="221">
        <v>0</v>
      </c>
      <c r="AH30" s="221">
        <v>0</v>
      </c>
      <c r="AI30" s="221">
        <v>0</v>
      </c>
      <c r="AJ30" s="221">
        <v>0</v>
      </c>
      <c r="AK30" s="219">
        <f>SUM(AC30:AJ30)</f>
        <v>13</v>
      </c>
      <c r="AL30" s="219">
        <v>6</v>
      </c>
      <c r="AM30" s="219">
        <v>2</v>
      </c>
      <c r="AN30" s="219">
        <v>2</v>
      </c>
      <c r="AO30" s="219">
        <v>0</v>
      </c>
      <c r="AP30" s="219">
        <v>0</v>
      </c>
      <c r="AQ30" s="219">
        <v>0</v>
      </c>
      <c r="AR30" s="219">
        <v>0</v>
      </c>
      <c r="AS30" s="219">
        <v>0</v>
      </c>
      <c r="AT30" s="219">
        <f t="shared" si="7"/>
        <v>10</v>
      </c>
      <c r="AU30" s="219">
        <v>4</v>
      </c>
      <c r="AV30" s="219">
        <v>5</v>
      </c>
      <c r="AW30" s="219">
        <v>10</v>
      </c>
      <c r="AX30" s="219">
        <v>8</v>
      </c>
      <c r="AY30" s="219">
        <v>0</v>
      </c>
      <c r="AZ30" s="219">
        <v>0</v>
      </c>
      <c r="BA30" s="219">
        <v>0</v>
      </c>
      <c r="BB30" s="219">
        <v>0</v>
      </c>
      <c r="BC30" s="219">
        <f t="shared" si="8"/>
        <v>27</v>
      </c>
      <c r="BD30" s="219">
        <v>3</v>
      </c>
      <c r="BE30" s="219">
        <v>6</v>
      </c>
      <c r="BF30" s="219">
        <v>4</v>
      </c>
      <c r="BG30" s="219">
        <v>3</v>
      </c>
      <c r="BH30" s="219">
        <v>0</v>
      </c>
      <c r="BI30" s="219">
        <v>0</v>
      </c>
      <c r="BJ30" s="219">
        <v>0</v>
      </c>
      <c r="BK30" s="219">
        <v>0</v>
      </c>
      <c r="BL30" s="219">
        <f t="shared" si="9"/>
        <v>16</v>
      </c>
      <c r="BM30" s="219"/>
      <c r="BN30" s="219"/>
      <c r="BO30" s="219"/>
      <c r="BP30" s="219"/>
      <c r="BQ30" s="219"/>
      <c r="BR30" s="219"/>
      <c r="BS30" s="219"/>
      <c r="BT30" s="219"/>
      <c r="BU30" s="219">
        <f t="shared" si="0"/>
        <v>0</v>
      </c>
      <c r="BV30" s="219"/>
      <c r="BW30" s="219"/>
      <c r="BX30" s="219"/>
      <c r="BY30" s="219"/>
      <c r="BZ30" s="219"/>
      <c r="CA30" s="219"/>
      <c r="CB30" s="219"/>
      <c r="CC30" s="219"/>
      <c r="CD30" s="219">
        <f t="shared" si="1"/>
        <v>0</v>
      </c>
      <c r="CE30" s="219"/>
      <c r="CF30" s="219"/>
      <c r="CG30" s="219"/>
      <c r="CH30" s="219"/>
      <c r="CI30" s="219"/>
      <c r="CJ30" s="219"/>
      <c r="CK30" s="219"/>
      <c r="CL30" s="219"/>
      <c r="CM30" s="219">
        <f t="shared" si="2"/>
        <v>0</v>
      </c>
      <c r="CN30" s="219"/>
      <c r="CO30" s="219"/>
      <c r="CP30" s="219"/>
      <c r="CQ30" s="219"/>
      <c r="CR30" s="219"/>
      <c r="CS30" s="219"/>
      <c r="CT30" s="219"/>
      <c r="CU30" s="219"/>
      <c r="CV30" s="219">
        <f t="shared" si="3"/>
        <v>0</v>
      </c>
      <c r="CW30" s="219"/>
      <c r="CX30" s="219"/>
      <c r="CY30" s="219"/>
      <c r="CZ30" s="219"/>
      <c r="DA30" s="219"/>
      <c r="DB30" s="219"/>
      <c r="DC30" s="219"/>
      <c r="DD30" s="219"/>
      <c r="DE30" s="219">
        <f t="shared" si="4"/>
        <v>0</v>
      </c>
      <c r="DF30" s="222"/>
      <c r="DG30" s="222"/>
      <c r="DH30" s="222"/>
      <c r="DI30" s="222"/>
      <c r="DJ30" s="222"/>
      <c r="DK30" s="222"/>
      <c r="DL30" s="222"/>
      <c r="DM30" s="222"/>
      <c r="DN30" s="219">
        <f t="shared" si="5"/>
        <v>0</v>
      </c>
      <c r="DO30" s="160">
        <f t="shared" si="10"/>
        <v>76</v>
      </c>
      <c r="DP30" s="161"/>
    </row>
    <row r="31" spans="2:120" ht="287.25" hidden="1" customHeight="1">
      <c r="B31" s="546" t="s">
        <v>230</v>
      </c>
      <c r="C31" s="546" t="s">
        <v>231</v>
      </c>
      <c r="D31" s="548" t="s">
        <v>78</v>
      </c>
      <c r="E31" s="549"/>
      <c r="F31" s="546" t="s">
        <v>13</v>
      </c>
      <c r="G31" s="546">
        <v>341</v>
      </c>
      <c r="H31" s="552" t="s">
        <v>234</v>
      </c>
      <c r="I31" s="548">
        <v>450</v>
      </c>
      <c r="J31" s="138" t="s">
        <v>72</v>
      </c>
      <c r="K31" s="225">
        <v>48</v>
      </c>
      <c r="L31" s="226"/>
      <c r="M31" s="226"/>
      <c r="N31" s="226"/>
      <c r="O31" s="226"/>
      <c r="P31" s="226"/>
      <c r="Q31" s="226"/>
      <c r="R31" s="226"/>
      <c r="S31" s="220">
        <f t="shared" si="6"/>
        <v>48</v>
      </c>
      <c r="T31" s="357">
        <v>32</v>
      </c>
      <c r="U31" s="358"/>
      <c r="V31" s="358"/>
      <c r="W31" s="358"/>
      <c r="X31" s="358"/>
      <c r="Y31" s="358"/>
      <c r="Z31" s="358"/>
      <c r="AA31" s="359"/>
      <c r="AB31" s="159">
        <f t="shared" si="11"/>
        <v>32</v>
      </c>
      <c r="AC31" s="557">
        <v>32</v>
      </c>
      <c r="AD31" s="558"/>
      <c r="AE31" s="558"/>
      <c r="AF31" s="558"/>
      <c r="AG31" s="558"/>
      <c r="AH31" s="558"/>
      <c r="AI31" s="558"/>
      <c r="AJ31" s="559"/>
      <c r="AK31" s="219">
        <f t="shared" si="12"/>
        <v>32</v>
      </c>
      <c r="AL31" s="560">
        <v>33</v>
      </c>
      <c r="AM31" s="558"/>
      <c r="AN31" s="558"/>
      <c r="AO31" s="558"/>
      <c r="AP31" s="558"/>
      <c r="AQ31" s="558"/>
      <c r="AR31" s="558"/>
      <c r="AS31" s="559"/>
      <c r="AT31" s="219">
        <f t="shared" si="7"/>
        <v>33</v>
      </c>
      <c r="AU31" s="560">
        <v>32</v>
      </c>
      <c r="AV31" s="558"/>
      <c r="AW31" s="558"/>
      <c r="AX31" s="558"/>
      <c r="AY31" s="558"/>
      <c r="AZ31" s="558"/>
      <c r="BA31" s="558"/>
      <c r="BB31" s="559"/>
      <c r="BC31" s="219">
        <f t="shared" si="8"/>
        <v>32</v>
      </c>
      <c r="BD31" s="560">
        <v>36</v>
      </c>
      <c r="BE31" s="558"/>
      <c r="BF31" s="558"/>
      <c r="BG31" s="558"/>
      <c r="BH31" s="558"/>
      <c r="BI31" s="558"/>
      <c r="BJ31" s="558"/>
      <c r="BK31" s="559"/>
      <c r="BL31" s="219">
        <f t="shared" si="9"/>
        <v>36</v>
      </c>
      <c r="BM31" s="560">
        <v>36</v>
      </c>
      <c r="BN31" s="558"/>
      <c r="BO31" s="558"/>
      <c r="BP31" s="558"/>
      <c r="BQ31" s="558"/>
      <c r="BR31" s="558"/>
      <c r="BS31" s="558"/>
      <c r="BT31" s="559"/>
      <c r="BU31" s="219">
        <f t="shared" si="0"/>
        <v>36</v>
      </c>
      <c r="BV31" s="560">
        <v>60</v>
      </c>
      <c r="BW31" s="558"/>
      <c r="BX31" s="558"/>
      <c r="BY31" s="558"/>
      <c r="BZ31" s="558"/>
      <c r="CA31" s="558"/>
      <c r="CB31" s="558"/>
      <c r="CC31" s="559"/>
      <c r="CD31" s="219">
        <f t="shared" si="1"/>
        <v>60</v>
      </c>
      <c r="CE31" s="560">
        <v>35</v>
      </c>
      <c r="CF31" s="558"/>
      <c r="CG31" s="558"/>
      <c r="CH31" s="558"/>
      <c r="CI31" s="558"/>
      <c r="CJ31" s="558"/>
      <c r="CK31" s="558"/>
      <c r="CL31" s="559"/>
      <c r="CM31" s="219">
        <f t="shared" si="2"/>
        <v>35</v>
      </c>
      <c r="CN31" s="560">
        <v>33</v>
      </c>
      <c r="CO31" s="558"/>
      <c r="CP31" s="558"/>
      <c r="CQ31" s="558"/>
      <c r="CR31" s="558"/>
      <c r="CS31" s="558"/>
      <c r="CT31" s="558"/>
      <c r="CU31" s="559"/>
      <c r="CV31" s="219">
        <f t="shared" si="3"/>
        <v>33</v>
      </c>
      <c r="CW31" s="560">
        <v>40</v>
      </c>
      <c r="CX31" s="558"/>
      <c r="CY31" s="558"/>
      <c r="CZ31" s="558"/>
      <c r="DA31" s="558"/>
      <c r="DB31" s="558"/>
      <c r="DC31" s="558"/>
      <c r="DD31" s="559"/>
      <c r="DE31" s="219">
        <f t="shared" si="4"/>
        <v>40</v>
      </c>
      <c r="DF31" s="560">
        <v>33</v>
      </c>
      <c r="DG31" s="558"/>
      <c r="DH31" s="558"/>
      <c r="DI31" s="558"/>
      <c r="DJ31" s="558"/>
      <c r="DK31" s="558"/>
      <c r="DL31" s="558"/>
      <c r="DM31" s="559"/>
      <c r="DN31" s="219">
        <f t="shared" si="5"/>
        <v>33</v>
      </c>
      <c r="DO31" s="160">
        <f t="shared" si="10"/>
        <v>450</v>
      </c>
      <c r="DP31" s="161"/>
    </row>
    <row r="32" spans="2:120" ht="287.25" customHeight="1">
      <c r="B32" s="563"/>
      <c r="C32" s="563"/>
      <c r="D32" s="550"/>
      <c r="E32" s="551"/>
      <c r="F32" s="547"/>
      <c r="G32" s="547"/>
      <c r="H32" s="553"/>
      <c r="I32" s="550"/>
      <c r="J32" s="141" t="s">
        <v>73</v>
      </c>
      <c r="K32" s="65">
        <v>0</v>
      </c>
      <c r="L32" s="65">
        <v>2</v>
      </c>
      <c r="M32" s="65">
        <v>1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7">
        <f t="shared" si="6"/>
        <v>3</v>
      </c>
      <c r="T32" s="228">
        <v>3</v>
      </c>
      <c r="U32" s="159">
        <v>1</v>
      </c>
      <c r="V32" s="159">
        <v>4</v>
      </c>
      <c r="W32" s="159">
        <v>6</v>
      </c>
      <c r="X32" s="159">
        <v>0</v>
      </c>
      <c r="Y32" s="159">
        <v>0</v>
      </c>
      <c r="Z32" s="159">
        <v>0</v>
      </c>
      <c r="AA32" s="159">
        <v>0</v>
      </c>
      <c r="AB32" s="159">
        <v>14</v>
      </c>
      <c r="AC32" s="221">
        <v>4</v>
      </c>
      <c r="AD32" s="221">
        <v>10</v>
      </c>
      <c r="AE32" s="221">
        <v>0</v>
      </c>
      <c r="AF32" s="221">
        <v>3</v>
      </c>
      <c r="AG32" s="221">
        <v>0</v>
      </c>
      <c r="AH32" s="221">
        <v>0</v>
      </c>
      <c r="AI32" s="221">
        <v>0</v>
      </c>
      <c r="AJ32" s="221">
        <v>0</v>
      </c>
      <c r="AK32" s="219">
        <v>17</v>
      </c>
      <c r="AL32" s="219">
        <v>13</v>
      </c>
      <c r="AM32" s="219">
        <v>2</v>
      </c>
      <c r="AN32" s="219">
        <v>4</v>
      </c>
      <c r="AO32" s="219">
        <v>0</v>
      </c>
      <c r="AP32" s="219">
        <v>0</v>
      </c>
      <c r="AQ32" s="219">
        <v>0</v>
      </c>
      <c r="AR32" s="219">
        <v>0</v>
      </c>
      <c r="AS32" s="219">
        <v>0</v>
      </c>
      <c r="AT32" s="219">
        <f t="shared" si="7"/>
        <v>19</v>
      </c>
      <c r="AU32" s="219">
        <v>5</v>
      </c>
      <c r="AV32" s="219">
        <v>7</v>
      </c>
      <c r="AW32" s="219">
        <v>5</v>
      </c>
      <c r="AX32" s="219">
        <v>2</v>
      </c>
      <c r="AY32" s="219">
        <v>0</v>
      </c>
      <c r="AZ32" s="219">
        <v>0</v>
      </c>
      <c r="BA32" s="219">
        <v>0</v>
      </c>
      <c r="BB32" s="219">
        <v>0</v>
      </c>
      <c r="BC32" s="219">
        <f t="shared" si="8"/>
        <v>19</v>
      </c>
      <c r="BD32" s="219">
        <v>3</v>
      </c>
      <c r="BE32" s="219">
        <v>2</v>
      </c>
      <c r="BF32" s="219">
        <v>9</v>
      </c>
      <c r="BG32" s="219">
        <v>1</v>
      </c>
      <c r="BH32" s="219">
        <v>0</v>
      </c>
      <c r="BI32" s="219">
        <v>0</v>
      </c>
      <c r="BJ32" s="219">
        <v>0</v>
      </c>
      <c r="BK32" s="219">
        <v>0</v>
      </c>
      <c r="BL32" s="219">
        <f t="shared" si="9"/>
        <v>15</v>
      </c>
      <c r="BM32" s="219"/>
      <c r="BN32" s="219"/>
      <c r="BO32" s="219"/>
      <c r="BP32" s="219"/>
      <c r="BQ32" s="219"/>
      <c r="BR32" s="219"/>
      <c r="BS32" s="219"/>
      <c r="BT32" s="219"/>
      <c r="BU32" s="219">
        <f t="shared" si="0"/>
        <v>0</v>
      </c>
      <c r="BV32" s="219"/>
      <c r="BW32" s="219"/>
      <c r="BX32" s="219"/>
      <c r="BY32" s="219"/>
      <c r="BZ32" s="219"/>
      <c r="CA32" s="219"/>
      <c r="CB32" s="219"/>
      <c r="CC32" s="219"/>
      <c r="CD32" s="219">
        <f t="shared" si="1"/>
        <v>0</v>
      </c>
      <c r="CE32" s="219"/>
      <c r="CF32" s="219"/>
      <c r="CG32" s="219"/>
      <c r="CH32" s="219"/>
      <c r="CI32" s="219"/>
      <c r="CJ32" s="219"/>
      <c r="CK32" s="219"/>
      <c r="CL32" s="219"/>
      <c r="CM32" s="219">
        <f t="shared" si="2"/>
        <v>0</v>
      </c>
      <c r="CN32" s="219"/>
      <c r="CO32" s="219"/>
      <c r="CP32" s="219"/>
      <c r="CQ32" s="219"/>
      <c r="CR32" s="219"/>
      <c r="CS32" s="219"/>
      <c r="CT32" s="219"/>
      <c r="CU32" s="219"/>
      <c r="CV32" s="219">
        <f t="shared" si="3"/>
        <v>0</v>
      </c>
      <c r="CW32" s="219"/>
      <c r="CX32" s="219"/>
      <c r="CY32" s="219"/>
      <c r="CZ32" s="219"/>
      <c r="DA32" s="219"/>
      <c r="DB32" s="219"/>
      <c r="DC32" s="219"/>
      <c r="DD32" s="219"/>
      <c r="DE32" s="219">
        <f t="shared" si="4"/>
        <v>0</v>
      </c>
      <c r="DF32" s="222"/>
      <c r="DG32" s="222"/>
      <c r="DH32" s="222"/>
      <c r="DI32" s="222"/>
      <c r="DJ32" s="222"/>
      <c r="DK32" s="222"/>
      <c r="DL32" s="222"/>
      <c r="DM32" s="222"/>
      <c r="DN32" s="219">
        <f t="shared" si="5"/>
        <v>0</v>
      </c>
      <c r="DO32" s="160">
        <f t="shared" si="10"/>
        <v>87</v>
      </c>
      <c r="DP32" s="161"/>
    </row>
    <row r="33" spans="2:120" ht="287.25" hidden="1" customHeight="1">
      <c r="B33" s="546" t="s">
        <v>230</v>
      </c>
      <c r="C33" s="546" t="s">
        <v>231</v>
      </c>
      <c r="D33" s="548" t="s">
        <v>78</v>
      </c>
      <c r="E33" s="549"/>
      <c r="F33" s="546" t="s">
        <v>13</v>
      </c>
      <c r="G33" s="546">
        <v>297</v>
      </c>
      <c r="H33" s="552" t="s">
        <v>235</v>
      </c>
      <c r="I33" s="548">
        <v>375</v>
      </c>
      <c r="J33" s="158" t="s">
        <v>72</v>
      </c>
      <c r="K33" s="229">
        <v>50</v>
      </c>
      <c r="L33" s="230"/>
      <c r="M33" s="230"/>
      <c r="N33" s="230"/>
      <c r="O33" s="230"/>
      <c r="P33" s="230"/>
      <c r="Q33" s="230"/>
      <c r="R33" s="231"/>
      <c r="S33" s="218">
        <f t="shared" si="6"/>
        <v>50</v>
      </c>
      <c r="T33" s="357">
        <v>25</v>
      </c>
      <c r="U33" s="358"/>
      <c r="V33" s="358"/>
      <c r="W33" s="358"/>
      <c r="X33" s="358"/>
      <c r="Y33" s="358"/>
      <c r="Z33" s="358"/>
      <c r="AA33" s="359"/>
      <c r="AB33" s="159">
        <f t="shared" si="11"/>
        <v>25</v>
      </c>
      <c r="AC33" s="557">
        <v>30</v>
      </c>
      <c r="AD33" s="558"/>
      <c r="AE33" s="558"/>
      <c r="AF33" s="558"/>
      <c r="AG33" s="558"/>
      <c r="AH33" s="558"/>
      <c r="AI33" s="558"/>
      <c r="AJ33" s="559"/>
      <c r="AK33" s="219">
        <f t="shared" si="12"/>
        <v>30</v>
      </c>
      <c r="AL33" s="560">
        <v>30</v>
      </c>
      <c r="AM33" s="558"/>
      <c r="AN33" s="558"/>
      <c r="AO33" s="558"/>
      <c r="AP33" s="558"/>
      <c r="AQ33" s="558"/>
      <c r="AR33" s="558"/>
      <c r="AS33" s="559"/>
      <c r="AT33" s="219">
        <f t="shared" si="7"/>
        <v>30</v>
      </c>
      <c r="AU33" s="560">
        <v>30</v>
      </c>
      <c r="AV33" s="558"/>
      <c r="AW33" s="558"/>
      <c r="AX33" s="558"/>
      <c r="AY33" s="558"/>
      <c r="AZ33" s="558"/>
      <c r="BA33" s="558"/>
      <c r="BB33" s="559"/>
      <c r="BC33" s="219">
        <f t="shared" si="8"/>
        <v>30</v>
      </c>
      <c r="BD33" s="560">
        <v>30</v>
      </c>
      <c r="BE33" s="558"/>
      <c r="BF33" s="558"/>
      <c r="BG33" s="558"/>
      <c r="BH33" s="558"/>
      <c r="BI33" s="558"/>
      <c r="BJ33" s="558"/>
      <c r="BK33" s="559"/>
      <c r="BL33" s="219">
        <f t="shared" si="9"/>
        <v>30</v>
      </c>
      <c r="BM33" s="560">
        <v>30</v>
      </c>
      <c r="BN33" s="558"/>
      <c r="BO33" s="558"/>
      <c r="BP33" s="558"/>
      <c r="BQ33" s="558"/>
      <c r="BR33" s="558"/>
      <c r="BS33" s="558"/>
      <c r="BT33" s="559"/>
      <c r="BU33" s="219">
        <f t="shared" si="0"/>
        <v>30</v>
      </c>
      <c r="BV33" s="560">
        <v>30</v>
      </c>
      <c r="BW33" s="558"/>
      <c r="BX33" s="558"/>
      <c r="BY33" s="558"/>
      <c r="BZ33" s="558"/>
      <c r="CA33" s="558"/>
      <c r="CB33" s="558"/>
      <c r="CC33" s="559"/>
      <c r="CD33" s="219">
        <f t="shared" si="1"/>
        <v>30</v>
      </c>
      <c r="CE33" s="560">
        <v>30</v>
      </c>
      <c r="CF33" s="558"/>
      <c r="CG33" s="558"/>
      <c r="CH33" s="558"/>
      <c r="CI33" s="558"/>
      <c r="CJ33" s="558"/>
      <c r="CK33" s="558"/>
      <c r="CL33" s="559"/>
      <c r="CM33" s="219">
        <f t="shared" si="2"/>
        <v>30</v>
      </c>
      <c r="CN33" s="560">
        <v>30</v>
      </c>
      <c r="CO33" s="558"/>
      <c r="CP33" s="558"/>
      <c r="CQ33" s="558"/>
      <c r="CR33" s="558"/>
      <c r="CS33" s="558"/>
      <c r="CT33" s="558"/>
      <c r="CU33" s="559"/>
      <c r="CV33" s="219">
        <f t="shared" si="3"/>
        <v>30</v>
      </c>
      <c r="CW33" s="560">
        <v>30</v>
      </c>
      <c r="CX33" s="558"/>
      <c r="CY33" s="558"/>
      <c r="CZ33" s="558"/>
      <c r="DA33" s="558"/>
      <c r="DB33" s="558"/>
      <c r="DC33" s="558"/>
      <c r="DD33" s="559"/>
      <c r="DE33" s="219">
        <f t="shared" si="4"/>
        <v>30</v>
      </c>
      <c r="DF33" s="560">
        <v>30</v>
      </c>
      <c r="DG33" s="558"/>
      <c r="DH33" s="558"/>
      <c r="DI33" s="558"/>
      <c r="DJ33" s="558"/>
      <c r="DK33" s="558"/>
      <c r="DL33" s="558"/>
      <c r="DM33" s="559"/>
      <c r="DN33" s="219">
        <f t="shared" si="5"/>
        <v>30</v>
      </c>
      <c r="DO33" s="160">
        <f t="shared" si="10"/>
        <v>375</v>
      </c>
      <c r="DP33" s="161"/>
    </row>
    <row r="34" spans="2:120" ht="287.25" customHeight="1">
      <c r="B34" s="563"/>
      <c r="C34" s="563"/>
      <c r="D34" s="550"/>
      <c r="E34" s="551"/>
      <c r="F34" s="547"/>
      <c r="G34" s="547"/>
      <c r="H34" s="553"/>
      <c r="I34" s="550"/>
      <c r="J34" s="162" t="s">
        <v>73</v>
      </c>
      <c r="K34" s="220">
        <v>2</v>
      </c>
      <c r="L34" s="218">
        <v>2</v>
      </c>
      <c r="M34" s="218">
        <v>3</v>
      </c>
      <c r="N34" s="218">
        <v>1</v>
      </c>
      <c r="O34" s="218">
        <v>0</v>
      </c>
      <c r="P34" s="218">
        <v>0</v>
      </c>
      <c r="Q34" s="218">
        <v>0</v>
      </c>
      <c r="R34" s="218">
        <v>0</v>
      </c>
      <c r="S34" s="218">
        <f t="shared" si="6"/>
        <v>8</v>
      </c>
      <c r="T34" s="159">
        <v>9</v>
      </c>
      <c r="U34" s="159">
        <v>4</v>
      </c>
      <c r="V34" s="159">
        <v>7</v>
      </c>
      <c r="W34" s="159">
        <v>3</v>
      </c>
      <c r="X34" s="159">
        <v>0</v>
      </c>
      <c r="Y34" s="159">
        <v>0</v>
      </c>
      <c r="Z34" s="159">
        <v>0</v>
      </c>
      <c r="AA34" s="159">
        <v>0</v>
      </c>
      <c r="AB34" s="159">
        <v>23</v>
      </c>
      <c r="AC34" s="221">
        <v>4</v>
      </c>
      <c r="AD34" s="221">
        <v>5</v>
      </c>
      <c r="AE34" s="221">
        <v>0</v>
      </c>
      <c r="AF34" s="221">
        <v>0</v>
      </c>
      <c r="AG34" s="221">
        <v>0</v>
      </c>
      <c r="AH34" s="221">
        <v>0</v>
      </c>
      <c r="AI34" s="221">
        <v>0</v>
      </c>
      <c r="AJ34" s="221">
        <v>0</v>
      </c>
      <c r="AK34" s="219">
        <v>9</v>
      </c>
      <c r="AL34" s="219">
        <v>4</v>
      </c>
      <c r="AM34" s="219">
        <v>1</v>
      </c>
      <c r="AN34" s="219">
        <v>10</v>
      </c>
      <c r="AO34" s="219">
        <v>3</v>
      </c>
      <c r="AP34" s="219">
        <v>0</v>
      </c>
      <c r="AQ34" s="219">
        <v>0</v>
      </c>
      <c r="AR34" s="219">
        <v>0</v>
      </c>
      <c r="AS34" s="219">
        <v>0</v>
      </c>
      <c r="AT34" s="219">
        <f t="shared" si="7"/>
        <v>18</v>
      </c>
      <c r="AU34" s="219">
        <v>5</v>
      </c>
      <c r="AV34" s="219">
        <v>5</v>
      </c>
      <c r="AW34" s="219">
        <v>12</v>
      </c>
      <c r="AX34" s="219">
        <v>4</v>
      </c>
      <c r="AY34" s="219">
        <v>0</v>
      </c>
      <c r="AZ34" s="219">
        <v>0</v>
      </c>
      <c r="BA34" s="219">
        <v>0</v>
      </c>
      <c r="BB34" s="219">
        <v>0</v>
      </c>
      <c r="BC34" s="219">
        <f t="shared" si="8"/>
        <v>26</v>
      </c>
      <c r="BD34" s="219">
        <v>0</v>
      </c>
      <c r="BE34" s="219">
        <v>2</v>
      </c>
      <c r="BF34" s="219">
        <v>5</v>
      </c>
      <c r="BG34" s="219">
        <v>0</v>
      </c>
      <c r="BH34" s="219">
        <v>0</v>
      </c>
      <c r="BI34" s="219">
        <v>0</v>
      </c>
      <c r="BJ34" s="219">
        <v>0</v>
      </c>
      <c r="BK34" s="219">
        <v>0</v>
      </c>
      <c r="BL34" s="219">
        <f t="shared" si="9"/>
        <v>7</v>
      </c>
      <c r="BM34" s="219"/>
      <c r="BN34" s="219"/>
      <c r="BO34" s="219"/>
      <c r="BP34" s="219"/>
      <c r="BQ34" s="219"/>
      <c r="BR34" s="219"/>
      <c r="BS34" s="219"/>
      <c r="BT34" s="219"/>
      <c r="BU34" s="219">
        <f t="shared" si="0"/>
        <v>0</v>
      </c>
      <c r="BV34" s="219"/>
      <c r="BW34" s="219"/>
      <c r="BX34" s="219"/>
      <c r="BY34" s="219"/>
      <c r="BZ34" s="219"/>
      <c r="CA34" s="219"/>
      <c r="CB34" s="219"/>
      <c r="CC34" s="219"/>
      <c r="CD34" s="219">
        <f t="shared" si="1"/>
        <v>0</v>
      </c>
      <c r="CE34" s="219"/>
      <c r="CF34" s="219"/>
      <c r="CG34" s="219"/>
      <c r="CH34" s="219"/>
      <c r="CI34" s="219"/>
      <c r="CJ34" s="219"/>
      <c r="CK34" s="219"/>
      <c r="CL34" s="219"/>
      <c r="CM34" s="219">
        <f t="shared" si="2"/>
        <v>0</v>
      </c>
      <c r="CN34" s="219"/>
      <c r="CO34" s="219"/>
      <c r="CP34" s="219"/>
      <c r="CQ34" s="219"/>
      <c r="CR34" s="219"/>
      <c r="CS34" s="219"/>
      <c r="CT34" s="219"/>
      <c r="CU34" s="219"/>
      <c r="CV34" s="219">
        <f t="shared" si="3"/>
        <v>0</v>
      </c>
      <c r="CW34" s="219"/>
      <c r="CX34" s="219"/>
      <c r="CY34" s="219"/>
      <c r="CZ34" s="219"/>
      <c r="DA34" s="219"/>
      <c r="DB34" s="219"/>
      <c r="DC34" s="219"/>
      <c r="DD34" s="219"/>
      <c r="DE34" s="219">
        <f t="shared" si="4"/>
        <v>0</v>
      </c>
      <c r="DF34" s="222"/>
      <c r="DG34" s="222"/>
      <c r="DH34" s="222"/>
      <c r="DI34" s="222"/>
      <c r="DJ34" s="222"/>
      <c r="DK34" s="222"/>
      <c r="DL34" s="222"/>
      <c r="DM34" s="222"/>
      <c r="DN34" s="219">
        <f t="shared" si="5"/>
        <v>0</v>
      </c>
      <c r="DO34" s="160">
        <f t="shared" si="10"/>
        <v>91</v>
      </c>
      <c r="DP34" s="161"/>
    </row>
    <row r="35" spans="2:120" ht="287.25" hidden="1" customHeight="1">
      <c r="B35" s="546" t="s">
        <v>230</v>
      </c>
      <c r="C35" s="546" t="s">
        <v>231</v>
      </c>
      <c r="D35" s="548" t="s">
        <v>78</v>
      </c>
      <c r="E35" s="549"/>
      <c r="F35" s="546" t="s">
        <v>13</v>
      </c>
      <c r="G35" s="546">
        <v>0</v>
      </c>
      <c r="H35" s="552" t="s">
        <v>236</v>
      </c>
      <c r="I35" s="548">
        <v>38</v>
      </c>
      <c r="J35" s="158" t="s">
        <v>72</v>
      </c>
      <c r="K35" s="232">
        <v>4</v>
      </c>
      <c r="L35" s="233"/>
      <c r="M35" s="233"/>
      <c r="N35" s="233"/>
      <c r="O35" s="233"/>
      <c r="P35" s="233"/>
      <c r="Q35" s="233"/>
      <c r="R35" s="234"/>
      <c r="S35" s="218">
        <f t="shared" si="6"/>
        <v>4</v>
      </c>
      <c r="T35" s="357">
        <v>4</v>
      </c>
      <c r="U35" s="358"/>
      <c r="V35" s="358"/>
      <c r="W35" s="358"/>
      <c r="X35" s="358"/>
      <c r="Y35" s="358"/>
      <c r="Z35" s="358"/>
      <c r="AA35" s="359"/>
      <c r="AB35" s="159">
        <f t="shared" si="11"/>
        <v>4</v>
      </c>
      <c r="AC35" s="557">
        <v>1</v>
      </c>
      <c r="AD35" s="558"/>
      <c r="AE35" s="558"/>
      <c r="AF35" s="558"/>
      <c r="AG35" s="558"/>
      <c r="AH35" s="558"/>
      <c r="AI35" s="558"/>
      <c r="AJ35" s="559"/>
      <c r="AK35" s="219">
        <f>SUM(AC35)</f>
        <v>1</v>
      </c>
      <c r="AL35" s="560">
        <v>3</v>
      </c>
      <c r="AM35" s="558"/>
      <c r="AN35" s="558"/>
      <c r="AO35" s="558"/>
      <c r="AP35" s="558"/>
      <c r="AQ35" s="558"/>
      <c r="AR35" s="558"/>
      <c r="AS35" s="559"/>
      <c r="AT35" s="219">
        <f t="shared" si="7"/>
        <v>3</v>
      </c>
      <c r="AU35" s="560">
        <v>3</v>
      </c>
      <c r="AV35" s="558"/>
      <c r="AW35" s="558"/>
      <c r="AX35" s="558"/>
      <c r="AY35" s="558"/>
      <c r="AZ35" s="558"/>
      <c r="BA35" s="558"/>
      <c r="BB35" s="559"/>
      <c r="BC35" s="219">
        <f t="shared" si="8"/>
        <v>3</v>
      </c>
      <c r="BD35" s="560">
        <v>3</v>
      </c>
      <c r="BE35" s="558"/>
      <c r="BF35" s="558"/>
      <c r="BG35" s="558"/>
      <c r="BH35" s="558"/>
      <c r="BI35" s="558"/>
      <c r="BJ35" s="558"/>
      <c r="BK35" s="559"/>
      <c r="BL35" s="219">
        <f t="shared" si="9"/>
        <v>3</v>
      </c>
      <c r="BM35" s="560">
        <v>3</v>
      </c>
      <c r="BN35" s="558"/>
      <c r="BO35" s="558"/>
      <c r="BP35" s="558"/>
      <c r="BQ35" s="558"/>
      <c r="BR35" s="558"/>
      <c r="BS35" s="558"/>
      <c r="BT35" s="559"/>
      <c r="BU35" s="219">
        <f t="shared" si="0"/>
        <v>3</v>
      </c>
      <c r="BV35" s="560">
        <v>4</v>
      </c>
      <c r="BW35" s="558"/>
      <c r="BX35" s="558"/>
      <c r="BY35" s="558"/>
      <c r="BZ35" s="558"/>
      <c r="CA35" s="558"/>
      <c r="CB35" s="558"/>
      <c r="CC35" s="559"/>
      <c r="CD35" s="219">
        <f t="shared" si="1"/>
        <v>4</v>
      </c>
      <c r="CE35" s="560">
        <v>3</v>
      </c>
      <c r="CF35" s="558"/>
      <c r="CG35" s="558"/>
      <c r="CH35" s="558"/>
      <c r="CI35" s="558"/>
      <c r="CJ35" s="558"/>
      <c r="CK35" s="558"/>
      <c r="CL35" s="559"/>
      <c r="CM35" s="219">
        <f t="shared" si="2"/>
        <v>3</v>
      </c>
      <c r="CN35" s="560">
        <v>4</v>
      </c>
      <c r="CO35" s="558"/>
      <c r="CP35" s="558"/>
      <c r="CQ35" s="558"/>
      <c r="CR35" s="558"/>
      <c r="CS35" s="558"/>
      <c r="CT35" s="558"/>
      <c r="CU35" s="559"/>
      <c r="CV35" s="219">
        <f t="shared" si="3"/>
        <v>4</v>
      </c>
      <c r="CW35" s="560">
        <v>3</v>
      </c>
      <c r="CX35" s="558"/>
      <c r="CY35" s="558"/>
      <c r="CZ35" s="558"/>
      <c r="DA35" s="558"/>
      <c r="DB35" s="558"/>
      <c r="DC35" s="558"/>
      <c r="DD35" s="559"/>
      <c r="DE35" s="219">
        <f t="shared" si="4"/>
        <v>3</v>
      </c>
      <c r="DF35" s="560">
        <v>3</v>
      </c>
      <c r="DG35" s="558"/>
      <c r="DH35" s="558"/>
      <c r="DI35" s="558"/>
      <c r="DJ35" s="558"/>
      <c r="DK35" s="558"/>
      <c r="DL35" s="558"/>
      <c r="DM35" s="559"/>
      <c r="DN35" s="219">
        <f t="shared" si="5"/>
        <v>3</v>
      </c>
      <c r="DO35" s="160">
        <f t="shared" si="10"/>
        <v>38</v>
      </c>
      <c r="DP35" s="161"/>
    </row>
    <row r="36" spans="2:120" ht="287.25" customHeight="1">
      <c r="B36" s="563"/>
      <c r="C36" s="563"/>
      <c r="D36" s="550"/>
      <c r="E36" s="551"/>
      <c r="F36" s="547"/>
      <c r="G36" s="547"/>
      <c r="H36" s="553"/>
      <c r="I36" s="550"/>
      <c r="J36" s="162" t="s">
        <v>73</v>
      </c>
      <c r="K36" s="220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218">
        <v>0</v>
      </c>
      <c r="R36" s="218">
        <v>0</v>
      </c>
      <c r="S36" s="218">
        <f t="shared" si="6"/>
        <v>0</v>
      </c>
      <c r="T36" s="159">
        <v>0</v>
      </c>
      <c r="U36" s="159">
        <v>0</v>
      </c>
      <c r="V36" s="159">
        <v>0</v>
      </c>
      <c r="W36" s="159">
        <v>0</v>
      </c>
      <c r="X36" s="159">
        <v>0</v>
      </c>
      <c r="Y36" s="159">
        <v>0</v>
      </c>
      <c r="Z36" s="159">
        <v>0</v>
      </c>
      <c r="AA36" s="159">
        <v>0</v>
      </c>
      <c r="AB36" s="159">
        <f t="shared" si="11"/>
        <v>0</v>
      </c>
      <c r="AC36" s="221">
        <v>0</v>
      </c>
      <c r="AD36" s="221">
        <v>0</v>
      </c>
      <c r="AE36" s="221">
        <v>0</v>
      </c>
      <c r="AF36" s="221">
        <v>0</v>
      </c>
      <c r="AG36" s="221">
        <v>0</v>
      </c>
      <c r="AH36" s="221">
        <v>0</v>
      </c>
      <c r="AI36" s="221">
        <v>0</v>
      </c>
      <c r="AJ36" s="221">
        <v>0</v>
      </c>
      <c r="AK36" s="219">
        <f t="shared" si="12"/>
        <v>0</v>
      </c>
      <c r="AL36" s="219"/>
      <c r="AM36" s="219"/>
      <c r="AN36" s="219"/>
      <c r="AO36" s="219"/>
      <c r="AP36" s="219"/>
      <c r="AQ36" s="219"/>
      <c r="AR36" s="219"/>
      <c r="AS36" s="219"/>
      <c r="AT36" s="219">
        <f t="shared" si="7"/>
        <v>0</v>
      </c>
      <c r="AU36" s="219">
        <v>0</v>
      </c>
      <c r="AV36" s="219">
        <v>0</v>
      </c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f t="shared" si="8"/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f t="shared" si="9"/>
        <v>0</v>
      </c>
      <c r="BM36" s="219"/>
      <c r="BN36" s="219"/>
      <c r="BO36" s="219"/>
      <c r="BP36" s="219"/>
      <c r="BQ36" s="219"/>
      <c r="BR36" s="219"/>
      <c r="BS36" s="219"/>
      <c r="BT36" s="219"/>
      <c r="BU36" s="219">
        <f t="shared" si="0"/>
        <v>0</v>
      </c>
      <c r="BV36" s="219"/>
      <c r="BW36" s="219"/>
      <c r="BX36" s="219"/>
      <c r="BY36" s="219"/>
      <c r="BZ36" s="219"/>
      <c r="CA36" s="219"/>
      <c r="CB36" s="219"/>
      <c r="CC36" s="219"/>
      <c r="CD36" s="219">
        <f t="shared" si="1"/>
        <v>0</v>
      </c>
      <c r="CE36" s="219"/>
      <c r="CF36" s="219"/>
      <c r="CG36" s="219"/>
      <c r="CH36" s="219"/>
      <c r="CI36" s="219"/>
      <c r="CJ36" s="219"/>
      <c r="CK36" s="219"/>
      <c r="CL36" s="219"/>
      <c r="CM36" s="219">
        <f t="shared" si="2"/>
        <v>0</v>
      </c>
      <c r="CN36" s="219"/>
      <c r="CO36" s="219"/>
      <c r="CP36" s="219"/>
      <c r="CQ36" s="219"/>
      <c r="CR36" s="219"/>
      <c r="CS36" s="219"/>
      <c r="CT36" s="219"/>
      <c r="CU36" s="219"/>
      <c r="CV36" s="219">
        <f t="shared" si="3"/>
        <v>0</v>
      </c>
      <c r="CW36" s="219"/>
      <c r="CX36" s="219"/>
      <c r="CY36" s="219"/>
      <c r="CZ36" s="219"/>
      <c r="DA36" s="219"/>
      <c r="DB36" s="219"/>
      <c r="DC36" s="219"/>
      <c r="DD36" s="219"/>
      <c r="DE36" s="219">
        <f t="shared" si="4"/>
        <v>0</v>
      </c>
      <c r="DF36" s="222"/>
      <c r="DG36" s="222"/>
      <c r="DH36" s="222"/>
      <c r="DI36" s="222"/>
      <c r="DJ36" s="222"/>
      <c r="DK36" s="222"/>
      <c r="DL36" s="222"/>
      <c r="DM36" s="222"/>
      <c r="DN36" s="219">
        <f t="shared" si="5"/>
        <v>0</v>
      </c>
      <c r="DO36" s="160">
        <f t="shared" si="10"/>
        <v>0</v>
      </c>
      <c r="DP36" s="161"/>
    </row>
    <row r="37" spans="2:120" ht="287.25" hidden="1" customHeight="1">
      <c r="B37" s="546" t="s">
        <v>237</v>
      </c>
      <c r="C37" s="546" t="s">
        <v>75</v>
      </c>
      <c r="D37" s="548" t="s">
        <v>80</v>
      </c>
      <c r="E37" s="549"/>
      <c r="F37" s="546" t="s">
        <v>12</v>
      </c>
      <c r="G37" s="546">
        <v>739</v>
      </c>
      <c r="H37" s="561" t="s">
        <v>124</v>
      </c>
      <c r="I37" s="546">
        <v>1106</v>
      </c>
      <c r="J37" s="158" t="s">
        <v>72</v>
      </c>
      <c r="K37" s="554">
        <v>35</v>
      </c>
      <c r="L37" s="555"/>
      <c r="M37" s="555"/>
      <c r="N37" s="555"/>
      <c r="O37" s="555"/>
      <c r="P37" s="555"/>
      <c r="Q37" s="555"/>
      <c r="R37" s="556"/>
      <c r="S37" s="218">
        <f t="shared" si="6"/>
        <v>35</v>
      </c>
      <c r="T37" s="357">
        <v>23</v>
      </c>
      <c r="U37" s="358"/>
      <c r="V37" s="358"/>
      <c r="W37" s="358"/>
      <c r="X37" s="358"/>
      <c r="Y37" s="358"/>
      <c r="Z37" s="358"/>
      <c r="AA37" s="359"/>
      <c r="AB37" s="159">
        <f t="shared" si="11"/>
        <v>23</v>
      </c>
      <c r="AC37" s="557">
        <v>125</v>
      </c>
      <c r="AD37" s="558"/>
      <c r="AE37" s="558"/>
      <c r="AF37" s="558"/>
      <c r="AG37" s="558"/>
      <c r="AH37" s="558"/>
      <c r="AI37" s="558"/>
      <c r="AJ37" s="559"/>
      <c r="AK37" s="219">
        <f t="shared" si="12"/>
        <v>125</v>
      </c>
      <c r="AL37" s="560">
        <v>100</v>
      </c>
      <c r="AM37" s="558"/>
      <c r="AN37" s="558"/>
      <c r="AO37" s="558"/>
      <c r="AP37" s="558"/>
      <c r="AQ37" s="558"/>
      <c r="AR37" s="558"/>
      <c r="AS37" s="559"/>
      <c r="AT37" s="219">
        <f t="shared" si="7"/>
        <v>100</v>
      </c>
      <c r="AU37" s="560">
        <v>100</v>
      </c>
      <c r="AV37" s="558"/>
      <c r="AW37" s="558"/>
      <c r="AX37" s="558"/>
      <c r="AY37" s="558"/>
      <c r="AZ37" s="558"/>
      <c r="BA37" s="558"/>
      <c r="BB37" s="559"/>
      <c r="BC37" s="219">
        <f t="shared" si="8"/>
        <v>100</v>
      </c>
      <c r="BD37" s="560">
        <v>100</v>
      </c>
      <c r="BE37" s="558"/>
      <c r="BF37" s="558"/>
      <c r="BG37" s="558"/>
      <c r="BH37" s="558"/>
      <c r="BI37" s="558"/>
      <c r="BJ37" s="558"/>
      <c r="BK37" s="559"/>
      <c r="BL37" s="219">
        <f t="shared" si="9"/>
        <v>100</v>
      </c>
      <c r="BM37" s="560">
        <v>100</v>
      </c>
      <c r="BN37" s="558"/>
      <c r="BO37" s="558"/>
      <c r="BP37" s="558"/>
      <c r="BQ37" s="558"/>
      <c r="BR37" s="558"/>
      <c r="BS37" s="558"/>
      <c r="BT37" s="559"/>
      <c r="BU37" s="219">
        <f t="shared" si="0"/>
        <v>100</v>
      </c>
      <c r="BV37" s="560">
        <v>100</v>
      </c>
      <c r="BW37" s="558"/>
      <c r="BX37" s="558"/>
      <c r="BY37" s="558"/>
      <c r="BZ37" s="558"/>
      <c r="CA37" s="558"/>
      <c r="CB37" s="558"/>
      <c r="CC37" s="559"/>
      <c r="CD37" s="219">
        <f t="shared" si="1"/>
        <v>100</v>
      </c>
      <c r="CE37" s="560">
        <v>100</v>
      </c>
      <c r="CF37" s="558"/>
      <c r="CG37" s="558"/>
      <c r="CH37" s="558"/>
      <c r="CI37" s="558"/>
      <c r="CJ37" s="558"/>
      <c r="CK37" s="558"/>
      <c r="CL37" s="559"/>
      <c r="CM37" s="219">
        <f t="shared" si="2"/>
        <v>100</v>
      </c>
      <c r="CN37" s="560">
        <v>100</v>
      </c>
      <c r="CO37" s="558"/>
      <c r="CP37" s="558"/>
      <c r="CQ37" s="558"/>
      <c r="CR37" s="558"/>
      <c r="CS37" s="558"/>
      <c r="CT37" s="558"/>
      <c r="CU37" s="559"/>
      <c r="CV37" s="219">
        <f t="shared" si="3"/>
        <v>100</v>
      </c>
      <c r="CW37" s="560">
        <v>123</v>
      </c>
      <c r="CX37" s="558"/>
      <c r="CY37" s="558"/>
      <c r="CZ37" s="558"/>
      <c r="DA37" s="558"/>
      <c r="DB37" s="558"/>
      <c r="DC37" s="558"/>
      <c r="DD37" s="559"/>
      <c r="DE37" s="219">
        <f t="shared" si="4"/>
        <v>123</v>
      </c>
      <c r="DF37" s="560">
        <v>100</v>
      </c>
      <c r="DG37" s="558"/>
      <c r="DH37" s="558"/>
      <c r="DI37" s="558"/>
      <c r="DJ37" s="558"/>
      <c r="DK37" s="558"/>
      <c r="DL37" s="558"/>
      <c r="DM37" s="559"/>
      <c r="DN37" s="219">
        <f t="shared" si="5"/>
        <v>100</v>
      </c>
      <c r="DO37" s="160">
        <f t="shared" si="10"/>
        <v>1106</v>
      </c>
      <c r="DP37" s="161"/>
    </row>
    <row r="38" spans="2:120" ht="287.25" customHeight="1">
      <c r="B38" s="563"/>
      <c r="C38" s="547"/>
      <c r="D38" s="550"/>
      <c r="E38" s="551"/>
      <c r="F38" s="547"/>
      <c r="G38" s="547"/>
      <c r="H38" s="562"/>
      <c r="I38" s="547"/>
      <c r="J38" s="162" t="s">
        <v>73</v>
      </c>
      <c r="K38" s="220">
        <v>3</v>
      </c>
      <c r="L38" s="218">
        <v>1</v>
      </c>
      <c r="M38" s="218">
        <v>4</v>
      </c>
      <c r="N38" s="218">
        <v>3</v>
      </c>
      <c r="O38" s="218">
        <v>0</v>
      </c>
      <c r="P38" s="218">
        <v>2</v>
      </c>
      <c r="Q38" s="218">
        <v>0</v>
      </c>
      <c r="R38" s="218">
        <v>0</v>
      </c>
      <c r="S38" s="218">
        <f t="shared" si="6"/>
        <v>13</v>
      </c>
      <c r="T38" s="159">
        <v>3</v>
      </c>
      <c r="U38" s="159">
        <v>6</v>
      </c>
      <c r="V38" s="159">
        <v>2</v>
      </c>
      <c r="W38" s="159">
        <v>3</v>
      </c>
      <c r="X38" s="159">
        <v>7</v>
      </c>
      <c r="Y38" s="159">
        <v>1</v>
      </c>
      <c r="Z38" s="159">
        <v>0</v>
      </c>
      <c r="AA38" s="159">
        <v>0</v>
      </c>
      <c r="AB38" s="159">
        <v>22</v>
      </c>
      <c r="AC38" s="221">
        <v>10</v>
      </c>
      <c r="AD38" s="221">
        <v>15</v>
      </c>
      <c r="AE38" s="221">
        <v>8</v>
      </c>
      <c r="AF38" s="221">
        <v>0</v>
      </c>
      <c r="AG38" s="221">
        <v>0</v>
      </c>
      <c r="AH38" s="221">
        <v>0</v>
      </c>
      <c r="AI38" s="221">
        <v>0</v>
      </c>
      <c r="AJ38" s="221">
        <v>0</v>
      </c>
      <c r="AK38" s="219">
        <v>33</v>
      </c>
      <c r="AL38" s="219">
        <v>3</v>
      </c>
      <c r="AM38" s="219">
        <v>2</v>
      </c>
      <c r="AN38" s="219">
        <v>5</v>
      </c>
      <c r="AO38" s="219">
        <v>1</v>
      </c>
      <c r="AP38" s="219">
        <v>0</v>
      </c>
      <c r="AQ38" s="219">
        <v>0</v>
      </c>
      <c r="AR38" s="219">
        <v>0</v>
      </c>
      <c r="AS38" s="219">
        <v>0</v>
      </c>
      <c r="AT38" s="219">
        <f t="shared" si="7"/>
        <v>11</v>
      </c>
      <c r="AU38" s="219">
        <v>14</v>
      </c>
      <c r="AV38" s="219">
        <v>12</v>
      </c>
      <c r="AW38" s="219">
        <v>13</v>
      </c>
      <c r="AX38" s="219">
        <v>4</v>
      </c>
      <c r="AY38" s="219">
        <v>0</v>
      </c>
      <c r="AZ38" s="219">
        <v>0</v>
      </c>
      <c r="BA38" s="219">
        <v>0</v>
      </c>
      <c r="BB38" s="219">
        <v>0</v>
      </c>
      <c r="BC38" s="219">
        <f t="shared" si="8"/>
        <v>43</v>
      </c>
      <c r="BD38" s="219">
        <v>13</v>
      </c>
      <c r="BE38" s="219">
        <v>11</v>
      </c>
      <c r="BF38" s="219">
        <v>22</v>
      </c>
      <c r="BG38" s="219">
        <v>6</v>
      </c>
      <c r="BH38" s="219">
        <v>8</v>
      </c>
      <c r="BI38" s="219">
        <v>0</v>
      </c>
      <c r="BJ38" s="219">
        <v>0</v>
      </c>
      <c r="BK38" s="219">
        <v>0</v>
      </c>
      <c r="BL38" s="219">
        <f t="shared" si="9"/>
        <v>60</v>
      </c>
      <c r="BM38" s="219"/>
      <c r="BN38" s="219"/>
      <c r="BO38" s="219"/>
      <c r="BP38" s="219"/>
      <c r="BQ38" s="219"/>
      <c r="BR38" s="219"/>
      <c r="BS38" s="219"/>
      <c r="BT38" s="219"/>
      <c r="BU38" s="219">
        <f t="shared" si="0"/>
        <v>0</v>
      </c>
      <c r="BV38" s="219"/>
      <c r="BW38" s="219"/>
      <c r="BX38" s="219"/>
      <c r="BY38" s="219"/>
      <c r="BZ38" s="219"/>
      <c r="CA38" s="219"/>
      <c r="CB38" s="219"/>
      <c r="CC38" s="219"/>
      <c r="CD38" s="219">
        <f t="shared" si="1"/>
        <v>0</v>
      </c>
      <c r="CE38" s="219"/>
      <c r="CF38" s="219"/>
      <c r="CG38" s="219"/>
      <c r="CH38" s="219"/>
      <c r="CI38" s="219"/>
      <c r="CJ38" s="219"/>
      <c r="CK38" s="219"/>
      <c r="CL38" s="219"/>
      <c r="CM38" s="219">
        <f t="shared" si="2"/>
        <v>0</v>
      </c>
      <c r="CN38" s="219"/>
      <c r="CO38" s="219"/>
      <c r="CP38" s="219"/>
      <c r="CQ38" s="219"/>
      <c r="CR38" s="219"/>
      <c r="CS38" s="219"/>
      <c r="CT38" s="219"/>
      <c r="CU38" s="219"/>
      <c r="CV38" s="219">
        <f t="shared" si="3"/>
        <v>0</v>
      </c>
      <c r="CW38" s="219"/>
      <c r="CX38" s="219"/>
      <c r="CY38" s="219"/>
      <c r="CZ38" s="219"/>
      <c r="DA38" s="219"/>
      <c r="DB38" s="219"/>
      <c r="DC38" s="219"/>
      <c r="DD38" s="219"/>
      <c r="DE38" s="219">
        <f t="shared" si="4"/>
        <v>0</v>
      </c>
      <c r="DF38" s="222"/>
      <c r="DG38" s="222"/>
      <c r="DH38" s="222"/>
      <c r="DI38" s="222"/>
      <c r="DJ38" s="222"/>
      <c r="DK38" s="222"/>
      <c r="DL38" s="222"/>
      <c r="DM38" s="222"/>
      <c r="DN38" s="219">
        <f t="shared" si="5"/>
        <v>0</v>
      </c>
      <c r="DO38" s="160">
        <f t="shared" si="10"/>
        <v>182</v>
      </c>
      <c r="DP38" s="161"/>
    </row>
    <row r="39" spans="2:120" ht="287.25" hidden="1" customHeight="1">
      <c r="B39" s="546" t="s">
        <v>237</v>
      </c>
      <c r="C39" s="546" t="s">
        <v>75</v>
      </c>
      <c r="D39" s="548" t="s">
        <v>80</v>
      </c>
      <c r="E39" s="549"/>
      <c r="F39" s="546" t="s">
        <v>12</v>
      </c>
      <c r="G39" s="546">
        <v>1110</v>
      </c>
      <c r="H39" s="561" t="s">
        <v>238</v>
      </c>
      <c r="I39" s="546">
        <v>2370</v>
      </c>
      <c r="J39" s="158" t="s">
        <v>72</v>
      </c>
      <c r="K39" s="554">
        <v>100</v>
      </c>
      <c r="L39" s="555"/>
      <c r="M39" s="555"/>
      <c r="N39" s="555"/>
      <c r="O39" s="555"/>
      <c r="P39" s="555"/>
      <c r="Q39" s="555"/>
      <c r="R39" s="556"/>
      <c r="S39" s="218">
        <f t="shared" si="6"/>
        <v>100</v>
      </c>
      <c r="T39" s="357">
        <v>200</v>
      </c>
      <c r="U39" s="358"/>
      <c r="V39" s="358"/>
      <c r="W39" s="358"/>
      <c r="X39" s="358"/>
      <c r="Y39" s="358"/>
      <c r="Z39" s="358"/>
      <c r="AA39" s="359"/>
      <c r="AB39" s="159">
        <f t="shared" si="11"/>
        <v>200</v>
      </c>
      <c r="AC39" s="557">
        <v>262</v>
      </c>
      <c r="AD39" s="558"/>
      <c r="AE39" s="558"/>
      <c r="AF39" s="558"/>
      <c r="AG39" s="558"/>
      <c r="AH39" s="558"/>
      <c r="AI39" s="558"/>
      <c r="AJ39" s="559"/>
      <c r="AK39" s="219">
        <f t="shared" si="12"/>
        <v>262</v>
      </c>
      <c r="AL39" s="571">
        <v>298</v>
      </c>
      <c r="AM39" s="338"/>
      <c r="AN39" s="338"/>
      <c r="AO39" s="338"/>
      <c r="AP39" s="338"/>
      <c r="AQ39" s="338"/>
      <c r="AR39" s="338"/>
      <c r="AS39" s="339"/>
      <c r="AT39" s="219">
        <f t="shared" si="7"/>
        <v>298</v>
      </c>
      <c r="AU39" s="560">
        <v>220</v>
      </c>
      <c r="AV39" s="558"/>
      <c r="AW39" s="558"/>
      <c r="AX39" s="558"/>
      <c r="AY39" s="558"/>
      <c r="AZ39" s="558"/>
      <c r="BA39" s="558"/>
      <c r="BB39" s="559"/>
      <c r="BC39" s="219">
        <f t="shared" si="8"/>
        <v>220</v>
      </c>
      <c r="BD39" s="560">
        <v>200</v>
      </c>
      <c r="BE39" s="558"/>
      <c r="BF39" s="558"/>
      <c r="BG39" s="558"/>
      <c r="BH39" s="558"/>
      <c r="BI39" s="558"/>
      <c r="BJ39" s="558"/>
      <c r="BK39" s="559"/>
      <c r="BL39" s="219">
        <f t="shared" si="9"/>
        <v>200</v>
      </c>
      <c r="BM39" s="560">
        <v>240</v>
      </c>
      <c r="BN39" s="558"/>
      <c r="BO39" s="558"/>
      <c r="BP39" s="558"/>
      <c r="BQ39" s="558"/>
      <c r="BR39" s="558"/>
      <c r="BS39" s="558"/>
      <c r="BT39" s="559"/>
      <c r="BU39" s="219">
        <f t="shared" si="0"/>
        <v>240</v>
      </c>
      <c r="BV39" s="560">
        <v>140</v>
      </c>
      <c r="BW39" s="558"/>
      <c r="BX39" s="558"/>
      <c r="BY39" s="558"/>
      <c r="BZ39" s="558"/>
      <c r="CA39" s="558"/>
      <c r="CB39" s="558"/>
      <c r="CC39" s="559"/>
      <c r="CD39" s="219">
        <v>150</v>
      </c>
      <c r="CE39" s="560">
        <v>150</v>
      </c>
      <c r="CF39" s="558"/>
      <c r="CG39" s="558"/>
      <c r="CH39" s="558"/>
      <c r="CI39" s="558"/>
      <c r="CJ39" s="558"/>
      <c r="CK39" s="558"/>
      <c r="CL39" s="559"/>
      <c r="CM39" s="219">
        <f t="shared" si="2"/>
        <v>150</v>
      </c>
      <c r="CN39" s="560">
        <v>150</v>
      </c>
      <c r="CO39" s="558"/>
      <c r="CP39" s="558"/>
      <c r="CQ39" s="558"/>
      <c r="CR39" s="558"/>
      <c r="CS39" s="558"/>
      <c r="CT39" s="558"/>
      <c r="CU39" s="559"/>
      <c r="CV39" s="219">
        <f t="shared" si="3"/>
        <v>150</v>
      </c>
      <c r="CW39" s="560">
        <v>200</v>
      </c>
      <c r="CX39" s="558"/>
      <c r="CY39" s="558"/>
      <c r="CZ39" s="558"/>
      <c r="DA39" s="558"/>
      <c r="DB39" s="558"/>
      <c r="DC39" s="558"/>
      <c r="DD39" s="559"/>
      <c r="DE39" s="219">
        <f t="shared" si="4"/>
        <v>200</v>
      </c>
      <c r="DF39" s="560">
        <v>200</v>
      </c>
      <c r="DG39" s="558"/>
      <c r="DH39" s="558"/>
      <c r="DI39" s="558"/>
      <c r="DJ39" s="558"/>
      <c r="DK39" s="558"/>
      <c r="DL39" s="558"/>
      <c r="DM39" s="559"/>
      <c r="DN39" s="219">
        <f t="shared" si="5"/>
        <v>200</v>
      </c>
      <c r="DO39" s="160">
        <f t="shared" si="10"/>
        <v>2370</v>
      </c>
      <c r="DP39" s="161"/>
    </row>
    <row r="40" spans="2:120" ht="287.25" customHeight="1">
      <c r="B40" s="563"/>
      <c r="C40" s="547"/>
      <c r="D40" s="550"/>
      <c r="E40" s="551"/>
      <c r="F40" s="547"/>
      <c r="G40" s="547"/>
      <c r="H40" s="562"/>
      <c r="I40" s="547"/>
      <c r="J40" s="162" t="s">
        <v>73</v>
      </c>
      <c r="K40" s="220">
        <v>2</v>
      </c>
      <c r="L40" s="218">
        <v>1</v>
      </c>
      <c r="M40" s="218">
        <v>1</v>
      </c>
      <c r="N40" s="218">
        <v>1</v>
      </c>
      <c r="O40" s="218">
        <v>11</v>
      </c>
      <c r="P40" s="218">
        <v>9</v>
      </c>
      <c r="Q40" s="218">
        <v>1</v>
      </c>
      <c r="R40" s="218">
        <v>2</v>
      </c>
      <c r="S40" s="218">
        <f t="shared" si="6"/>
        <v>28</v>
      </c>
      <c r="T40" s="159">
        <v>9</v>
      </c>
      <c r="U40" s="159">
        <v>12</v>
      </c>
      <c r="V40" s="159">
        <v>3</v>
      </c>
      <c r="W40" s="159">
        <v>3</v>
      </c>
      <c r="X40" s="159">
        <v>19</v>
      </c>
      <c r="Y40" s="159">
        <v>8</v>
      </c>
      <c r="Z40" s="159">
        <v>1</v>
      </c>
      <c r="AA40" s="159">
        <v>0</v>
      </c>
      <c r="AB40" s="159">
        <v>55</v>
      </c>
      <c r="AC40" s="221">
        <v>8</v>
      </c>
      <c r="AD40" s="221">
        <v>3</v>
      </c>
      <c r="AE40" s="221">
        <v>0</v>
      </c>
      <c r="AF40" s="221">
        <v>0</v>
      </c>
      <c r="AG40" s="221">
        <v>15</v>
      </c>
      <c r="AH40" s="221">
        <v>13</v>
      </c>
      <c r="AI40" s="221">
        <v>0</v>
      </c>
      <c r="AJ40" s="221">
        <v>0</v>
      </c>
      <c r="AK40" s="235">
        <v>39</v>
      </c>
      <c r="AL40" s="236">
        <v>3</v>
      </c>
      <c r="AM40" s="236">
        <v>3</v>
      </c>
      <c r="AN40" s="236">
        <v>3</v>
      </c>
      <c r="AO40" s="236">
        <v>1</v>
      </c>
      <c r="AP40" s="236">
        <v>23</v>
      </c>
      <c r="AQ40" s="236">
        <v>12</v>
      </c>
      <c r="AR40" s="236">
        <v>1</v>
      </c>
      <c r="AS40" s="236">
        <v>0</v>
      </c>
      <c r="AT40" s="236">
        <f t="shared" si="7"/>
        <v>46</v>
      </c>
      <c r="AU40" s="237">
        <v>4</v>
      </c>
      <c r="AV40" s="219">
        <v>5</v>
      </c>
      <c r="AW40" s="219">
        <v>4</v>
      </c>
      <c r="AX40" s="219">
        <v>4</v>
      </c>
      <c r="AY40" s="219">
        <v>22</v>
      </c>
      <c r="AZ40" s="219">
        <v>4</v>
      </c>
      <c r="BA40" s="219">
        <v>1</v>
      </c>
      <c r="BB40" s="219">
        <v>1</v>
      </c>
      <c r="BC40" s="219">
        <f t="shared" si="8"/>
        <v>45</v>
      </c>
      <c r="BD40" s="219">
        <v>9</v>
      </c>
      <c r="BE40" s="219">
        <v>7</v>
      </c>
      <c r="BF40" s="219">
        <v>10</v>
      </c>
      <c r="BG40" s="219">
        <v>4</v>
      </c>
      <c r="BH40" s="219">
        <v>48</v>
      </c>
      <c r="BI40" s="219">
        <v>18</v>
      </c>
      <c r="BJ40" s="219">
        <v>1</v>
      </c>
      <c r="BK40" s="219">
        <v>1</v>
      </c>
      <c r="BL40" s="219">
        <f t="shared" si="9"/>
        <v>98</v>
      </c>
      <c r="BM40" s="219"/>
      <c r="BN40" s="219"/>
      <c r="BO40" s="219"/>
      <c r="BP40" s="219"/>
      <c r="BQ40" s="219"/>
      <c r="BR40" s="219"/>
      <c r="BS40" s="219"/>
      <c r="BT40" s="219"/>
      <c r="BU40" s="219">
        <f t="shared" si="0"/>
        <v>0</v>
      </c>
      <c r="BV40" s="219"/>
      <c r="BW40" s="219"/>
      <c r="BX40" s="219"/>
      <c r="BY40" s="219"/>
      <c r="BZ40" s="219"/>
      <c r="CA40" s="219"/>
      <c r="CB40" s="219"/>
      <c r="CC40" s="219"/>
      <c r="CD40" s="219">
        <f t="shared" si="1"/>
        <v>0</v>
      </c>
      <c r="CE40" s="219"/>
      <c r="CF40" s="219"/>
      <c r="CG40" s="219"/>
      <c r="CH40" s="219"/>
      <c r="CI40" s="219"/>
      <c r="CJ40" s="219"/>
      <c r="CK40" s="219"/>
      <c r="CL40" s="219"/>
      <c r="CM40" s="219">
        <f t="shared" si="2"/>
        <v>0</v>
      </c>
      <c r="CN40" s="219"/>
      <c r="CO40" s="219"/>
      <c r="CP40" s="219"/>
      <c r="CQ40" s="219"/>
      <c r="CR40" s="219"/>
      <c r="CS40" s="219"/>
      <c r="CT40" s="219"/>
      <c r="CU40" s="219"/>
      <c r="CV40" s="219">
        <f t="shared" si="3"/>
        <v>0</v>
      </c>
      <c r="CW40" s="219"/>
      <c r="CX40" s="219"/>
      <c r="CY40" s="219"/>
      <c r="CZ40" s="219"/>
      <c r="DA40" s="219"/>
      <c r="DB40" s="219"/>
      <c r="DC40" s="219"/>
      <c r="DD40" s="219"/>
      <c r="DE40" s="219">
        <f t="shared" si="4"/>
        <v>0</v>
      </c>
      <c r="DF40" s="222"/>
      <c r="DG40" s="222"/>
      <c r="DH40" s="222"/>
      <c r="DI40" s="222"/>
      <c r="DJ40" s="222"/>
      <c r="DK40" s="222"/>
      <c r="DL40" s="222"/>
      <c r="DM40" s="222"/>
      <c r="DN40" s="219">
        <f t="shared" si="5"/>
        <v>0</v>
      </c>
      <c r="DO40" s="160">
        <f t="shared" si="10"/>
        <v>311</v>
      </c>
      <c r="DP40" s="161"/>
    </row>
    <row r="41" spans="2:120" ht="287.25" hidden="1" customHeight="1">
      <c r="B41" s="546" t="s">
        <v>237</v>
      </c>
      <c r="C41" s="546" t="s">
        <v>75</v>
      </c>
      <c r="D41" s="548" t="s">
        <v>80</v>
      </c>
      <c r="E41" s="549"/>
      <c r="F41" s="546" t="s">
        <v>12</v>
      </c>
      <c r="G41" s="546">
        <v>965</v>
      </c>
      <c r="H41" s="561" t="s">
        <v>239</v>
      </c>
      <c r="I41" s="546">
        <v>1152</v>
      </c>
      <c r="J41" s="158" t="s">
        <v>72</v>
      </c>
      <c r="K41" s="554">
        <v>76</v>
      </c>
      <c r="L41" s="555"/>
      <c r="M41" s="555"/>
      <c r="N41" s="555"/>
      <c r="O41" s="555"/>
      <c r="P41" s="555"/>
      <c r="Q41" s="555"/>
      <c r="R41" s="556"/>
      <c r="S41" s="218">
        <f t="shared" si="6"/>
        <v>76</v>
      </c>
      <c r="T41" s="357">
        <v>76</v>
      </c>
      <c r="U41" s="358"/>
      <c r="V41" s="358"/>
      <c r="W41" s="358"/>
      <c r="X41" s="358"/>
      <c r="Y41" s="358"/>
      <c r="Z41" s="358"/>
      <c r="AA41" s="359"/>
      <c r="AB41" s="159">
        <f t="shared" si="11"/>
        <v>76</v>
      </c>
      <c r="AC41" s="557">
        <v>100</v>
      </c>
      <c r="AD41" s="558"/>
      <c r="AE41" s="558"/>
      <c r="AF41" s="558"/>
      <c r="AG41" s="558"/>
      <c r="AH41" s="558"/>
      <c r="AI41" s="558"/>
      <c r="AJ41" s="559"/>
      <c r="AK41" s="235">
        <f t="shared" si="12"/>
        <v>100</v>
      </c>
      <c r="AL41" s="572">
        <v>100</v>
      </c>
      <c r="AM41" s="573"/>
      <c r="AN41" s="573"/>
      <c r="AO41" s="573"/>
      <c r="AP41" s="573"/>
      <c r="AQ41" s="573"/>
      <c r="AR41" s="573"/>
      <c r="AS41" s="573"/>
      <c r="AT41" s="236">
        <f t="shared" si="7"/>
        <v>100</v>
      </c>
      <c r="AU41" s="574">
        <v>100</v>
      </c>
      <c r="AV41" s="558"/>
      <c r="AW41" s="558"/>
      <c r="AX41" s="558"/>
      <c r="AY41" s="558"/>
      <c r="AZ41" s="558"/>
      <c r="BA41" s="558"/>
      <c r="BB41" s="559"/>
      <c r="BC41" s="219">
        <f t="shared" si="8"/>
        <v>100</v>
      </c>
      <c r="BD41" s="560">
        <v>100</v>
      </c>
      <c r="BE41" s="558"/>
      <c r="BF41" s="558"/>
      <c r="BG41" s="558"/>
      <c r="BH41" s="558"/>
      <c r="BI41" s="558"/>
      <c r="BJ41" s="558"/>
      <c r="BK41" s="559"/>
      <c r="BL41" s="219">
        <f t="shared" si="9"/>
        <v>100</v>
      </c>
      <c r="BM41" s="560">
        <v>100</v>
      </c>
      <c r="BN41" s="558"/>
      <c r="BO41" s="558"/>
      <c r="BP41" s="558"/>
      <c r="BQ41" s="558"/>
      <c r="BR41" s="558"/>
      <c r="BS41" s="558"/>
      <c r="BT41" s="559"/>
      <c r="BU41" s="219">
        <f t="shared" si="0"/>
        <v>100</v>
      </c>
      <c r="BV41" s="560">
        <v>100</v>
      </c>
      <c r="BW41" s="558"/>
      <c r="BX41" s="558"/>
      <c r="BY41" s="558"/>
      <c r="BZ41" s="558"/>
      <c r="CA41" s="558"/>
      <c r="CB41" s="558"/>
      <c r="CC41" s="559"/>
      <c r="CD41" s="219">
        <f t="shared" si="1"/>
        <v>100</v>
      </c>
      <c r="CE41" s="560">
        <v>100</v>
      </c>
      <c r="CF41" s="558"/>
      <c r="CG41" s="558"/>
      <c r="CH41" s="558"/>
      <c r="CI41" s="558"/>
      <c r="CJ41" s="558"/>
      <c r="CK41" s="558"/>
      <c r="CL41" s="559"/>
      <c r="CM41" s="219">
        <f t="shared" si="2"/>
        <v>100</v>
      </c>
      <c r="CN41" s="560">
        <v>100</v>
      </c>
      <c r="CO41" s="558"/>
      <c r="CP41" s="558"/>
      <c r="CQ41" s="558"/>
      <c r="CR41" s="558"/>
      <c r="CS41" s="558"/>
      <c r="CT41" s="558"/>
      <c r="CU41" s="559"/>
      <c r="CV41" s="219">
        <f t="shared" si="3"/>
        <v>100</v>
      </c>
      <c r="CW41" s="560">
        <v>100</v>
      </c>
      <c r="CX41" s="558"/>
      <c r="CY41" s="558"/>
      <c r="CZ41" s="558"/>
      <c r="DA41" s="558"/>
      <c r="DB41" s="558"/>
      <c r="DC41" s="558"/>
      <c r="DD41" s="559"/>
      <c r="DE41" s="219">
        <f t="shared" si="4"/>
        <v>100</v>
      </c>
      <c r="DF41" s="560">
        <v>100</v>
      </c>
      <c r="DG41" s="558"/>
      <c r="DH41" s="558"/>
      <c r="DI41" s="558"/>
      <c r="DJ41" s="558"/>
      <c r="DK41" s="558"/>
      <c r="DL41" s="558"/>
      <c r="DM41" s="559"/>
      <c r="DN41" s="219">
        <f t="shared" si="5"/>
        <v>100</v>
      </c>
      <c r="DO41" s="160">
        <f t="shared" si="10"/>
        <v>1152</v>
      </c>
      <c r="DP41" s="161"/>
    </row>
    <row r="42" spans="2:120" ht="287.25" customHeight="1">
      <c r="B42" s="563"/>
      <c r="C42" s="547"/>
      <c r="D42" s="550"/>
      <c r="E42" s="551"/>
      <c r="F42" s="547"/>
      <c r="G42" s="547"/>
      <c r="H42" s="562"/>
      <c r="I42" s="547"/>
      <c r="J42" s="162" t="s">
        <v>73</v>
      </c>
      <c r="K42" s="220">
        <v>19</v>
      </c>
      <c r="L42" s="218">
        <v>28</v>
      </c>
      <c r="M42" s="218">
        <v>25</v>
      </c>
      <c r="N42" s="218">
        <v>12</v>
      </c>
      <c r="O42" s="218">
        <v>30</v>
      </c>
      <c r="P42" s="218">
        <v>11</v>
      </c>
      <c r="Q42" s="218">
        <v>2</v>
      </c>
      <c r="R42" s="218">
        <v>2</v>
      </c>
      <c r="S42" s="218">
        <f t="shared" si="6"/>
        <v>129</v>
      </c>
      <c r="T42" s="159">
        <v>13</v>
      </c>
      <c r="U42" s="159">
        <v>15</v>
      </c>
      <c r="V42" s="159">
        <v>21</v>
      </c>
      <c r="W42" s="159">
        <v>12</v>
      </c>
      <c r="X42" s="159">
        <v>17</v>
      </c>
      <c r="Y42" s="159">
        <v>9</v>
      </c>
      <c r="Z42" s="159">
        <v>3</v>
      </c>
      <c r="AA42" s="159">
        <v>0</v>
      </c>
      <c r="AB42" s="159">
        <v>90</v>
      </c>
      <c r="AC42" s="221">
        <v>32</v>
      </c>
      <c r="AD42" s="221">
        <v>29</v>
      </c>
      <c r="AE42" s="221">
        <v>32</v>
      </c>
      <c r="AF42" s="221">
        <v>12</v>
      </c>
      <c r="AG42" s="221">
        <v>33</v>
      </c>
      <c r="AH42" s="221">
        <v>10</v>
      </c>
      <c r="AI42" s="221">
        <v>0</v>
      </c>
      <c r="AJ42" s="221">
        <v>0</v>
      </c>
      <c r="AK42" s="235">
        <v>148</v>
      </c>
      <c r="AL42" s="238">
        <v>32</v>
      </c>
      <c r="AM42" s="238">
        <v>10</v>
      </c>
      <c r="AN42" s="238">
        <v>26</v>
      </c>
      <c r="AO42" s="238">
        <v>19</v>
      </c>
      <c r="AP42" s="238">
        <v>36</v>
      </c>
      <c r="AQ42" s="238">
        <v>7</v>
      </c>
      <c r="AR42" s="238">
        <v>2</v>
      </c>
      <c r="AS42" s="238">
        <v>0</v>
      </c>
      <c r="AT42" s="236">
        <f t="shared" si="7"/>
        <v>132</v>
      </c>
      <c r="AU42" s="237">
        <v>34</v>
      </c>
      <c r="AV42" s="219">
        <v>29</v>
      </c>
      <c r="AW42" s="219">
        <v>37</v>
      </c>
      <c r="AX42" s="219">
        <v>12</v>
      </c>
      <c r="AY42" s="219">
        <v>15</v>
      </c>
      <c r="AZ42" s="219">
        <v>9</v>
      </c>
      <c r="BA42" s="219">
        <v>5</v>
      </c>
      <c r="BB42" s="219">
        <v>2</v>
      </c>
      <c r="BC42" s="219">
        <f t="shared" si="8"/>
        <v>143</v>
      </c>
      <c r="BD42" s="219">
        <v>36</v>
      </c>
      <c r="BE42" s="219">
        <v>36</v>
      </c>
      <c r="BF42" s="219">
        <v>31</v>
      </c>
      <c r="BG42" s="219">
        <v>15</v>
      </c>
      <c r="BH42" s="219">
        <v>19</v>
      </c>
      <c r="BI42" s="219">
        <v>6</v>
      </c>
      <c r="BJ42" s="219">
        <v>6</v>
      </c>
      <c r="BK42" s="219">
        <v>3</v>
      </c>
      <c r="BL42" s="219">
        <f t="shared" si="9"/>
        <v>152</v>
      </c>
      <c r="BM42" s="219"/>
      <c r="BN42" s="219"/>
      <c r="BO42" s="219"/>
      <c r="BP42" s="219"/>
      <c r="BQ42" s="219"/>
      <c r="BR42" s="219"/>
      <c r="BS42" s="219"/>
      <c r="BT42" s="219"/>
      <c r="BU42" s="219">
        <f t="shared" si="0"/>
        <v>0</v>
      </c>
      <c r="BV42" s="219"/>
      <c r="BW42" s="219"/>
      <c r="BX42" s="219"/>
      <c r="BY42" s="219"/>
      <c r="BZ42" s="219"/>
      <c r="CA42" s="219"/>
      <c r="CB42" s="219"/>
      <c r="CC42" s="219"/>
      <c r="CD42" s="219">
        <f t="shared" si="1"/>
        <v>0</v>
      </c>
      <c r="CE42" s="219"/>
      <c r="CF42" s="219"/>
      <c r="CG42" s="219"/>
      <c r="CH42" s="219"/>
      <c r="CI42" s="219"/>
      <c r="CJ42" s="219"/>
      <c r="CK42" s="219"/>
      <c r="CL42" s="219"/>
      <c r="CM42" s="219">
        <f t="shared" si="2"/>
        <v>0</v>
      </c>
      <c r="CN42" s="219"/>
      <c r="CO42" s="219"/>
      <c r="CP42" s="219"/>
      <c r="CQ42" s="219"/>
      <c r="CR42" s="219"/>
      <c r="CS42" s="219"/>
      <c r="CT42" s="219"/>
      <c r="CU42" s="219"/>
      <c r="CV42" s="219">
        <f t="shared" si="3"/>
        <v>0</v>
      </c>
      <c r="CW42" s="219"/>
      <c r="CX42" s="219"/>
      <c r="CY42" s="219"/>
      <c r="CZ42" s="219"/>
      <c r="DA42" s="219"/>
      <c r="DB42" s="219"/>
      <c r="DC42" s="219"/>
      <c r="DD42" s="219"/>
      <c r="DE42" s="219">
        <f t="shared" si="4"/>
        <v>0</v>
      </c>
      <c r="DF42" s="222"/>
      <c r="DG42" s="222"/>
      <c r="DH42" s="222"/>
      <c r="DI42" s="222"/>
      <c r="DJ42" s="222"/>
      <c r="DK42" s="222"/>
      <c r="DL42" s="222"/>
      <c r="DM42" s="222"/>
      <c r="DN42" s="219">
        <f t="shared" si="5"/>
        <v>0</v>
      </c>
      <c r="DO42" s="160">
        <f t="shared" si="10"/>
        <v>794</v>
      </c>
      <c r="DP42" s="161"/>
    </row>
    <row r="43" spans="2:120" ht="216" hidden="1" customHeight="1">
      <c r="B43" s="546" t="s">
        <v>237</v>
      </c>
      <c r="C43" s="546" t="s">
        <v>75</v>
      </c>
      <c r="D43" s="548" t="s">
        <v>80</v>
      </c>
      <c r="E43" s="549"/>
      <c r="F43" s="546" t="s">
        <v>12</v>
      </c>
      <c r="G43" s="546">
        <v>425</v>
      </c>
      <c r="H43" s="561" t="s">
        <v>240</v>
      </c>
      <c r="I43" s="546">
        <v>164</v>
      </c>
      <c r="J43" s="158" t="s">
        <v>72</v>
      </c>
      <c r="K43" s="554">
        <v>10</v>
      </c>
      <c r="L43" s="555"/>
      <c r="M43" s="555"/>
      <c r="N43" s="555"/>
      <c r="O43" s="555"/>
      <c r="P43" s="555"/>
      <c r="Q43" s="555"/>
      <c r="R43" s="556"/>
      <c r="S43" s="218">
        <f t="shared" si="6"/>
        <v>10</v>
      </c>
      <c r="T43" s="357">
        <v>10</v>
      </c>
      <c r="U43" s="358"/>
      <c r="V43" s="358"/>
      <c r="W43" s="358"/>
      <c r="X43" s="358"/>
      <c r="Y43" s="358"/>
      <c r="Z43" s="358"/>
      <c r="AA43" s="359"/>
      <c r="AB43" s="159">
        <f t="shared" si="11"/>
        <v>10</v>
      </c>
      <c r="AC43" s="557">
        <v>15</v>
      </c>
      <c r="AD43" s="558"/>
      <c r="AE43" s="558"/>
      <c r="AF43" s="558"/>
      <c r="AG43" s="558"/>
      <c r="AH43" s="558"/>
      <c r="AI43" s="558"/>
      <c r="AJ43" s="559"/>
      <c r="AK43" s="219">
        <f t="shared" si="12"/>
        <v>15</v>
      </c>
      <c r="AL43" s="575">
        <v>15</v>
      </c>
      <c r="AM43" s="344"/>
      <c r="AN43" s="344"/>
      <c r="AO43" s="344"/>
      <c r="AP43" s="344"/>
      <c r="AQ43" s="344"/>
      <c r="AR43" s="344"/>
      <c r="AS43" s="345"/>
      <c r="AT43" s="236">
        <f t="shared" si="7"/>
        <v>15</v>
      </c>
      <c r="AU43" s="560">
        <v>14</v>
      </c>
      <c r="AV43" s="558"/>
      <c r="AW43" s="558"/>
      <c r="AX43" s="558"/>
      <c r="AY43" s="558"/>
      <c r="AZ43" s="558"/>
      <c r="BA43" s="558"/>
      <c r="BB43" s="559"/>
      <c r="BC43" s="219">
        <f t="shared" si="8"/>
        <v>14</v>
      </c>
      <c r="BD43" s="560">
        <v>14</v>
      </c>
      <c r="BE43" s="558"/>
      <c r="BF43" s="558"/>
      <c r="BG43" s="558"/>
      <c r="BH43" s="558"/>
      <c r="BI43" s="558"/>
      <c r="BJ43" s="558"/>
      <c r="BK43" s="559"/>
      <c r="BL43" s="219">
        <f t="shared" si="9"/>
        <v>14</v>
      </c>
      <c r="BM43" s="560">
        <v>14</v>
      </c>
      <c r="BN43" s="558"/>
      <c r="BO43" s="558"/>
      <c r="BP43" s="558"/>
      <c r="BQ43" s="558"/>
      <c r="BR43" s="558"/>
      <c r="BS43" s="558"/>
      <c r="BT43" s="559"/>
      <c r="BU43" s="219">
        <f t="shared" si="0"/>
        <v>14</v>
      </c>
      <c r="BV43" s="560">
        <v>14</v>
      </c>
      <c r="BW43" s="558"/>
      <c r="BX43" s="558"/>
      <c r="BY43" s="558"/>
      <c r="BZ43" s="558"/>
      <c r="CA43" s="558"/>
      <c r="CB43" s="558"/>
      <c r="CC43" s="559"/>
      <c r="CD43" s="219">
        <f t="shared" si="1"/>
        <v>14</v>
      </c>
      <c r="CE43" s="560">
        <v>14</v>
      </c>
      <c r="CF43" s="558"/>
      <c r="CG43" s="558"/>
      <c r="CH43" s="558"/>
      <c r="CI43" s="558"/>
      <c r="CJ43" s="558"/>
      <c r="CK43" s="558"/>
      <c r="CL43" s="559"/>
      <c r="CM43" s="219">
        <f t="shared" si="2"/>
        <v>14</v>
      </c>
      <c r="CN43" s="560">
        <v>14</v>
      </c>
      <c r="CO43" s="558"/>
      <c r="CP43" s="558"/>
      <c r="CQ43" s="558"/>
      <c r="CR43" s="558"/>
      <c r="CS43" s="558"/>
      <c r="CT43" s="558"/>
      <c r="CU43" s="559"/>
      <c r="CV43" s="219">
        <f t="shared" si="3"/>
        <v>14</v>
      </c>
      <c r="CW43" s="560">
        <v>15</v>
      </c>
      <c r="CX43" s="558"/>
      <c r="CY43" s="558"/>
      <c r="CZ43" s="558"/>
      <c r="DA43" s="558"/>
      <c r="DB43" s="558"/>
      <c r="DC43" s="558"/>
      <c r="DD43" s="559"/>
      <c r="DE43" s="219">
        <f t="shared" si="4"/>
        <v>15</v>
      </c>
      <c r="DF43" s="560">
        <v>15</v>
      </c>
      <c r="DG43" s="558"/>
      <c r="DH43" s="558"/>
      <c r="DI43" s="558"/>
      <c r="DJ43" s="558"/>
      <c r="DK43" s="558"/>
      <c r="DL43" s="558"/>
      <c r="DM43" s="559"/>
      <c r="DN43" s="219">
        <f t="shared" si="5"/>
        <v>15</v>
      </c>
      <c r="DO43" s="160">
        <f t="shared" si="10"/>
        <v>164</v>
      </c>
      <c r="DP43" s="161"/>
    </row>
    <row r="44" spans="2:120" ht="178.5" customHeight="1">
      <c r="B44" s="563"/>
      <c r="C44" s="547"/>
      <c r="D44" s="550"/>
      <c r="E44" s="551"/>
      <c r="F44" s="547"/>
      <c r="G44" s="547"/>
      <c r="H44" s="562"/>
      <c r="I44" s="547"/>
      <c r="J44" s="162" t="s">
        <v>73</v>
      </c>
      <c r="K44" s="220">
        <v>7</v>
      </c>
      <c r="L44" s="218">
        <v>5</v>
      </c>
      <c r="M44" s="218">
        <v>1</v>
      </c>
      <c r="N44" s="218">
        <v>2</v>
      </c>
      <c r="O44" s="218">
        <v>2</v>
      </c>
      <c r="P44" s="218">
        <v>0</v>
      </c>
      <c r="Q44" s="218">
        <v>0</v>
      </c>
      <c r="R44" s="218">
        <v>0</v>
      </c>
      <c r="S44" s="218">
        <f t="shared" si="6"/>
        <v>17</v>
      </c>
      <c r="T44" s="159">
        <v>6</v>
      </c>
      <c r="U44" s="159">
        <v>4</v>
      </c>
      <c r="V44" s="159">
        <v>7</v>
      </c>
      <c r="W44" s="159">
        <v>2</v>
      </c>
      <c r="X44" s="159">
        <v>2</v>
      </c>
      <c r="Y44" s="159">
        <v>0</v>
      </c>
      <c r="Z44" s="159">
        <v>0</v>
      </c>
      <c r="AA44" s="159">
        <v>0</v>
      </c>
      <c r="AB44" s="159">
        <v>21</v>
      </c>
      <c r="AC44" s="221">
        <v>7</v>
      </c>
      <c r="AD44" s="221">
        <v>2</v>
      </c>
      <c r="AE44" s="221">
        <v>0</v>
      </c>
      <c r="AF44" s="221">
        <v>0</v>
      </c>
      <c r="AG44" s="221">
        <v>1</v>
      </c>
      <c r="AH44" s="221">
        <v>0</v>
      </c>
      <c r="AI44" s="221">
        <v>0</v>
      </c>
      <c r="AJ44" s="221">
        <v>0</v>
      </c>
      <c r="AK44" s="219">
        <v>10</v>
      </c>
      <c r="AL44" s="219">
        <v>4</v>
      </c>
      <c r="AM44" s="219">
        <v>5</v>
      </c>
      <c r="AN44" s="219">
        <v>1</v>
      </c>
      <c r="AO44" s="219">
        <v>0</v>
      </c>
      <c r="AP44" s="219">
        <v>5</v>
      </c>
      <c r="AQ44" s="219">
        <v>0</v>
      </c>
      <c r="AR44" s="219">
        <v>0</v>
      </c>
      <c r="AS44" s="219">
        <v>0</v>
      </c>
      <c r="AT44" s="236">
        <f t="shared" si="7"/>
        <v>15</v>
      </c>
      <c r="AU44" s="219">
        <v>6</v>
      </c>
      <c r="AV44" s="219">
        <v>6</v>
      </c>
      <c r="AW44" s="219">
        <v>3</v>
      </c>
      <c r="AX44" s="219">
        <v>3</v>
      </c>
      <c r="AY44" s="219">
        <v>0</v>
      </c>
      <c r="AZ44" s="219">
        <v>0</v>
      </c>
      <c r="BA44" s="219">
        <v>0</v>
      </c>
      <c r="BB44" s="219">
        <v>0</v>
      </c>
      <c r="BC44" s="219">
        <f t="shared" si="8"/>
        <v>18</v>
      </c>
      <c r="BD44" s="219">
        <v>14</v>
      </c>
      <c r="BE44" s="219">
        <v>8</v>
      </c>
      <c r="BF44" s="219">
        <v>6</v>
      </c>
      <c r="BG44" s="219">
        <v>4</v>
      </c>
      <c r="BH44" s="219">
        <v>0</v>
      </c>
      <c r="BI44" s="219">
        <v>0</v>
      </c>
      <c r="BJ44" s="219">
        <v>0</v>
      </c>
      <c r="BK44" s="219">
        <v>0</v>
      </c>
      <c r="BL44" s="219">
        <f t="shared" si="9"/>
        <v>32</v>
      </c>
      <c r="BM44" s="219"/>
      <c r="BN44" s="219"/>
      <c r="BO44" s="219"/>
      <c r="BP44" s="219"/>
      <c r="BQ44" s="219"/>
      <c r="BR44" s="219"/>
      <c r="BS44" s="219"/>
      <c r="BT44" s="219"/>
      <c r="BU44" s="219">
        <f t="shared" si="0"/>
        <v>0</v>
      </c>
      <c r="BV44" s="219"/>
      <c r="BW44" s="219"/>
      <c r="BX44" s="219"/>
      <c r="BY44" s="219"/>
      <c r="BZ44" s="219"/>
      <c r="CA44" s="219"/>
      <c r="CB44" s="219"/>
      <c r="CC44" s="219"/>
      <c r="CD44" s="219">
        <f t="shared" si="1"/>
        <v>0</v>
      </c>
      <c r="CE44" s="219"/>
      <c r="CF44" s="219"/>
      <c r="CG44" s="219"/>
      <c r="CH44" s="219"/>
      <c r="CI44" s="219"/>
      <c r="CJ44" s="219"/>
      <c r="CK44" s="219"/>
      <c r="CL44" s="219"/>
      <c r="CM44" s="219">
        <f t="shared" si="2"/>
        <v>0</v>
      </c>
      <c r="CN44" s="219"/>
      <c r="CO44" s="219"/>
      <c r="CP44" s="219"/>
      <c r="CQ44" s="219"/>
      <c r="CR44" s="219"/>
      <c r="CS44" s="219"/>
      <c r="CT44" s="219"/>
      <c r="CU44" s="219"/>
      <c r="CV44" s="219">
        <f t="shared" si="3"/>
        <v>0</v>
      </c>
      <c r="CW44" s="219"/>
      <c r="CX44" s="219"/>
      <c r="CY44" s="219"/>
      <c r="CZ44" s="219"/>
      <c r="DA44" s="219"/>
      <c r="DB44" s="219"/>
      <c r="DC44" s="219"/>
      <c r="DD44" s="219"/>
      <c r="DE44" s="219">
        <f t="shared" si="4"/>
        <v>0</v>
      </c>
      <c r="DF44" s="222"/>
      <c r="DG44" s="222"/>
      <c r="DH44" s="222"/>
      <c r="DI44" s="222"/>
      <c r="DJ44" s="222"/>
      <c r="DK44" s="222"/>
      <c r="DL44" s="222"/>
      <c r="DM44" s="222"/>
      <c r="DN44" s="219">
        <f t="shared" si="5"/>
        <v>0</v>
      </c>
      <c r="DO44" s="160">
        <f t="shared" si="10"/>
        <v>113</v>
      </c>
      <c r="DP44" s="161"/>
    </row>
    <row r="45" spans="2:120" ht="287.25" hidden="1" customHeight="1">
      <c r="B45" s="546" t="s">
        <v>237</v>
      </c>
      <c r="C45" s="546" t="s">
        <v>75</v>
      </c>
      <c r="D45" s="548" t="s">
        <v>80</v>
      </c>
      <c r="E45" s="549"/>
      <c r="F45" s="546" t="s">
        <v>12</v>
      </c>
      <c r="G45" s="546">
        <v>1052</v>
      </c>
      <c r="H45" s="561" t="s">
        <v>241</v>
      </c>
      <c r="I45" s="546">
        <v>1815</v>
      </c>
      <c r="J45" s="158" t="s">
        <v>72</v>
      </c>
      <c r="K45" s="554">
        <v>200</v>
      </c>
      <c r="L45" s="555"/>
      <c r="M45" s="555"/>
      <c r="N45" s="555"/>
      <c r="O45" s="555"/>
      <c r="P45" s="555"/>
      <c r="Q45" s="555"/>
      <c r="R45" s="556"/>
      <c r="S45" s="218">
        <f t="shared" si="6"/>
        <v>200</v>
      </c>
      <c r="T45" s="357">
        <v>200</v>
      </c>
      <c r="U45" s="358"/>
      <c r="V45" s="358"/>
      <c r="W45" s="358"/>
      <c r="X45" s="358"/>
      <c r="Y45" s="358"/>
      <c r="Z45" s="358"/>
      <c r="AA45" s="359"/>
      <c r="AB45" s="159">
        <f t="shared" si="11"/>
        <v>200</v>
      </c>
      <c r="AC45" s="557">
        <v>100</v>
      </c>
      <c r="AD45" s="558"/>
      <c r="AE45" s="558"/>
      <c r="AF45" s="558"/>
      <c r="AG45" s="558"/>
      <c r="AH45" s="558"/>
      <c r="AI45" s="558"/>
      <c r="AJ45" s="559"/>
      <c r="AK45" s="219">
        <f t="shared" si="12"/>
        <v>100</v>
      </c>
      <c r="AL45" s="560">
        <v>100</v>
      </c>
      <c r="AM45" s="558"/>
      <c r="AN45" s="558"/>
      <c r="AO45" s="558"/>
      <c r="AP45" s="558"/>
      <c r="AQ45" s="558"/>
      <c r="AR45" s="558"/>
      <c r="AS45" s="559"/>
      <c r="AT45" s="236">
        <f t="shared" si="7"/>
        <v>100</v>
      </c>
      <c r="AU45" s="560">
        <v>150</v>
      </c>
      <c r="AV45" s="558"/>
      <c r="AW45" s="558"/>
      <c r="AX45" s="558"/>
      <c r="AY45" s="558"/>
      <c r="AZ45" s="558"/>
      <c r="BA45" s="558"/>
      <c r="BB45" s="559"/>
      <c r="BC45" s="219">
        <f t="shared" si="8"/>
        <v>150</v>
      </c>
      <c r="BD45" s="560">
        <v>150</v>
      </c>
      <c r="BE45" s="558"/>
      <c r="BF45" s="558"/>
      <c r="BG45" s="558"/>
      <c r="BH45" s="558"/>
      <c r="BI45" s="558"/>
      <c r="BJ45" s="558"/>
      <c r="BK45" s="559"/>
      <c r="BL45" s="219">
        <f t="shared" si="9"/>
        <v>150</v>
      </c>
      <c r="BM45" s="560">
        <v>100</v>
      </c>
      <c r="BN45" s="558"/>
      <c r="BO45" s="558"/>
      <c r="BP45" s="558"/>
      <c r="BQ45" s="558"/>
      <c r="BR45" s="558"/>
      <c r="BS45" s="558"/>
      <c r="BT45" s="559"/>
      <c r="BU45" s="219">
        <f t="shared" si="0"/>
        <v>100</v>
      </c>
      <c r="BV45" s="560">
        <v>100</v>
      </c>
      <c r="BW45" s="558"/>
      <c r="BX45" s="558"/>
      <c r="BY45" s="558"/>
      <c r="BZ45" s="558"/>
      <c r="CA45" s="558"/>
      <c r="CB45" s="558"/>
      <c r="CC45" s="559"/>
      <c r="CD45" s="219">
        <f t="shared" si="1"/>
        <v>100</v>
      </c>
      <c r="CE45" s="560">
        <v>260</v>
      </c>
      <c r="CF45" s="558"/>
      <c r="CG45" s="558"/>
      <c r="CH45" s="558"/>
      <c r="CI45" s="558"/>
      <c r="CJ45" s="558"/>
      <c r="CK45" s="558"/>
      <c r="CL45" s="559"/>
      <c r="CM45" s="219">
        <f t="shared" si="2"/>
        <v>260</v>
      </c>
      <c r="CN45" s="560">
        <v>150</v>
      </c>
      <c r="CO45" s="558"/>
      <c r="CP45" s="558"/>
      <c r="CQ45" s="558"/>
      <c r="CR45" s="558"/>
      <c r="CS45" s="558"/>
      <c r="CT45" s="558"/>
      <c r="CU45" s="559"/>
      <c r="CV45" s="219">
        <f t="shared" si="3"/>
        <v>150</v>
      </c>
      <c r="CW45" s="560">
        <v>150</v>
      </c>
      <c r="CX45" s="558"/>
      <c r="CY45" s="558"/>
      <c r="CZ45" s="558"/>
      <c r="DA45" s="558"/>
      <c r="DB45" s="558"/>
      <c r="DC45" s="558"/>
      <c r="DD45" s="559"/>
      <c r="DE45" s="219">
        <f t="shared" si="4"/>
        <v>150</v>
      </c>
      <c r="DF45" s="560">
        <v>155</v>
      </c>
      <c r="DG45" s="558"/>
      <c r="DH45" s="558"/>
      <c r="DI45" s="558"/>
      <c r="DJ45" s="558"/>
      <c r="DK45" s="558"/>
      <c r="DL45" s="558"/>
      <c r="DM45" s="559"/>
      <c r="DN45" s="219">
        <f t="shared" si="5"/>
        <v>155</v>
      </c>
      <c r="DO45" s="160">
        <f t="shared" si="10"/>
        <v>1815</v>
      </c>
      <c r="DP45" s="161"/>
    </row>
    <row r="46" spans="2:120" ht="287.25" customHeight="1">
      <c r="B46" s="563"/>
      <c r="C46" s="547"/>
      <c r="D46" s="550"/>
      <c r="E46" s="551"/>
      <c r="F46" s="547"/>
      <c r="G46" s="547"/>
      <c r="H46" s="562"/>
      <c r="I46" s="547"/>
      <c r="J46" s="162" t="s">
        <v>73</v>
      </c>
      <c r="K46" s="220">
        <v>12</v>
      </c>
      <c r="L46" s="218">
        <v>23</v>
      </c>
      <c r="M46" s="218">
        <v>18</v>
      </c>
      <c r="N46" s="218">
        <v>15</v>
      </c>
      <c r="O46" s="218">
        <v>15</v>
      </c>
      <c r="P46" s="218">
        <v>7</v>
      </c>
      <c r="Q46" s="218">
        <v>0</v>
      </c>
      <c r="R46" s="218">
        <v>0</v>
      </c>
      <c r="S46" s="218">
        <f t="shared" si="6"/>
        <v>90</v>
      </c>
      <c r="T46" s="159">
        <v>7</v>
      </c>
      <c r="U46" s="159">
        <v>12</v>
      </c>
      <c r="V46" s="159">
        <v>5</v>
      </c>
      <c r="W46" s="159">
        <v>10</v>
      </c>
      <c r="X46" s="159">
        <v>5</v>
      </c>
      <c r="Y46" s="159">
        <v>3</v>
      </c>
      <c r="Z46" s="159">
        <v>1</v>
      </c>
      <c r="AA46" s="159">
        <v>0</v>
      </c>
      <c r="AB46" s="159">
        <v>43</v>
      </c>
      <c r="AC46" s="221">
        <v>12</v>
      </c>
      <c r="AD46" s="221">
        <v>19</v>
      </c>
      <c r="AE46" s="221">
        <v>8</v>
      </c>
      <c r="AF46" s="221">
        <v>4</v>
      </c>
      <c r="AG46" s="221">
        <v>6</v>
      </c>
      <c r="AH46" s="221">
        <v>4</v>
      </c>
      <c r="AI46" s="221">
        <v>1</v>
      </c>
      <c r="AJ46" s="221">
        <v>0</v>
      </c>
      <c r="AK46" s="219">
        <v>54</v>
      </c>
      <c r="AL46" s="219">
        <v>5</v>
      </c>
      <c r="AM46" s="219">
        <v>3</v>
      </c>
      <c r="AN46" s="219">
        <v>9</v>
      </c>
      <c r="AO46" s="219">
        <v>6</v>
      </c>
      <c r="AP46" s="219">
        <v>4</v>
      </c>
      <c r="AQ46" s="219">
        <v>2</v>
      </c>
      <c r="AR46" s="219">
        <v>2</v>
      </c>
      <c r="AS46" s="219">
        <v>0</v>
      </c>
      <c r="AT46" s="236">
        <f t="shared" si="7"/>
        <v>31</v>
      </c>
      <c r="AU46" s="219">
        <v>6</v>
      </c>
      <c r="AV46" s="219">
        <v>13</v>
      </c>
      <c r="AW46" s="219">
        <v>7</v>
      </c>
      <c r="AX46" s="219">
        <v>2</v>
      </c>
      <c r="AY46" s="219">
        <v>2</v>
      </c>
      <c r="AZ46" s="219">
        <v>2</v>
      </c>
      <c r="BA46" s="219">
        <v>2</v>
      </c>
      <c r="BB46" s="219">
        <v>0</v>
      </c>
      <c r="BC46" s="219">
        <f t="shared" si="8"/>
        <v>34</v>
      </c>
      <c r="BD46" s="219">
        <v>26</v>
      </c>
      <c r="BE46" s="219">
        <v>15</v>
      </c>
      <c r="BF46" s="219">
        <v>22</v>
      </c>
      <c r="BG46" s="219">
        <v>17</v>
      </c>
      <c r="BH46" s="219">
        <v>13</v>
      </c>
      <c r="BI46" s="219">
        <v>6</v>
      </c>
      <c r="BJ46" s="219">
        <v>1</v>
      </c>
      <c r="BK46" s="219">
        <v>0</v>
      </c>
      <c r="BL46" s="219">
        <f t="shared" si="9"/>
        <v>100</v>
      </c>
      <c r="BM46" s="219"/>
      <c r="BN46" s="219"/>
      <c r="BO46" s="219"/>
      <c r="BP46" s="219"/>
      <c r="BQ46" s="219"/>
      <c r="BR46" s="219"/>
      <c r="BS46" s="219"/>
      <c r="BT46" s="219"/>
      <c r="BU46" s="219">
        <f t="shared" si="0"/>
        <v>0</v>
      </c>
      <c r="BV46" s="219"/>
      <c r="BW46" s="219"/>
      <c r="BX46" s="219"/>
      <c r="BY46" s="219"/>
      <c r="BZ46" s="219"/>
      <c r="CA46" s="219"/>
      <c r="CB46" s="219"/>
      <c r="CC46" s="219"/>
      <c r="CD46" s="219">
        <f t="shared" si="1"/>
        <v>0</v>
      </c>
      <c r="CE46" s="219"/>
      <c r="CF46" s="219"/>
      <c r="CG46" s="219"/>
      <c r="CH46" s="219"/>
      <c r="CI46" s="219"/>
      <c r="CJ46" s="219"/>
      <c r="CK46" s="219"/>
      <c r="CL46" s="219"/>
      <c r="CM46" s="219">
        <f t="shared" si="2"/>
        <v>0</v>
      </c>
      <c r="CN46" s="219"/>
      <c r="CO46" s="219"/>
      <c r="CP46" s="219"/>
      <c r="CQ46" s="219"/>
      <c r="CR46" s="219"/>
      <c r="CS46" s="219"/>
      <c r="CT46" s="219"/>
      <c r="CU46" s="219"/>
      <c r="CV46" s="219">
        <f t="shared" si="3"/>
        <v>0</v>
      </c>
      <c r="CW46" s="219"/>
      <c r="CX46" s="219"/>
      <c r="CY46" s="219"/>
      <c r="CZ46" s="219"/>
      <c r="DA46" s="219"/>
      <c r="DB46" s="219"/>
      <c r="DC46" s="219"/>
      <c r="DD46" s="219"/>
      <c r="DE46" s="219">
        <f t="shared" si="4"/>
        <v>0</v>
      </c>
      <c r="DF46" s="222"/>
      <c r="DG46" s="222"/>
      <c r="DH46" s="222"/>
      <c r="DI46" s="222"/>
      <c r="DJ46" s="222"/>
      <c r="DK46" s="222"/>
      <c r="DL46" s="222"/>
      <c r="DM46" s="222"/>
      <c r="DN46" s="219">
        <f t="shared" si="5"/>
        <v>0</v>
      </c>
      <c r="DO46" s="160">
        <f t="shared" si="10"/>
        <v>352</v>
      </c>
      <c r="DP46" s="161"/>
    </row>
    <row r="47" spans="2:120" ht="208.5" hidden="1" customHeight="1">
      <c r="B47" s="546" t="s">
        <v>237</v>
      </c>
      <c r="C47" s="546" t="s">
        <v>75</v>
      </c>
      <c r="D47" s="548" t="s">
        <v>80</v>
      </c>
      <c r="E47" s="549"/>
      <c r="F47" s="546" t="s">
        <v>12</v>
      </c>
      <c r="G47" s="546">
        <v>426</v>
      </c>
      <c r="H47" s="561" t="s">
        <v>242</v>
      </c>
      <c r="I47" s="546">
        <v>267</v>
      </c>
      <c r="J47" s="158" t="s">
        <v>72</v>
      </c>
      <c r="K47" s="554">
        <v>27</v>
      </c>
      <c r="L47" s="555"/>
      <c r="M47" s="555"/>
      <c r="N47" s="555"/>
      <c r="O47" s="555"/>
      <c r="P47" s="555"/>
      <c r="Q47" s="555"/>
      <c r="R47" s="556"/>
      <c r="S47" s="218">
        <f t="shared" si="6"/>
        <v>27</v>
      </c>
      <c r="T47" s="357">
        <v>20</v>
      </c>
      <c r="U47" s="358"/>
      <c r="V47" s="358"/>
      <c r="W47" s="358"/>
      <c r="X47" s="358"/>
      <c r="Y47" s="358"/>
      <c r="Z47" s="358"/>
      <c r="AA47" s="359"/>
      <c r="AB47" s="159">
        <f t="shared" si="11"/>
        <v>20</v>
      </c>
      <c r="AC47" s="557">
        <v>30</v>
      </c>
      <c r="AD47" s="558"/>
      <c r="AE47" s="558"/>
      <c r="AF47" s="558"/>
      <c r="AG47" s="558"/>
      <c r="AH47" s="558"/>
      <c r="AI47" s="558"/>
      <c r="AJ47" s="559"/>
      <c r="AK47" s="219">
        <f t="shared" si="12"/>
        <v>30</v>
      </c>
      <c r="AL47" s="560">
        <v>25</v>
      </c>
      <c r="AM47" s="558"/>
      <c r="AN47" s="558"/>
      <c r="AO47" s="558"/>
      <c r="AP47" s="558"/>
      <c r="AQ47" s="558"/>
      <c r="AR47" s="558"/>
      <c r="AS47" s="559"/>
      <c r="AT47" s="236">
        <f t="shared" si="7"/>
        <v>25</v>
      </c>
      <c r="AU47" s="560">
        <v>20</v>
      </c>
      <c r="AV47" s="558"/>
      <c r="AW47" s="558"/>
      <c r="AX47" s="558"/>
      <c r="AY47" s="558"/>
      <c r="AZ47" s="558"/>
      <c r="BA47" s="558"/>
      <c r="BB47" s="559"/>
      <c r="BC47" s="219">
        <f t="shared" si="8"/>
        <v>20</v>
      </c>
      <c r="BD47" s="560">
        <v>20</v>
      </c>
      <c r="BE47" s="558"/>
      <c r="BF47" s="558"/>
      <c r="BG47" s="558"/>
      <c r="BH47" s="558"/>
      <c r="BI47" s="558"/>
      <c r="BJ47" s="558"/>
      <c r="BK47" s="559"/>
      <c r="BL47" s="219">
        <f t="shared" si="9"/>
        <v>20</v>
      </c>
      <c r="BM47" s="560">
        <v>20</v>
      </c>
      <c r="BN47" s="558"/>
      <c r="BO47" s="558"/>
      <c r="BP47" s="558"/>
      <c r="BQ47" s="558"/>
      <c r="BR47" s="558"/>
      <c r="BS47" s="558"/>
      <c r="BT47" s="559"/>
      <c r="BU47" s="219">
        <f t="shared" si="0"/>
        <v>20</v>
      </c>
      <c r="BV47" s="560">
        <v>22</v>
      </c>
      <c r="BW47" s="558"/>
      <c r="BX47" s="558"/>
      <c r="BY47" s="558"/>
      <c r="BZ47" s="558"/>
      <c r="CA47" s="558"/>
      <c r="CB47" s="558"/>
      <c r="CC47" s="559"/>
      <c r="CD47" s="219">
        <f t="shared" si="1"/>
        <v>22</v>
      </c>
      <c r="CE47" s="560">
        <v>20</v>
      </c>
      <c r="CF47" s="558"/>
      <c r="CG47" s="558"/>
      <c r="CH47" s="558"/>
      <c r="CI47" s="558"/>
      <c r="CJ47" s="558"/>
      <c r="CK47" s="558"/>
      <c r="CL47" s="559"/>
      <c r="CM47" s="219">
        <f t="shared" si="2"/>
        <v>20</v>
      </c>
      <c r="CN47" s="560">
        <v>23</v>
      </c>
      <c r="CO47" s="558"/>
      <c r="CP47" s="558"/>
      <c r="CQ47" s="558"/>
      <c r="CR47" s="558"/>
      <c r="CS47" s="558"/>
      <c r="CT47" s="558"/>
      <c r="CU47" s="559"/>
      <c r="CV47" s="219">
        <f t="shared" si="3"/>
        <v>23</v>
      </c>
      <c r="CW47" s="560">
        <v>20</v>
      </c>
      <c r="CX47" s="558"/>
      <c r="CY47" s="558"/>
      <c r="CZ47" s="558"/>
      <c r="DA47" s="558"/>
      <c r="DB47" s="558"/>
      <c r="DC47" s="558"/>
      <c r="DD47" s="559"/>
      <c r="DE47" s="219">
        <f t="shared" si="4"/>
        <v>20</v>
      </c>
      <c r="DF47" s="560">
        <v>20</v>
      </c>
      <c r="DG47" s="558"/>
      <c r="DH47" s="558"/>
      <c r="DI47" s="558"/>
      <c r="DJ47" s="558"/>
      <c r="DK47" s="558"/>
      <c r="DL47" s="558"/>
      <c r="DM47" s="559"/>
      <c r="DN47" s="219">
        <f t="shared" si="5"/>
        <v>20</v>
      </c>
      <c r="DO47" s="160">
        <f t="shared" si="10"/>
        <v>267</v>
      </c>
      <c r="DP47" s="161"/>
    </row>
    <row r="48" spans="2:120" ht="201" customHeight="1">
      <c r="B48" s="563"/>
      <c r="C48" s="547"/>
      <c r="D48" s="550"/>
      <c r="E48" s="551"/>
      <c r="F48" s="547"/>
      <c r="G48" s="547"/>
      <c r="H48" s="562"/>
      <c r="I48" s="547"/>
      <c r="J48" s="162" t="s">
        <v>73</v>
      </c>
      <c r="K48" s="220">
        <v>4</v>
      </c>
      <c r="L48" s="218">
        <v>0</v>
      </c>
      <c r="M48" s="218">
        <v>0</v>
      </c>
      <c r="N48" s="218">
        <v>1</v>
      </c>
      <c r="O48" s="218">
        <v>4</v>
      </c>
      <c r="P48" s="218">
        <v>0</v>
      </c>
      <c r="Q48" s="218">
        <v>0</v>
      </c>
      <c r="R48" s="218">
        <v>0</v>
      </c>
      <c r="S48" s="218">
        <f t="shared" si="6"/>
        <v>9</v>
      </c>
      <c r="T48" s="159">
        <v>9</v>
      </c>
      <c r="U48" s="159">
        <v>7</v>
      </c>
      <c r="V48" s="159">
        <v>16</v>
      </c>
      <c r="W48" s="159">
        <v>5</v>
      </c>
      <c r="X48" s="159">
        <v>4</v>
      </c>
      <c r="Y48" s="159">
        <v>0</v>
      </c>
      <c r="Z48" s="159">
        <v>0</v>
      </c>
      <c r="AA48" s="159">
        <v>0</v>
      </c>
      <c r="AB48" s="159">
        <v>41</v>
      </c>
      <c r="AC48" s="221">
        <v>9</v>
      </c>
      <c r="AD48" s="221">
        <v>4</v>
      </c>
      <c r="AE48" s="221">
        <v>1</v>
      </c>
      <c r="AF48" s="221"/>
      <c r="AG48" s="221"/>
      <c r="AH48" s="221"/>
      <c r="AI48" s="221"/>
      <c r="AJ48" s="221"/>
      <c r="AK48" s="219">
        <v>14</v>
      </c>
      <c r="AL48" s="219">
        <v>4</v>
      </c>
      <c r="AM48" s="219">
        <v>4</v>
      </c>
      <c r="AN48" s="219">
        <v>17</v>
      </c>
      <c r="AO48" s="219">
        <v>1</v>
      </c>
      <c r="AP48" s="219">
        <v>6</v>
      </c>
      <c r="AQ48" s="219">
        <v>1</v>
      </c>
      <c r="AR48" s="219">
        <v>0</v>
      </c>
      <c r="AS48" s="219">
        <v>0</v>
      </c>
      <c r="AT48" s="236">
        <f t="shared" si="7"/>
        <v>33</v>
      </c>
      <c r="AU48" s="219">
        <v>24</v>
      </c>
      <c r="AV48" s="219">
        <v>9</v>
      </c>
      <c r="AW48" s="219">
        <v>8</v>
      </c>
      <c r="AX48" s="219">
        <v>6</v>
      </c>
      <c r="AY48" s="219">
        <v>2</v>
      </c>
      <c r="AZ48" s="219">
        <v>0</v>
      </c>
      <c r="BA48" s="219">
        <v>0</v>
      </c>
      <c r="BB48" s="219">
        <v>0</v>
      </c>
      <c r="BC48" s="219">
        <f t="shared" si="8"/>
        <v>49</v>
      </c>
      <c r="BD48" s="219">
        <v>35</v>
      </c>
      <c r="BE48" s="219">
        <v>27</v>
      </c>
      <c r="BF48" s="219">
        <v>15</v>
      </c>
      <c r="BG48" s="219">
        <v>12</v>
      </c>
      <c r="BH48" s="219">
        <v>1</v>
      </c>
      <c r="BI48" s="219">
        <v>1</v>
      </c>
      <c r="BJ48" s="219">
        <v>0</v>
      </c>
      <c r="BK48" s="219">
        <v>0</v>
      </c>
      <c r="BL48" s="219">
        <f t="shared" si="9"/>
        <v>91</v>
      </c>
      <c r="BM48" s="219"/>
      <c r="BN48" s="219"/>
      <c r="BO48" s="219"/>
      <c r="BP48" s="219"/>
      <c r="BQ48" s="219"/>
      <c r="BR48" s="219"/>
      <c r="BS48" s="219"/>
      <c r="BT48" s="219"/>
      <c r="BU48" s="219">
        <f t="shared" si="0"/>
        <v>0</v>
      </c>
      <c r="BV48" s="219"/>
      <c r="BW48" s="219"/>
      <c r="BX48" s="219"/>
      <c r="BY48" s="219"/>
      <c r="BZ48" s="219"/>
      <c r="CA48" s="219"/>
      <c r="CB48" s="219"/>
      <c r="CC48" s="219"/>
      <c r="CD48" s="219">
        <f t="shared" si="1"/>
        <v>0</v>
      </c>
      <c r="CE48" s="219"/>
      <c r="CF48" s="219"/>
      <c r="CG48" s="219"/>
      <c r="CH48" s="219"/>
      <c r="CI48" s="219"/>
      <c r="CJ48" s="219"/>
      <c r="CK48" s="219"/>
      <c r="CL48" s="219"/>
      <c r="CM48" s="219">
        <f t="shared" si="2"/>
        <v>0</v>
      </c>
      <c r="CN48" s="219"/>
      <c r="CO48" s="219"/>
      <c r="CP48" s="219"/>
      <c r="CQ48" s="219"/>
      <c r="CR48" s="219"/>
      <c r="CS48" s="219"/>
      <c r="CT48" s="219"/>
      <c r="CU48" s="219"/>
      <c r="CV48" s="219">
        <f t="shared" si="3"/>
        <v>0</v>
      </c>
      <c r="CW48" s="219"/>
      <c r="CX48" s="219"/>
      <c r="CY48" s="219"/>
      <c r="CZ48" s="219"/>
      <c r="DA48" s="219"/>
      <c r="DB48" s="219"/>
      <c r="DC48" s="219"/>
      <c r="DD48" s="219"/>
      <c r="DE48" s="219">
        <f t="shared" si="4"/>
        <v>0</v>
      </c>
      <c r="DF48" s="222"/>
      <c r="DG48" s="222"/>
      <c r="DH48" s="222"/>
      <c r="DI48" s="222"/>
      <c r="DJ48" s="222"/>
      <c r="DK48" s="222"/>
      <c r="DL48" s="222"/>
      <c r="DM48" s="222"/>
      <c r="DN48" s="219">
        <f t="shared" si="5"/>
        <v>0</v>
      </c>
      <c r="DO48" s="160">
        <f t="shared" si="10"/>
        <v>237</v>
      </c>
      <c r="DP48" s="161"/>
    </row>
    <row r="49" spans="2:120" ht="171" hidden="1" customHeight="1">
      <c r="B49" s="546" t="s">
        <v>237</v>
      </c>
      <c r="C49" s="546" t="s">
        <v>75</v>
      </c>
      <c r="D49" s="548" t="s">
        <v>80</v>
      </c>
      <c r="E49" s="549"/>
      <c r="F49" s="546" t="s">
        <v>12</v>
      </c>
      <c r="G49" s="546">
        <v>214</v>
      </c>
      <c r="H49" s="561" t="s">
        <v>243</v>
      </c>
      <c r="I49" s="546">
        <v>190</v>
      </c>
      <c r="J49" s="158" t="s">
        <v>72</v>
      </c>
      <c r="K49" s="554">
        <v>42</v>
      </c>
      <c r="L49" s="555"/>
      <c r="M49" s="555"/>
      <c r="N49" s="555"/>
      <c r="O49" s="555"/>
      <c r="P49" s="555"/>
      <c r="Q49" s="555"/>
      <c r="R49" s="556"/>
      <c r="S49" s="218">
        <f t="shared" si="6"/>
        <v>42</v>
      </c>
      <c r="T49" s="357">
        <v>10</v>
      </c>
      <c r="U49" s="358"/>
      <c r="V49" s="358"/>
      <c r="W49" s="358"/>
      <c r="X49" s="358"/>
      <c r="Y49" s="358"/>
      <c r="Z49" s="358"/>
      <c r="AA49" s="359"/>
      <c r="AB49" s="159">
        <f t="shared" si="11"/>
        <v>10</v>
      </c>
      <c r="AC49" s="557">
        <v>10</v>
      </c>
      <c r="AD49" s="558"/>
      <c r="AE49" s="558"/>
      <c r="AF49" s="558"/>
      <c r="AG49" s="558"/>
      <c r="AH49" s="558"/>
      <c r="AI49" s="558"/>
      <c r="AJ49" s="559"/>
      <c r="AK49" s="219">
        <f t="shared" si="12"/>
        <v>10</v>
      </c>
      <c r="AL49" s="560">
        <v>10</v>
      </c>
      <c r="AM49" s="558"/>
      <c r="AN49" s="558"/>
      <c r="AO49" s="558"/>
      <c r="AP49" s="558"/>
      <c r="AQ49" s="558"/>
      <c r="AR49" s="558"/>
      <c r="AS49" s="559"/>
      <c r="AT49" s="236">
        <f t="shared" si="7"/>
        <v>10</v>
      </c>
      <c r="AU49" s="560">
        <v>10</v>
      </c>
      <c r="AV49" s="558"/>
      <c r="AW49" s="558"/>
      <c r="AX49" s="558"/>
      <c r="AY49" s="558"/>
      <c r="AZ49" s="558"/>
      <c r="BA49" s="558"/>
      <c r="BB49" s="559"/>
      <c r="BC49" s="219">
        <f t="shared" si="8"/>
        <v>10</v>
      </c>
      <c r="BD49" s="560">
        <v>10</v>
      </c>
      <c r="BE49" s="558"/>
      <c r="BF49" s="558"/>
      <c r="BG49" s="558"/>
      <c r="BH49" s="558"/>
      <c r="BI49" s="558"/>
      <c r="BJ49" s="558"/>
      <c r="BK49" s="559"/>
      <c r="BL49" s="219">
        <f t="shared" si="9"/>
        <v>10</v>
      </c>
      <c r="BM49" s="560">
        <v>10</v>
      </c>
      <c r="BN49" s="558"/>
      <c r="BO49" s="558"/>
      <c r="BP49" s="558"/>
      <c r="BQ49" s="558"/>
      <c r="BR49" s="558"/>
      <c r="BS49" s="558"/>
      <c r="BT49" s="559"/>
      <c r="BU49" s="219">
        <f t="shared" si="0"/>
        <v>10</v>
      </c>
      <c r="BV49" s="560">
        <v>10</v>
      </c>
      <c r="BW49" s="558"/>
      <c r="BX49" s="558"/>
      <c r="BY49" s="558"/>
      <c r="BZ49" s="558"/>
      <c r="CA49" s="558"/>
      <c r="CB49" s="558"/>
      <c r="CC49" s="559"/>
      <c r="CD49" s="219">
        <f t="shared" si="1"/>
        <v>10</v>
      </c>
      <c r="CE49" s="560">
        <v>35</v>
      </c>
      <c r="CF49" s="558"/>
      <c r="CG49" s="558"/>
      <c r="CH49" s="558"/>
      <c r="CI49" s="558"/>
      <c r="CJ49" s="558"/>
      <c r="CK49" s="558"/>
      <c r="CL49" s="559"/>
      <c r="CM49" s="219">
        <f t="shared" si="2"/>
        <v>35</v>
      </c>
      <c r="CN49" s="560">
        <v>30</v>
      </c>
      <c r="CO49" s="558"/>
      <c r="CP49" s="558"/>
      <c r="CQ49" s="558"/>
      <c r="CR49" s="558"/>
      <c r="CS49" s="558"/>
      <c r="CT49" s="558"/>
      <c r="CU49" s="559"/>
      <c r="CV49" s="219">
        <f t="shared" si="3"/>
        <v>30</v>
      </c>
      <c r="CW49" s="560">
        <v>8</v>
      </c>
      <c r="CX49" s="558"/>
      <c r="CY49" s="558"/>
      <c r="CZ49" s="558"/>
      <c r="DA49" s="558"/>
      <c r="DB49" s="558"/>
      <c r="DC49" s="558"/>
      <c r="DD49" s="559"/>
      <c r="DE49" s="219">
        <f t="shared" si="4"/>
        <v>8</v>
      </c>
      <c r="DF49" s="560">
        <v>5</v>
      </c>
      <c r="DG49" s="558"/>
      <c r="DH49" s="558"/>
      <c r="DI49" s="558"/>
      <c r="DJ49" s="558"/>
      <c r="DK49" s="558"/>
      <c r="DL49" s="558"/>
      <c r="DM49" s="559"/>
      <c r="DN49" s="219">
        <f t="shared" si="5"/>
        <v>5</v>
      </c>
      <c r="DO49" s="160">
        <f t="shared" si="10"/>
        <v>190</v>
      </c>
      <c r="DP49" s="161"/>
    </row>
    <row r="50" spans="2:120" ht="287.25" customHeight="1">
      <c r="B50" s="563"/>
      <c r="C50" s="547"/>
      <c r="D50" s="550"/>
      <c r="E50" s="551"/>
      <c r="F50" s="547"/>
      <c r="G50" s="547"/>
      <c r="H50" s="562"/>
      <c r="I50" s="547"/>
      <c r="J50" s="162" t="s">
        <v>73</v>
      </c>
      <c r="K50" s="220">
        <v>1</v>
      </c>
      <c r="L50" s="218">
        <v>2</v>
      </c>
      <c r="M50" s="218">
        <v>3</v>
      </c>
      <c r="N50" s="218">
        <v>1</v>
      </c>
      <c r="O50" s="218">
        <v>0</v>
      </c>
      <c r="P50" s="218">
        <v>0</v>
      </c>
      <c r="Q50" s="218">
        <v>0</v>
      </c>
      <c r="R50" s="218">
        <v>0</v>
      </c>
      <c r="S50" s="218">
        <f t="shared" si="6"/>
        <v>7</v>
      </c>
      <c r="T50" s="159">
        <v>6</v>
      </c>
      <c r="U50" s="159">
        <v>7</v>
      </c>
      <c r="V50" s="159">
        <v>3</v>
      </c>
      <c r="W50" s="159">
        <v>0</v>
      </c>
      <c r="X50" s="159">
        <v>0</v>
      </c>
      <c r="Y50" s="159">
        <v>0</v>
      </c>
      <c r="Z50" s="159">
        <v>0</v>
      </c>
      <c r="AA50" s="159">
        <v>0</v>
      </c>
      <c r="AB50" s="159">
        <v>16</v>
      </c>
      <c r="AC50" s="221">
        <v>6</v>
      </c>
      <c r="AD50" s="221">
        <v>2</v>
      </c>
      <c r="AE50" s="221">
        <v>0</v>
      </c>
      <c r="AF50" s="221">
        <v>0</v>
      </c>
      <c r="AG50" s="221">
        <v>0</v>
      </c>
      <c r="AH50" s="221">
        <v>0</v>
      </c>
      <c r="AI50" s="221">
        <v>0</v>
      </c>
      <c r="AJ50" s="221">
        <v>0</v>
      </c>
      <c r="AK50" s="219">
        <v>8</v>
      </c>
      <c r="AL50" s="219">
        <v>5</v>
      </c>
      <c r="AM50" s="219">
        <v>1</v>
      </c>
      <c r="AN50" s="219">
        <v>4</v>
      </c>
      <c r="AO50" s="219">
        <v>5</v>
      </c>
      <c r="AP50" s="219">
        <v>0</v>
      </c>
      <c r="AQ50" s="219">
        <v>0</v>
      </c>
      <c r="AR50" s="219">
        <v>0</v>
      </c>
      <c r="AS50" s="219">
        <v>0</v>
      </c>
      <c r="AT50" s="236">
        <f t="shared" si="7"/>
        <v>15</v>
      </c>
      <c r="AU50" s="219">
        <v>17</v>
      </c>
      <c r="AV50" s="219">
        <v>13</v>
      </c>
      <c r="AW50" s="219">
        <v>13</v>
      </c>
      <c r="AX50" s="219">
        <v>5</v>
      </c>
      <c r="AY50" s="219">
        <v>0</v>
      </c>
      <c r="AZ50" s="219">
        <v>0</v>
      </c>
      <c r="BA50" s="219">
        <v>0</v>
      </c>
      <c r="BB50" s="219">
        <v>0</v>
      </c>
      <c r="BC50" s="219">
        <f t="shared" si="8"/>
        <v>48</v>
      </c>
      <c r="BD50" s="219">
        <v>5</v>
      </c>
      <c r="BE50" s="219">
        <v>2</v>
      </c>
      <c r="BF50" s="219">
        <v>6</v>
      </c>
      <c r="BG50" s="219">
        <v>3</v>
      </c>
      <c r="BH50" s="219">
        <v>0</v>
      </c>
      <c r="BI50" s="219">
        <v>0</v>
      </c>
      <c r="BJ50" s="219">
        <v>0</v>
      </c>
      <c r="BK50" s="219">
        <v>0</v>
      </c>
      <c r="BL50" s="219">
        <f t="shared" si="9"/>
        <v>16</v>
      </c>
      <c r="BM50" s="219"/>
      <c r="BN50" s="219"/>
      <c r="BO50" s="219"/>
      <c r="BP50" s="219"/>
      <c r="BQ50" s="219"/>
      <c r="BR50" s="219"/>
      <c r="BS50" s="219"/>
      <c r="BT50" s="219"/>
      <c r="BU50" s="219">
        <f t="shared" si="0"/>
        <v>0</v>
      </c>
      <c r="BV50" s="219"/>
      <c r="BW50" s="219"/>
      <c r="BX50" s="219"/>
      <c r="BY50" s="219"/>
      <c r="BZ50" s="219"/>
      <c r="CA50" s="219"/>
      <c r="CB50" s="219"/>
      <c r="CC50" s="219"/>
      <c r="CD50" s="219">
        <f t="shared" si="1"/>
        <v>0</v>
      </c>
      <c r="CE50" s="219"/>
      <c r="CF50" s="219"/>
      <c r="CG50" s="219"/>
      <c r="CH50" s="219"/>
      <c r="CI50" s="219"/>
      <c r="CJ50" s="219"/>
      <c r="CK50" s="219"/>
      <c r="CL50" s="219"/>
      <c r="CM50" s="219">
        <f t="shared" si="2"/>
        <v>0</v>
      </c>
      <c r="CN50" s="219"/>
      <c r="CO50" s="219"/>
      <c r="CP50" s="219"/>
      <c r="CQ50" s="219"/>
      <c r="CR50" s="219"/>
      <c r="CS50" s="219"/>
      <c r="CT50" s="219"/>
      <c r="CU50" s="219"/>
      <c r="CV50" s="219">
        <f t="shared" si="3"/>
        <v>0</v>
      </c>
      <c r="CW50" s="219"/>
      <c r="CX50" s="219"/>
      <c r="CY50" s="219"/>
      <c r="CZ50" s="219"/>
      <c r="DA50" s="219"/>
      <c r="DB50" s="219"/>
      <c r="DC50" s="219"/>
      <c r="DD50" s="219"/>
      <c r="DE50" s="219">
        <f t="shared" si="4"/>
        <v>0</v>
      </c>
      <c r="DF50" s="222"/>
      <c r="DG50" s="222"/>
      <c r="DH50" s="222"/>
      <c r="DI50" s="222"/>
      <c r="DJ50" s="222"/>
      <c r="DK50" s="222"/>
      <c r="DL50" s="222"/>
      <c r="DM50" s="222"/>
      <c r="DN50" s="219">
        <f t="shared" si="5"/>
        <v>0</v>
      </c>
      <c r="DO50" s="160">
        <f t="shared" si="10"/>
        <v>110</v>
      </c>
      <c r="DP50" s="161"/>
    </row>
    <row r="51" spans="2:120" ht="167.25" hidden="1" customHeight="1">
      <c r="B51" s="546" t="s">
        <v>237</v>
      </c>
      <c r="C51" s="546" t="s">
        <v>75</v>
      </c>
      <c r="D51" s="548" t="s">
        <v>80</v>
      </c>
      <c r="E51" s="549"/>
      <c r="F51" s="546" t="s">
        <v>12</v>
      </c>
      <c r="G51" s="546">
        <v>243</v>
      </c>
      <c r="H51" s="561" t="s">
        <v>244</v>
      </c>
      <c r="I51" s="546">
        <v>25</v>
      </c>
      <c r="J51" s="158" t="s">
        <v>72</v>
      </c>
      <c r="K51" s="554">
        <v>0</v>
      </c>
      <c r="L51" s="555"/>
      <c r="M51" s="555"/>
      <c r="N51" s="555"/>
      <c r="O51" s="555"/>
      <c r="P51" s="555"/>
      <c r="Q51" s="555"/>
      <c r="R51" s="556"/>
      <c r="S51" s="218">
        <f t="shared" si="6"/>
        <v>0</v>
      </c>
      <c r="T51" s="357">
        <v>0</v>
      </c>
      <c r="U51" s="358"/>
      <c r="V51" s="358"/>
      <c r="W51" s="358"/>
      <c r="X51" s="358"/>
      <c r="Y51" s="358"/>
      <c r="Z51" s="358"/>
      <c r="AA51" s="359"/>
      <c r="AB51" s="159">
        <f t="shared" si="11"/>
        <v>0</v>
      </c>
      <c r="AC51" s="557">
        <v>3</v>
      </c>
      <c r="AD51" s="558"/>
      <c r="AE51" s="558"/>
      <c r="AF51" s="558"/>
      <c r="AG51" s="558"/>
      <c r="AH51" s="558"/>
      <c r="AI51" s="558"/>
      <c r="AJ51" s="559"/>
      <c r="AK51" s="219">
        <f t="shared" si="12"/>
        <v>3</v>
      </c>
      <c r="AL51" s="560">
        <v>3</v>
      </c>
      <c r="AM51" s="558"/>
      <c r="AN51" s="558"/>
      <c r="AO51" s="558"/>
      <c r="AP51" s="558"/>
      <c r="AQ51" s="558"/>
      <c r="AR51" s="558"/>
      <c r="AS51" s="559"/>
      <c r="AT51" s="236">
        <f t="shared" si="7"/>
        <v>3</v>
      </c>
      <c r="AU51" s="560">
        <v>3</v>
      </c>
      <c r="AV51" s="558"/>
      <c r="AW51" s="558"/>
      <c r="AX51" s="558"/>
      <c r="AY51" s="558"/>
      <c r="AZ51" s="558"/>
      <c r="BA51" s="558"/>
      <c r="BB51" s="559"/>
      <c r="BC51" s="219">
        <f t="shared" si="8"/>
        <v>3</v>
      </c>
      <c r="BD51" s="560">
        <v>3</v>
      </c>
      <c r="BE51" s="558"/>
      <c r="BF51" s="558"/>
      <c r="BG51" s="558"/>
      <c r="BH51" s="558"/>
      <c r="BI51" s="558"/>
      <c r="BJ51" s="558"/>
      <c r="BK51" s="559"/>
      <c r="BL51" s="219">
        <f t="shared" si="9"/>
        <v>3</v>
      </c>
      <c r="BM51" s="560">
        <v>2</v>
      </c>
      <c r="BN51" s="558"/>
      <c r="BO51" s="558"/>
      <c r="BP51" s="558"/>
      <c r="BQ51" s="558"/>
      <c r="BR51" s="558"/>
      <c r="BS51" s="558"/>
      <c r="BT51" s="559"/>
      <c r="BU51" s="219">
        <f t="shared" si="0"/>
        <v>2</v>
      </c>
      <c r="BV51" s="560">
        <v>2</v>
      </c>
      <c r="BW51" s="558"/>
      <c r="BX51" s="558"/>
      <c r="BY51" s="558"/>
      <c r="BZ51" s="558"/>
      <c r="CA51" s="558"/>
      <c r="CB51" s="558"/>
      <c r="CC51" s="559"/>
      <c r="CD51" s="219">
        <f t="shared" si="1"/>
        <v>2</v>
      </c>
      <c r="CE51" s="560">
        <v>2</v>
      </c>
      <c r="CF51" s="558"/>
      <c r="CG51" s="558"/>
      <c r="CH51" s="558"/>
      <c r="CI51" s="558"/>
      <c r="CJ51" s="558"/>
      <c r="CK51" s="558"/>
      <c r="CL51" s="559"/>
      <c r="CM51" s="219">
        <f t="shared" si="2"/>
        <v>2</v>
      </c>
      <c r="CN51" s="560">
        <v>2</v>
      </c>
      <c r="CO51" s="558"/>
      <c r="CP51" s="558"/>
      <c r="CQ51" s="558"/>
      <c r="CR51" s="558"/>
      <c r="CS51" s="558"/>
      <c r="CT51" s="558"/>
      <c r="CU51" s="559"/>
      <c r="CV51" s="219">
        <f t="shared" si="3"/>
        <v>2</v>
      </c>
      <c r="CW51" s="560">
        <v>2</v>
      </c>
      <c r="CX51" s="558"/>
      <c r="CY51" s="558"/>
      <c r="CZ51" s="558"/>
      <c r="DA51" s="558"/>
      <c r="DB51" s="558"/>
      <c r="DC51" s="558"/>
      <c r="DD51" s="559"/>
      <c r="DE51" s="219">
        <f t="shared" si="4"/>
        <v>2</v>
      </c>
      <c r="DF51" s="560">
        <v>3</v>
      </c>
      <c r="DG51" s="558"/>
      <c r="DH51" s="558"/>
      <c r="DI51" s="558"/>
      <c r="DJ51" s="558"/>
      <c r="DK51" s="558"/>
      <c r="DL51" s="558"/>
      <c r="DM51" s="559"/>
      <c r="DN51" s="219">
        <f t="shared" si="5"/>
        <v>3</v>
      </c>
      <c r="DO51" s="160">
        <f t="shared" si="10"/>
        <v>25</v>
      </c>
      <c r="DP51" s="161"/>
    </row>
    <row r="52" spans="2:120" ht="208.5" customHeight="1">
      <c r="B52" s="563"/>
      <c r="C52" s="547"/>
      <c r="D52" s="550"/>
      <c r="E52" s="551"/>
      <c r="F52" s="547"/>
      <c r="G52" s="547"/>
      <c r="H52" s="562"/>
      <c r="I52" s="547"/>
      <c r="J52" s="162" t="s">
        <v>73</v>
      </c>
      <c r="K52" s="220">
        <v>1</v>
      </c>
      <c r="L52" s="218">
        <v>0</v>
      </c>
      <c r="M52" s="218">
        <v>0</v>
      </c>
      <c r="N52" s="218">
        <v>0</v>
      </c>
      <c r="O52" s="218">
        <v>0</v>
      </c>
      <c r="P52" s="218">
        <v>0</v>
      </c>
      <c r="Q52" s="218">
        <v>0</v>
      </c>
      <c r="R52" s="218">
        <v>0</v>
      </c>
      <c r="S52" s="218">
        <f t="shared" si="6"/>
        <v>1</v>
      </c>
      <c r="T52" s="159">
        <v>0</v>
      </c>
      <c r="U52" s="159">
        <v>0</v>
      </c>
      <c r="V52" s="159">
        <v>0</v>
      </c>
      <c r="W52" s="159">
        <v>0</v>
      </c>
      <c r="X52" s="159">
        <v>0</v>
      </c>
      <c r="Y52" s="159">
        <v>0</v>
      </c>
      <c r="Z52" s="159">
        <v>0</v>
      </c>
      <c r="AA52" s="159">
        <v>0</v>
      </c>
      <c r="AB52" s="159">
        <f t="shared" si="11"/>
        <v>0</v>
      </c>
      <c r="AC52" s="221">
        <v>4</v>
      </c>
      <c r="AD52" s="221">
        <v>1</v>
      </c>
      <c r="AE52" s="221">
        <v>0</v>
      </c>
      <c r="AF52" s="221">
        <v>0</v>
      </c>
      <c r="AG52" s="221">
        <v>0</v>
      </c>
      <c r="AH52" s="221">
        <v>0</v>
      </c>
      <c r="AI52" s="221">
        <v>0</v>
      </c>
      <c r="AJ52" s="221">
        <v>0</v>
      </c>
      <c r="AK52" s="219">
        <v>5</v>
      </c>
      <c r="AL52" s="219">
        <v>9</v>
      </c>
      <c r="AM52" s="219">
        <v>6</v>
      </c>
      <c r="AN52" s="219">
        <v>3</v>
      </c>
      <c r="AO52" s="219">
        <v>1</v>
      </c>
      <c r="AP52" s="219">
        <v>0</v>
      </c>
      <c r="AQ52" s="219">
        <v>0</v>
      </c>
      <c r="AR52" s="219">
        <v>0</v>
      </c>
      <c r="AS52" s="219">
        <v>0</v>
      </c>
      <c r="AT52" s="236">
        <f t="shared" si="7"/>
        <v>19</v>
      </c>
      <c r="AU52" s="219">
        <v>0</v>
      </c>
      <c r="AV52" s="219">
        <v>0</v>
      </c>
      <c r="AW52" s="219">
        <v>0</v>
      </c>
      <c r="AX52" s="219">
        <v>0</v>
      </c>
      <c r="AY52" s="219">
        <v>0</v>
      </c>
      <c r="AZ52" s="219">
        <v>0</v>
      </c>
      <c r="BA52" s="219">
        <v>0</v>
      </c>
      <c r="BB52" s="219">
        <v>0</v>
      </c>
      <c r="BC52" s="219">
        <f t="shared" si="8"/>
        <v>0</v>
      </c>
      <c r="BD52" s="219">
        <v>0</v>
      </c>
      <c r="BE52" s="219">
        <v>1</v>
      </c>
      <c r="BF52" s="219">
        <v>1</v>
      </c>
      <c r="BG52" s="219">
        <v>0</v>
      </c>
      <c r="BH52" s="219">
        <v>0</v>
      </c>
      <c r="BI52" s="219">
        <v>0</v>
      </c>
      <c r="BJ52" s="219">
        <v>0</v>
      </c>
      <c r="BK52" s="219">
        <v>0</v>
      </c>
      <c r="BL52" s="219">
        <f t="shared" si="9"/>
        <v>2</v>
      </c>
      <c r="BM52" s="219"/>
      <c r="BN52" s="219"/>
      <c r="BO52" s="219"/>
      <c r="BP52" s="219"/>
      <c r="BQ52" s="219"/>
      <c r="BR52" s="219"/>
      <c r="BS52" s="219"/>
      <c r="BT52" s="219"/>
      <c r="BU52" s="219">
        <f t="shared" si="0"/>
        <v>0</v>
      </c>
      <c r="BV52" s="219"/>
      <c r="BW52" s="219"/>
      <c r="BX52" s="219"/>
      <c r="BY52" s="219"/>
      <c r="BZ52" s="219"/>
      <c r="CA52" s="219"/>
      <c r="CB52" s="219"/>
      <c r="CC52" s="219"/>
      <c r="CD52" s="219">
        <f t="shared" si="1"/>
        <v>0</v>
      </c>
      <c r="CE52" s="219"/>
      <c r="CF52" s="219"/>
      <c r="CG52" s="219"/>
      <c r="CH52" s="219"/>
      <c r="CI52" s="219"/>
      <c r="CJ52" s="219"/>
      <c r="CK52" s="219"/>
      <c r="CL52" s="219"/>
      <c r="CM52" s="219">
        <f t="shared" si="2"/>
        <v>0</v>
      </c>
      <c r="CN52" s="219"/>
      <c r="CO52" s="219"/>
      <c r="CP52" s="219"/>
      <c r="CQ52" s="219"/>
      <c r="CR52" s="219"/>
      <c r="CS52" s="219"/>
      <c r="CT52" s="219"/>
      <c r="CU52" s="219"/>
      <c r="CV52" s="219">
        <f t="shared" si="3"/>
        <v>0</v>
      </c>
      <c r="CW52" s="219"/>
      <c r="CX52" s="219"/>
      <c r="CY52" s="219"/>
      <c r="CZ52" s="219"/>
      <c r="DA52" s="219"/>
      <c r="DB52" s="219"/>
      <c r="DC52" s="219"/>
      <c r="DD52" s="219"/>
      <c r="DE52" s="219">
        <f t="shared" si="4"/>
        <v>0</v>
      </c>
      <c r="DF52" s="222"/>
      <c r="DG52" s="222"/>
      <c r="DH52" s="222"/>
      <c r="DI52" s="222"/>
      <c r="DJ52" s="222"/>
      <c r="DK52" s="222"/>
      <c r="DL52" s="222"/>
      <c r="DM52" s="222"/>
      <c r="DN52" s="219">
        <f t="shared" si="5"/>
        <v>0</v>
      </c>
      <c r="DO52" s="160">
        <f t="shared" si="10"/>
        <v>27</v>
      </c>
      <c r="DP52" s="161"/>
    </row>
    <row r="53" spans="2:120" ht="238.5" hidden="1" customHeight="1">
      <c r="B53" s="546" t="s">
        <v>237</v>
      </c>
      <c r="C53" s="546" t="s">
        <v>75</v>
      </c>
      <c r="D53" s="548" t="s">
        <v>80</v>
      </c>
      <c r="E53" s="549"/>
      <c r="F53" s="546" t="s">
        <v>12</v>
      </c>
      <c r="G53" s="546">
        <v>208</v>
      </c>
      <c r="H53" s="561" t="s">
        <v>245</v>
      </c>
      <c r="I53" s="546">
        <v>308</v>
      </c>
      <c r="J53" s="158" t="s">
        <v>72</v>
      </c>
      <c r="K53" s="554">
        <v>10</v>
      </c>
      <c r="L53" s="555"/>
      <c r="M53" s="555"/>
      <c r="N53" s="555"/>
      <c r="O53" s="555"/>
      <c r="P53" s="555"/>
      <c r="Q53" s="555"/>
      <c r="R53" s="556"/>
      <c r="S53" s="218">
        <f t="shared" si="6"/>
        <v>10</v>
      </c>
      <c r="T53" s="357">
        <v>15</v>
      </c>
      <c r="U53" s="358"/>
      <c r="V53" s="358"/>
      <c r="W53" s="358"/>
      <c r="X53" s="358"/>
      <c r="Y53" s="358"/>
      <c r="Z53" s="358"/>
      <c r="AA53" s="359"/>
      <c r="AB53" s="159">
        <f t="shared" si="11"/>
        <v>15</v>
      </c>
      <c r="AC53" s="557">
        <v>20</v>
      </c>
      <c r="AD53" s="558"/>
      <c r="AE53" s="558"/>
      <c r="AF53" s="558"/>
      <c r="AG53" s="558"/>
      <c r="AH53" s="558"/>
      <c r="AI53" s="558"/>
      <c r="AJ53" s="559"/>
      <c r="AK53" s="219">
        <f t="shared" si="12"/>
        <v>20</v>
      </c>
      <c r="AL53" s="560">
        <v>23</v>
      </c>
      <c r="AM53" s="558"/>
      <c r="AN53" s="558"/>
      <c r="AO53" s="558"/>
      <c r="AP53" s="558"/>
      <c r="AQ53" s="558"/>
      <c r="AR53" s="558"/>
      <c r="AS53" s="559"/>
      <c r="AT53" s="236">
        <f t="shared" si="7"/>
        <v>23</v>
      </c>
      <c r="AU53" s="560">
        <v>30</v>
      </c>
      <c r="AV53" s="558"/>
      <c r="AW53" s="558"/>
      <c r="AX53" s="558"/>
      <c r="AY53" s="558"/>
      <c r="AZ53" s="558"/>
      <c r="BA53" s="558"/>
      <c r="BB53" s="559"/>
      <c r="BC53" s="219">
        <f t="shared" si="8"/>
        <v>30</v>
      </c>
      <c r="BD53" s="560">
        <v>30</v>
      </c>
      <c r="BE53" s="558"/>
      <c r="BF53" s="558"/>
      <c r="BG53" s="558"/>
      <c r="BH53" s="558"/>
      <c r="BI53" s="558"/>
      <c r="BJ53" s="558"/>
      <c r="BK53" s="559"/>
      <c r="BL53" s="219">
        <f t="shared" si="9"/>
        <v>30</v>
      </c>
      <c r="BM53" s="560">
        <v>30</v>
      </c>
      <c r="BN53" s="558"/>
      <c r="BO53" s="558"/>
      <c r="BP53" s="558"/>
      <c r="BQ53" s="558"/>
      <c r="BR53" s="558"/>
      <c r="BS53" s="558"/>
      <c r="BT53" s="559"/>
      <c r="BU53" s="219">
        <f t="shared" si="0"/>
        <v>30</v>
      </c>
      <c r="BV53" s="560">
        <v>30</v>
      </c>
      <c r="BW53" s="558"/>
      <c r="BX53" s="558"/>
      <c r="BY53" s="558"/>
      <c r="BZ53" s="558"/>
      <c r="CA53" s="558"/>
      <c r="CB53" s="558"/>
      <c r="CC53" s="559"/>
      <c r="CD53" s="219">
        <f t="shared" si="1"/>
        <v>30</v>
      </c>
      <c r="CE53" s="560">
        <v>30</v>
      </c>
      <c r="CF53" s="558"/>
      <c r="CG53" s="558"/>
      <c r="CH53" s="558"/>
      <c r="CI53" s="558"/>
      <c r="CJ53" s="558"/>
      <c r="CK53" s="558"/>
      <c r="CL53" s="559"/>
      <c r="CM53" s="219">
        <f t="shared" si="2"/>
        <v>30</v>
      </c>
      <c r="CN53" s="560">
        <v>30</v>
      </c>
      <c r="CO53" s="558"/>
      <c r="CP53" s="558"/>
      <c r="CQ53" s="558"/>
      <c r="CR53" s="558"/>
      <c r="CS53" s="558"/>
      <c r="CT53" s="558"/>
      <c r="CU53" s="559"/>
      <c r="CV53" s="219">
        <f t="shared" si="3"/>
        <v>30</v>
      </c>
      <c r="CW53" s="560">
        <v>30</v>
      </c>
      <c r="CX53" s="558"/>
      <c r="CY53" s="558"/>
      <c r="CZ53" s="558"/>
      <c r="DA53" s="558"/>
      <c r="DB53" s="558"/>
      <c r="DC53" s="558"/>
      <c r="DD53" s="559"/>
      <c r="DE53" s="219">
        <f t="shared" si="4"/>
        <v>30</v>
      </c>
      <c r="DF53" s="560">
        <v>30</v>
      </c>
      <c r="DG53" s="558"/>
      <c r="DH53" s="558"/>
      <c r="DI53" s="558"/>
      <c r="DJ53" s="558"/>
      <c r="DK53" s="558"/>
      <c r="DL53" s="558"/>
      <c r="DM53" s="559"/>
      <c r="DN53" s="219">
        <f t="shared" si="5"/>
        <v>30</v>
      </c>
      <c r="DO53" s="160">
        <f t="shared" si="10"/>
        <v>308</v>
      </c>
      <c r="DP53" s="161"/>
    </row>
    <row r="54" spans="2:120" ht="227.25" customHeight="1">
      <c r="B54" s="563"/>
      <c r="C54" s="547"/>
      <c r="D54" s="550"/>
      <c r="E54" s="551"/>
      <c r="F54" s="547"/>
      <c r="G54" s="547"/>
      <c r="H54" s="562"/>
      <c r="I54" s="547"/>
      <c r="J54" s="162" t="s">
        <v>73</v>
      </c>
      <c r="K54" s="220">
        <v>6</v>
      </c>
      <c r="L54" s="218">
        <v>3</v>
      </c>
      <c r="M54" s="218">
        <v>1</v>
      </c>
      <c r="N54" s="218">
        <v>0</v>
      </c>
      <c r="O54" s="218">
        <v>0</v>
      </c>
      <c r="P54" s="218">
        <v>0</v>
      </c>
      <c r="Q54" s="218">
        <v>0</v>
      </c>
      <c r="R54" s="218">
        <v>0</v>
      </c>
      <c r="S54" s="218">
        <f t="shared" si="6"/>
        <v>10</v>
      </c>
      <c r="T54" s="159">
        <v>9</v>
      </c>
      <c r="U54" s="159">
        <v>11</v>
      </c>
      <c r="V54" s="159">
        <v>5</v>
      </c>
      <c r="W54" s="159">
        <v>8</v>
      </c>
      <c r="X54" s="159">
        <v>0</v>
      </c>
      <c r="Y54" s="159">
        <v>0</v>
      </c>
      <c r="Z54" s="159">
        <v>0</v>
      </c>
      <c r="AA54" s="159">
        <v>0</v>
      </c>
      <c r="AB54" s="159">
        <v>33</v>
      </c>
      <c r="AC54" s="221">
        <v>13</v>
      </c>
      <c r="AD54" s="221">
        <v>8</v>
      </c>
      <c r="AE54" s="221">
        <v>10</v>
      </c>
      <c r="AF54" s="221">
        <v>3</v>
      </c>
      <c r="AG54" s="221"/>
      <c r="AH54" s="221"/>
      <c r="AI54" s="221"/>
      <c r="AJ54" s="221"/>
      <c r="AK54" s="219">
        <v>34</v>
      </c>
      <c r="AL54" s="219">
        <v>12</v>
      </c>
      <c r="AM54" s="219">
        <v>6</v>
      </c>
      <c r="AN54" s="219">
        <v>10</v>
      </c>
      <c r="AO54" s="219">
        <v>3</v>
      </c>
      <c r="AP54" s="219">
        <v>0</v>
      </c>
      <c r="AQ54" s="219">
        <v>0</v>
      </c>
      <c r="AR54" s="219">
        <v>0</v>
      </c>
      <c r="AS54" s="219">
        <v>0</v>
      </c>
      <c r="AT54" s="236">
        <f t="shared" si="7"/>
        <v>31</v>
      </c>
      <c r="AU54" s="219">
        <v>9</v>
      </c>
      <c r="AV54" s="219">
        <v>6</v>
      </c>
      <c r="AW54" s="219">
        <v>8</v>
      </c>
      <c r="AX54" s="219">
        <v>4</v>
      </c>
      <c r="AY54" s="219">
        <v>0</v>
      </c>
      <c r="AZ54" s="219">
        <v>0</v>
      </c>
      <c r="BA54" s="219">
        <v>0</v>
      </c>
      <c r="BB54" s="219">
        <v>0</v>
      </c>
      <c r="BC54" s="219">
        <f t="shared" si="8"/>
        <v>27</v>
      </c>
      <c r="BD54" s="219">
        <v>20</v>
      </c>
      <c r="BE54" s="219">
        <v>11</v>
      </c>
      <c r="BF54" s="219">
        <v>16</v>
      </c>
      <c r="BG54" s="219">
        <v>14</v>
      </c>
      <c r="BH54" s="219">
        <v>0</v>
      </c>
      <c r="BI54" s="219">
        <v>0</v>
      </c>
      <c r="BJ54" s="219">
        <v>0</v>
      </c>
      <c r="BK54" s="219">
        <v>0</v>
      </c>
      <c r="BL54" s="219">
        <f t="shared" si="9"/>
        <v>61</v>
      </c>
      <c r="BM54" s="219"/>
      <c r="BN54" s="219"/>
      <c r="BO54" s="219"/>
      <c r="BP54" s="219"/>
      <c r="BQ54" s="219"/>
      <c r="BR54" s="219"/>
      <c r="BS54" s="219"/>
      <c r="BT54" s="219"/>
      <c r="BU54" s="219">
        <f t="shared" si="0"/>
        <v>0</v>
      </c>
      <c r="BV54" s="219"/>
      <c r="BW54" s="219"/>
      <c r="BX54" s="219"/>
      <c r="BY54" s="219"/>
      <c r="BZ54" s="219"/>
      <c r="CA54" s="219"/>
      <c r="CB54" s="219"/>
      <c r="CC54" s="219"/>
      <c r="CD54" s="219">
        <f t="shared" si="1"/>
        <v>0</v>
      </c>
      <c r="CE54" s="219"/>
      <c r="CF54" s="219"/>
      <c r="CG54" s="219"/>
      <c r="CH54" s="219"/>
      <c r="CI54" s="219"/>
      <c r="CJ54" s="219"/>
      <c r="CK54" s="219"/>
      <c r="CL54" s="219"/>
      <c r="CM54" s="219">
        <f t="shared" si="2"/>
        <v>0</v>
      </c>
      <c r="CN54" s="219"/>
      <c r="CO54" s="219"/>
      <c r="CP54" s="219"/>
      <c r="CQ54" s="219"/>
      <c r="CR54" s="219"/>
      <c r="CS54" s="219"/>
      <c r="CT54" s="219"/>
      <c r="CU54" s="219"/>
      <c r="CV54" s="219">
        <f t="shared" si="3"/>
        <v>0</v>
      </c>
      <c r="CW54" s="219"/>
      <c r="CX54" s="219"/>
      <c r="CY54" s="219"/>
      <c r="CZ54" s="219"/>
      <c r="DA54" s="219"/>
      <c r="DB54" s="219"/>
      <c r="DC54" s="219"/>
      <c r="DD54" s="219"/>
      <c r="DE54" s="219">
        <f t="shared" si="4"/>
        <v>0</v>
      </c>
      <c r="DF54" s="219"/>
      <c r="DG54" s="219"/>
      <c r="DH54" s="219"/>
      <c r="DI54" s="219"/>
      <c r="DJ54" s="219"/>
      <c r="DK54" s="219"/>
      <c r="DL54" s="219"/>
      <c r="DM54" s="219"/>
      <c r="DN54" s="219">
        <f t="shared" si="5"/>
        <v>0</v>
      </c>
      <c r="DO54" s="160">
        <f t="shared" si="10"/>
        <v>196</v>
      </c>
      <c r="DP54" s="161"/>
    </row>
    <row r="55" spans="2:120" ht="227.25" hidden="1" customHeight="1">
      <c r="B55" s="546" t="s">
        <v>83</v>
      </c>
      <c r="C55" s="546" t="s">
        <v>5</v>
      </c>
      <c r="D55" s="548" t="s">
        <v>0</v>
      </c>
      <c r="E55" s="549"/>
      <c r="F55" s="546" t="s">
        <v>4</v>
      </c>
      <c r="G55" s="546">
        <v>27</v>
      </c>
      <c r="H55" s="546" t="s">
        <v>0</v>
      </c>
      <c r="I55" s="546">
        <v>1</v>
      </c>
      <c r="J55" s="158" t="s">
        <v>72</v>
      </c>
      <c r="K55" s="554">
        <v>0</v>
      </c>
      <c r="L55" s="555"/>
      <c r="M55" s="555"/>
      <c r="N55" s="555"/>
      <c r="O55" s="555"/>
      <c r="P55" s="555"/>
      <c r="Q55" s="555"/>
      <c r="R55" s="556"/>
      <c r="S55" s="218">
        <f t="shared" si="6"/>
        <v>0</v>
      </c>
      <c r="T55" s="357">
        <v>0</v>
      </c>
      <c r="U55" s="358"/>
      <c r="V55" s="358"/>
      <c r="W55" s="358"/>
      <c r="X55" s="358"/>
      <c r="Y55" s="358"/>
      <c r="Z55" s="358"/>
      <c r="AA55" s="359"/>
      <c r="AB55" s="159">
        <f t="shared" si="11"/>
        <v>0</v>
      </c>
      <c r="AC55" s="560">
        <v>1</v>
      </c>
      <c r="AD55" s="558"/>
      <c r="AE55" s="558"/>
      <c r="AF55" s="558"/>
      <c r="AG55" s="558"/>
      <c r="AH55" s="558"/>
      <c r="AI55" s="558"/>
      <c r="AJ55" s="559"/>
      <c r="AK55" s="219">
        <f t="shared" si="12"/>
        <v>1</v>
      </c>
      <c r="AL55" s="560">
        <v>0</v>
      </c>
      <c r="AM55" s="558"/>
      <c r="AN55" s="558"/>
      <c r="AO55" s="558"/>
      <c r="AP55" s="558"/>
      <c r="AQ55" s="558"/>
      <c r="AR55" s="558"/>
      <c r="AS55" s="559"/>
      <c r="AT55" s="236">
        <f t="shared" si="7"/>
        <v>0</v>
      </c>
      <c r="AU55" s="571">
        <v>0</v>
      </c>
      <c r="AV55" s="338"/>
      <c r="AW55" s="338"/>
      <c r="AX55" s="338"/>
      <c r="AY55" s="338"/>
      <c r="AZ55" s="338"/>
      <c r="BA55" s="338"/>
      <c r="BB55" s="339"/>
      <c r="BC55" s="219">
        <f t="shared" si="8"/>
        <v>0</v>
      </c>
      <c r="BD55" s="560">
        <v>0</v>
      </c>
      <c r="BE55" s="558"/>
      <c r="BF55" s="558"/>
      <c r="BG55" s="558"/>
      <c r="BH55" s="558"/>
      <c r="BI55" s="558"/>
      <c r="BJ55" s="558"/>
      <c r="BK55" s="559"/>
      <c r="BL55" s="219">
        <f t="shared" si="9"/>
        <v>0</v>
      </c>
      <c r="BM55" s="560">
        <v>0</v>
      </c>
      <c r="BN55" s="558"/>
      <c r="BO55" s="558"/>
      <c r="BP55" s="558"/>
      <c r="BQ55" s="558"/>
      <c r="BR55" s="558"/>
      <c r="BS55" s="558"/>
      <c r="BT55" s="559"/>
      <c r="BU55" s="219">
        <f t="shared" si="0"/>
        <v>0</v>
      </c>
      <c r="BV55" s="560">
        <v>0</v>
      </c>
      <c r="BW55" s="558"/>
      <c r="BX55" s="558"/>
      <c r="BY55" s="558"/>
      <c r="BZ55" s="558"/>
      <c r="CA55" s="558"/>
      <c r="CB55" s="558"/>
      <c r="CC55" s="559"/>
      <c r="CD55" s="219">
        <f t="shared" si="1"/>
        <v>0</v>
      </c>
      <c r="CE55" s="560">
        <v>0</v>
      </c>
      <c r="CF55" s="558"/>
      <c r="CG55" s="558"/>
      <c r="CH55" s="558"/>
      <c r="CI55" s="558"/>
      <c r="CJ55" s="558"/>
      <c r="CK55" s="558"/>
      <c r="CL55" s="559"/>
      <c r="CM55" s="219">
        <f t="shared" si="2"/>
        <v>0</v>
      </c>
      <c r="CN55" s="560">
        <v>0</v>
      </c>
      <c r="CO55" s="558"/>
      <c r="CP55" s="558"/>
      <c r="CQ55" s="558"/>
      <c r="CR55" s="558"/>
      <c r="CS55" s="558"/>
      <c r="CT55" s="558"/>
      <c r="CU55" s="559"/>
      <c r="CV55" s="219">
        <f t="shared" si="3"/>
        <v>0</v>
      </c>
      <c r="CW55" s="560">
        <v>0</v>
      </c>
      <c r="CX55" s="558"/>
      <c r="CY55" s="558"/>
      <c r="CZ55" s="558"/>
      <c r="DA55" s="558"/>
      <c r="DB55" s="558"/>
      <c r="DC55" s="558"/>
      <c r="DD55" s="559"/>
      <c r="DE55" s="219">
        <f t="shared" si="4"/>
        <v>0</v>
      </c>
      <c r="DF55" s="560">
        <v>0</v>
      </c>
      <c r="DG55" s="558"/>
      <c r="DH55" s="558"/>
      <c r="DI55" s="558"/>
      <c r="DJ55" s="558"/>
      <c r="DK55" s="558"/>
      <c r="DL55" s="558"/>
      <c r="DM55" s="559"/>
      <c r="DN55" s="219">
        <f t="shared" si="5"/>
        <v>0</v>
      </c>
      <c r="DO55" s="160">
        <f t="shared" si="10"/>
        <v>1</v>
      </c>
      <c r="DP55" s="161"/>
    </row>
    <row r="56" spans="2:120" ht="227.25" customHeight="1">
      <c r="B56" s="563"/>
      <c r="C56" s="547"/>
      <c r="D56" s="550"/>
      <c r="E56" s="551"/>
      <c r="F56" s="547"/>
      <c r="G56" s="547"/>
      <c r="H56" s="547"/>
      <c r="I56" s="547"/>
      <c r="J56" s="162" t="s">
        <v>73</v>
      </c>
      <c r="K56" s="576">
        <v>1</v>
      </c>
      <c r="L56" s="555"/>
      <c r="M56" s="555"/>
      <c r="N56" s="555"/>
      <c r="O56" s="555"/>
      <c r="P56" s="555"/>
      <c r="Q56" s="555"/>
      <c r="R56" s="556"/>
      <c r="S56" s="218">
        <f t="shared" si="6"/>
        <v>1</v>
      </c>
      <c r="T56" s="577">
        <v>0</v>
      </c>
      <c r="U56" s="358"/>
      <c r="V56" s="358"/>
      <c r="W56" s="358"/>
      <c r="X56" s="358"/>
      <c r="Y56" s="358"/>
      <c r="Z56" s="358"/>
      <c r="AA56" s="359"/>
      <c r="AB56" s="159">
        <f t="shared" si="11"/>
        <v>0</v>
      </c>
      <c r="AC56" s="235"/>
      <c r="AD56" s="239"/>
      <c r="AE56" s="239"/>
      <c r="AF56" s="239"/>
      <c r="AG56" s="239">
        <v>0</v>
      </c>
      <c r="AH56" s="239"/>
      <c r="AI56" s="239"/>
      <c r="AJ56" s="237"/>
      <c r="AK56" s="219">
        <f t="shared" si="12"/>
        <v>0</v>
      </c>
      <c r="AL56" s="235"/>
      <c r="AM56" s="239"/>
      <c r="AN56" s="239">
        <v>0</v>
      </c>
      <c r="AO56" s="239"/>
      <c r="AP56" s="239"/>
      <c r="AQ56" s="239"/>
      <c r="AR56" s="239"/>
      <c r="AS56" s="237"/>
      <c r="AT56" s="236">
        <f t="shared" si="7"/>
        <v>0</v>
      </c>
      <c r="AU56" s="236"/>
      <c r="AV56" s="236">
        <v>0</v>
      </c>
      <c r="AW56" s="236">
        <v>0</v>
      </c>
      <c r="AX56" s="236">
        <v>0</v>
      </c>
      <c r="AY56" s="236">
        <v>0</v>
      </c>
      <c r="AZ56" s="236">
        <v>0</v>
      </c>
      <c r="BA56" s="236">
        <v>0</v>
      </c>
      <c r="BB56" s="236">
        <v>0</v>
      </c>
      <c r="BC56" s="219">
        <f t="shared" si="8"/>
        <v>0</v>
      </c>
      <c r="BD56" s="235"/>
      <c r="BE56" s="239"/>
      <c r="BF56" s="239"/>
      <c r="BG56" s="239"/>
      <c r="BH56" s="239">
        <v>0</v>
      </c>
      <c r="BI56" s="239"/>
      <c r="BJ56" s="239"/>
      <c r="BK56" s="237"/>
      <c r="BL56" s="219">
        <f t="shared" si="9"/>
        <v>0</v>
      </c>
      <c r="BM56" s="235"/>
      <c r="BN56" s="239"/>
      <c r="BO56" s="239"/>
      <c r="BP56" s="239"/>
      <c r="BQ56" s="239"/>
      <c r="BR56" s="239"/>
      <c r="BS56" s="239"/>
      <c r="BT56" s="237"/>
      <c r="BU56" s="219">
        <f t="shared" si="0"/>
        <v>0</v>
      </c>
      <c r="BV56" s="235"/>
      <c r="BW56" s="239"/>
      <c r="BX56" s="239"/>
      <c r="BY56" s="239"/>
      <c r="BZ56" s="239"/>
      <c r="CA56" s="239"/>
      <c r="CB56" s="239"/>
      <c r="CC56" s="237"/>
      <c r="CD56" s="219">
        <f t="shared" si="1"/>
        <v>0</v>
      </c>
      <c r="CE56" s="235"/>
      <c r="CF56" s="239"/>
      <c r="CG56" s="239"/>
      <c r="CH56" s="239"/>
      <c r="CI56" s="239"/>
      <c r="CJ56" s="239"/>
      <c r="CK56" s="239"/>
      <c r="CL56" s="237"/>
      <c r="CM56" s="219">
        <f t="shared" si="2"/>
        <v>0</v>
      </c>
      <c r="CN56" s="235"/>
      <c r="CO56" s="239"/>
      <c r="CP56" s="239"/>
      <c r="CQ56" s="239"/>
      <c r="CR56" s="239"/>
      <c r="CS56" s="239"/>
      <c r="CT56" s="239"/>
      <c r="CU56" s="237"/>
      <c r="CV56" s="219">
        <f t="shared" si="3"/>
        <v>0</v>
      </c>
      <c r="CW56" s="235"/>
      <c r="CX56" s="239"/>
      <c r="CY56" s="239"/>
      <c r="CZ56" s="239"/>
      <c r="DA56" s="239"/>
      <c r="DB56" s="239"/>
      <c r="DC56" s="239"/>
      <c r="DD56" s="237"/>
      <c r="DE56" s="219">
        <f t="shared" si="4"/>
        <v>0</v>
      </c>
      <c r="DF56" s="240"/>
      <c r="DG56" s="241"/>
      <c r="DH56" s="241"/>
      <c r="DI56" s="241"/>
      <c r="DJ56" s="241"/>
      <c r="DK56" s="241"/>
      <c r="DL56" s="241"/>
      <c r="DM56" s="242"/>
      <c r="DN56" s="219">
        <f t="shared" si="5"/>
        <v>0</v>
      </c>
      <c r="DO56" s="160">
        <f t="shared" si="10"/>
        <v>1</v>
      </c>
      <c r="DP56" s="161"/>
    </row>
    <row r="57" spans="2:120" ht="227.25" hidden="1" customHeight="1">
      <c r="B57" s="546" t="s">
        <v>132</v>
      </c>
      <c r="C57" s="546" t="s">
        <v>6</v>
      </c>
      <c r="D57" s="548" t="s">
        <v>246</v>
      </c>
      <c r="E57" s="549"/>
      <c r="F57" s="546" t="s">
        <v>14</v>
      </c>
      <c r="G57" s="546">
        <v>4</v>
      </c>
      <c r="H57" s="546" t="s">
        <v>246</v>
      </c>
      <c r="I57" s="546">
        <v>1</v>
      </c>
      <c r="J57" s="158" t="s">
        <v>72</v>
      </c>
      <c r="K57" s="576">
        <v>1</v>
      </c>
      <c r="L57" s="555"/>
      <c r="M57" s="555"/>
      <c r="N57" s="555"/>
      <c r="O57" s="555"/>
      <c r="P57" s="555"/>
      <c r="Q57" s="555"/>
      <c r="R57" s="556"/>
      <c r="S57" s="218">
        <f t="shared" si="6"/>
        <v>1</v>
      </c>
      <c r="T57" s="577">
        <v>0</v>
      </c>
      <c r="U57" s="358"/>
      <c r="V57" s="358"/>
      <c r="W57" s="358"/>
      <c r="X57" s="358"/>
      <c r="Y57" s="358"/>
      <c r="Z57" s="358"/>
      <c r="AA57" s="359"/>
      <c r="AB57" s="159">
        <f t="shared" si="11"/>
        <v>0</v>
      </c>
      <c r="AC57" s="560">
        <v>0</v>
      </c>
      <c r="AD57" s="558"/>
      <c r="AE57" s="558"/>
      <c r="AF57" s="558"/>
      <c r="AG57" s="558"/>
      <c r="AH57" s="558"/>
      <c r="AI57" s="558"/>
      <c r="AJ57" s="559"/>
      <c r="AK57" s="219">
        <f t="shared" si="12"/>
        <v>0</v>
      </c>
      <c r="AL57" s="560">
        <v>0</v>
      </c>
      <c r="AM57" s="558"/>
      <c r="AN57" s="558"/>
      <c r="AO57" s="558"/>
      <c r="AP57" s="558"/>
      <c r="AQ57" s="558"/>
      <c r="AR57" s="558"/>
      <c r="AS57" s="559"/>
      <c r="AT57" s="236">
        <f t="shared" si="7"/>
        <v>0</v>
      </c>
      <c r="AU57" s="578">
        <v>0</v>
      </c>
      <c r="AV57" s="542"/>
      <c r="AW57" s="542"/>
      <c r="AX57" s="542"/>
      <c r="AY57" s="542"/>
      <c r="AZ57" s="542"/>
      <c r="BA57" s="542"/>
      <c r="BB57" s="342"/>
      <c r="BC57" s="219">
        <f t="shared" si="8"/>
        <v>0</v>
      </c>
      <c r="BD57" s="560">
        <v>0</v>
      </c>
      <c r="BE57" s="558"/>
      <c r="BF57" s="558"/>
      <c r="BG57" s="558"/>
      <c r="BH57" s="558"/>
      <c r="BI57" s="558"/>
      <c r="BJ57" s="558"/>
      <c r="BK57" s="559"/>
      <c r="BL57" s="219">
        <f t="shared" si="9"/>
        <v>0</v>
      </c>
      <c r="BM57" s="560">
        <v>0</v>
      </c>
      <c r="BN57" s="558"/>
      <c r="BO57" s="558"/>
      <c r="BP57" s="558"/>
      <c r="BQ57" s="558"/>
      <c r="BR57" s="558"/>
      <c r="BS57" s="558"/>
      <c r="BT57" s="559"/>
      <c r="BU57" s="219">
        <f t="shared" si="0"/>
        <v>0</v>
      </c>
      <c r="BV57" s="560">
        <v>0</v>
      </c>
      <c r="BW57" s="558"/>
      <c r="BX57" s="558"/>
      <c r="BY57" s="558"/>
      <c r="BZ57" s="558"/>
      <c r="CA57" s="558"/>
      <c r="CB57" s="558"/>
      <c r="CC57" s="559"/>
      <c r="CD57" s="219">
        <f t="shared" si="1"/>
        <v>0</v>
      </c>
      <c r="CE57" s="560">
        <v>0</v>
      </c>
      <c r="CF57" s="558"/>
      <c r="CG57" s="558"/>
      <c r="CH57" s="558"/>
      <c r="CI57" s="558"/>
      <c r="CJ57" s="558"/>
      <c r="CK57" s="558"/>
      <c r="CL57" s="559"/>
      <c r="CM57" s="219">
        <f t="shared" si="2"/>
        <v>0</v>
      </c>
      <c r="CN57" s="560">
        <v>0</v>
      </c>
      <c r="CO57" s="558"/>
      <c r="CP57" s="558"/>
      <c r="CQ57" s="558"/>
      <c r="CR57" s="558"/>
      <c r="CS57" s="558"/>
      <c r="CT57" s="558"/>
      <c r="CU57" s="559"/>
      <c r="CV57" s="219">
        <f t="shared" si="3"/>
        <v>0</v>
      </c>
      <c r="CW57" s="560">
        <v>0</v>
      </c>
      <c r="CX57" s="558"/>
      <c r="CY57" s="558"/>
      <c r="CZ57" s="558"/>
      <c r="DA57" s="558"/>
      <c r="DB57" s="558"/>
      <c r="DC57" s="558"/>
      <c r="DD57" s="559"/>
      <c r="DE57" s="219">
        <f t="shared" si="4"/>
        <v>0</v>
      </c>
      <c r="DF57" s="560">
        <v>0</v>
      </c>
      <c r="DG57" s="558"/>
      <c r="DH57" s="558"/>
      <c r="DI57" s="558"/>
      <c r="DJ57" s="558"/>
      <c r="DK57" s="558"/>
      <c r="DL57" s="558"/>
      <c r="DM57" s="559"/>
      <c r="DN57" s="219">
        <f t="shared" si="5"/>
        <v>0</v>
      </c>
      <c r="DO57" s="160">
        <f t="shared" si="10"/>
        <v>1</v>
      </c>
      <c r="DP57" s="161"/>
    </row>
    <row r="58" spans="2:120" ht="227.25" customHeight="1">
      <c r="B58" s="563"/>
      <c r="C58" s="547"/>
      <c r="D58" s="550"/>
      <c r="E58" s="551"/>
      <c r="F58" s="547"/>
      <c r="G58" s="547"/>
      <c r="H58" s="547"/>
      <c r="I58" s="547"/>
      <c r="J58" s="162" t="s">
        <v>73</v>
      </c>
      <c r="K58" s="576">
        <v>0</v>
      </c>
      <c r="L58" s="555"/>
      <c r="M58" s="555"/>
      <c r="N58" s="555"/>
      <c r="O58" s="555"/>
      <c r="P58" s="555"/>
      <c r="Q58" s="555"/>
      <c r="R58" s="556"/>
      <c r="S58" s="218">
        <f t="shared" si="6"/>
        <v>0</v>
      </c>
      <c r="T58" s="577">
        <v>0</v>
      </c>
      <c r="U58" s="358"/>
      <c r="V58" s="358"/>
      <c r="W58" s="358"/>
      <c r="X58" s="358"/>
      <c r="Y58" s="358"/>
      <c r="Z58" s="358"/>
      <c r="AA58" s="359"/>
      <c r="AB58" s="159">
        <f t="shared" si="11"/>
        <v>0</v>
      </c>
      <c r="AC58" s="560">
        <v>0</v>
      </c>
      <c r="AD58" s="558"/>
      <c r="AE58" s="558"/>
      <c r="AF58" s="558"/>
      <c r="AG58" s="558"/>
      <c r="AH58" s="558"/>
      <c r="AI58" s="558"/>
      <c r="AJ58" s="559"/>
      <c r="AK58" s="219">
        <f t="shared" si="12"/>
        <v>0</v>
      </c>
      <c r="AL58" s="560">
        <v>0</v>
      </c>
      <c r="AM58" s="558"/>
      <c r="AN58" s="558"/>
      <c r="AO58" s="558"/>
      <c r="AP58" s="558"/>
      <c r="AQ58" s="558"/>
      <c r="AR58" s="558"/>
      <c r="AS58" s="559"/>
      <c r="AT58" s="236">
        <f t="shared" si="7"/>
        <v>0</v>
      </c>
      <c r="AU58" s="243">
        <v>0</v>
      </c>
      <c r="AV58" s="243">
        <v>0</v>
      </c>
      <c r="AW58" s="243">
        <v>0</v>
      </c>
      <c r="AX58" s="243">
        <v>0</v>
      </c>
      <c r="AY58" s="243">
        <v>0</v>
      </c>
      <c r="AZ58" s="243">
        <v>0</v>
      </c>
      <c r="BA58" s="243">
        <v>0</v>
      </c>
      <c r="BB58" s="243">
        <v>0</v>
      </c>
      <c r="BC58" s="219">
        <f t="shared" si="8"/>
        <v>0</v>
      </c>
      <c r="BD58" s="560">
        <v>0</v>
      </c>
      <c r="BE58" s="558"/>
      <c r="BF58" s="558"/>
      <c r="BG58" s="558"/>
      <c r="BH58" s="558"/>
      <c r="BI58" s="558"/>
      <c r="BJ58" s="558"/>
      <c r="BK58" s="559"/>
      <c r="BL58" s="219">
        <f t="shared" si="9"/>
        <v>0</v>
      </c>
      <c r="BM58" s="560"/>
      <c r="BN58" s="558"/>
      <c r="BO58" s="558"/>
      <c r="BP58" s="558"/>
      <c r="BQ58" s="558"/>
      <c r="BR58" s="558"/>
      <c r="BS58" s="558"/>
      <c r="BT58" s="559"/>
      <c r="BU58" s="219">
        <f t="shared" si="0"/>
        <v>0</v>
      </c>
      <c r="BV58" s="560"/>
      <c r="BW58" s="558"/>
      <c r="BX58" s="558"/>
      <c r="BY58" s="558"/>
      <c r="BZ58" s="558"/>
      <c r="CA58" s="558"/>
      <c r="CB58" s="558"/>
      <c r="CC58" s="559"/>
      <c r="CD58" s="219">
        <f t="shared" si="1"/>
        <v>0</v>
      </c>
      <c r="CE58" s="560"/>
      <c r="CF58" s="558"/>
      <c r="CG58" s="558"/>
      <c r="CH58" s="558"/>
      <c r="CI58" s="558"/>
      <c r="CJ58" s="558"/>
      <c r="CK58" s="558"/>
      <c r="CL58" s="559"/>
      <c r="CM58" s="219">
        <f t="shared" si="2"/>
        <v>0</v>
      </c>
      <c r="CN58" s="560"/>
      <c r="CO58" s="558"/>
      <c r="CP58" s="558"/>
      <c r="CQ58" s="558"/>
      <c r="CR58" s="558"/>
      <c r="CS58" s="558"/>
      <c r="CT58" s="558"/>
      <c r="CU58" s="559"/>
      <c r="CV58" s="219">
        <f t="shared" si="3"/>
        <v>0</v>
      </c>
      <c r="CW58" s="560"/>
      <c r="CX58" s="558"/>
      <c r="CY58" s="558"/>
      <c r="CZ58" s="558"/>
      <c r="DA58" s="558"/>
      <c r="DB58" s="558"/>
      <c r="DC58" s="558"/>
      <c r="DD58" s="559"/>
      <c r="DE58" s="219">
        <f t="shared" si="4"/>
        <v>0</v>
      </c>
      <c r="DF58" s="560"/>
      <c r="DG58" s="558"/>
      <c r="DH58" s="558"/>
      <c r="DI58" s="558"/>
      <c r="DJ58" s="558"/>
      <c r="DK58" s="558"/>
      <c r="DL58" s="558"/>
      <c r="DM58" s="559"/>
      <c r="DN58" s="219">
        <f t="shared" si="5"/>
        <v>0</v>
      </c>
      <c r="DO58" s="160">
        <f t="shared" si="10"/>
        <v>0</v>
      </c>
      <c r="DP58" s="161"/>
    </row>
    <row r="59" spans="2:120" ht="227.25" hidden="1" customHeight="1">
      <c r="B59" s="546" t="s">
        <v>135</v>
      </c>
      <c r="C59" s="546" t="s">
        <v>7</v>
      </c>
      <c r="D59" s="548" t="s">
        <v>247</v>
      </c>
      <c r="E59" s="549"/>
      <c r="F59" s="546" t="s">
        <v>248</v>
      </c>
      <c r="G59" s="546">
        <v>49</v>
      </c>
      <c r="H59" s="546" t="s">
        <v>249</v>
      </c>
      <c r="I59" s="546">
        <v>1</v>
      </c>
      <c r="J59" s="158" t="s">
        <v>72</v>
      </c>
      <c r="K59" s="576">
        <v>1</v>
      </c>
      <c r="L59" s="555"/>
      <c r="M59" s="555"/>
      <c r="N59" s="555"/>
      <c r="O59" s="555"/>
      <c r="P59" s="555"/>
      <c r="Q59" s="555"/>
      <c r="R59" s="556"/>
      <c r="S59" s="218">
        <f t="shared" si="6"/>
        <v>1</v>
      </c>
      <c r="T59" s="577">
        <v>0</v>
      </c>
      <c r="U59" s="358"/>
      <c r="V59" s="358"/>
      <c r="W59" s="358"/>
      <c r="X59" s="358"/>
      <c r="Y59" s="358"/>
      <c r="Z59" s="358"/>
      <c r="AA59" s="359"/>
      <c r="AB59" s="159">
        <f t="shared" si="11"/>
        <v>0</v>
      </c>
      <c r="AC59" s="560">
        <v>0</v>
      </c>
      <c r="AD59" s="558"/>
      <c r="AE59" s="558"/>
      <c r="AF59" s="558"/>
      <c r="AG59" s="558"/>
      <c r="AH59" s="558"/>
      <c r="AI59" s="558"/>
      <c r="AJ59" s="559"/>
      <c r="AK59" s="219">
        <f t="shared" si="12"/>
        <v>0</v>
      </c>
      <c r="AL59" s="560">
        <v>0</v>
      </c>
      <c r="AM59" s="558"/>
      <c r="AN59" s="558"/>
      <c r="AO59" s="558"/>
      <c r="AP59" s="558"/>
      <c r="AQ59" s="558"/>
      <c r="AR59" s="558"/>
      <c r="AS59" s="559"/>
      <c r="AT59" s="236">
        <f t="shared" si="7"/>
        <v>0</v>
      </c>
      <c r="AU59" s="578">
        <v>0</v>
      </c>
      <c r="AV59" s="542"/>
      <c r="AW59" s="542"/>
      <c r="AX59" s="542"/>
      <c r="AY59" s="542"/>
      <c r="AZ59" s="542"/>
      <c r="BA59" s="542"/>
      <c r="BB59" s="342"/>
      <c r="BC59" s="219">
        <f t="shared" si="8"/>
        <v>0</v>
      </c>
      <c r="BD59" s="560">
        <v>0</v>
      </c>
      <c r="BE59" s="558"/>
      <c r="BF59" s="558"/>
      <c r="BG59" s="558"/>
      <c r="BH59" s="558"/>
      <c r="BI59" s="558"/>
      <c r="BJ59" s="558"/>
      <c r="BK59" s="559"/>
      <c r="BL59" s="219">
        <f t="shared" si="9"/>
        <v>0</v>
      </c>
      <c r="BM59" s="560">
        <v>0</v>
      </c>
      <c r="BN59" s="558"/>
      <c r="BO59" s="558"/>
      <c r="BP59" s="558"/>
      <c r="BQ59" s="558"/>
      <c r="BR59" s="558"/>
      <c r="BS59" s="558"/>
      <c r="BT59" s="559"/>
      <c r="BU59" s="219">
        <f t="shared" si="0"/>
        <v>0</v>
      </c>
      <c r="BV59" s="560">
        <v>0</v>
      </c>
      <c r="BW59" s="558"/>
      <c r="BX59" s="558"/>
      <c r="BY59" s="558"/>
      <c r="BZ59" s="558"/>
      <c r="CA59" s="558"/>
      <c r="CB59" s="558"/>
      <c r="CC59" s="559"/>
      <c r="CD59" s="219">
        <f t="shared" si="1"/>
        <v>0</v>
      </c>
      <c r="CE59" s="560">
        <v>0</v>
      </c>
      <c r="CF59" s="558"/>
      <c r="CG59" s="558"/>
      <c r="CH59" s="558"/>
      <c r="CI59" s="558"/>
      <c r="CJ59" s="558"/>
      <c r="CK59" s="558"/>
      <c r="CL59" s="559"/>
      <c r="CM59" s="219">
        <f t="shared" si="2"/>
        <v>0</v>
      </c>
      <c r="CN59" s="560">
        <v>0</v>
      </c>
      <c r="CO59" s="558"/>
      <c r="CP59" s="558"/>
      <c r="CQ59" s="558"/>
      <c r="CR59" s="558"/>
      <c r="CS59" s="558"/>
      <c r="CT59" s="558"/>
      <c r="CU59" s="559"/>
      <c r="CV59" s="219">
        <f t="shared" si="3"/>
        <v>0</v>
      </c>
      <c r="CW59" s="560">
        <v>0</v>
      </c>
      <c r="CX59" s="558"/>
      <c r="CY59" s="558"/>
      <c r="CZ59" s="558"/>
      <c r="DA59" s="558"/>
      <c r="DB59" s="558"/>
      <c r="DC59" s="558"/>
      <c r="DD59" s="559"/>
      <c r="DE59" s="219">
        <f t="shared" si="4"/>
        <v>0</v>
      </c>
      <c r="DF59" s="560">
        <v>0</v>
      </c>
      <c r="DG59" s="558"/>
      <c r="DH59" s="558"/>
      <c r="DI59" s="558"/>
      <c r="DJ59" s="558"/>
      <c r="DK59" s="558"/>
      <c r="DL59" s="558"/>
      <c r="DM59" s="559"/>
      <c r="DN59" s="219">
        <f t="shared" si="5"/>
        <v>0</v>
      </c>
      <c r="DO59" s="160">
        <f t="shared" si="10"/>
        <v>1</v>
      </c>
      <c r="DP59" s="161"/>
    </row>
    <row r="60" spans="2:120" ht="227.25" customHeight="1">
      <c r="B60" s="563"/>
      <c r="C60" s="547"/>
      <c r="D60" s="550"/>
      <c r="E60" s="551"/>
      <c r="F60" s="547"/>
      <c r="G60" s="547"/>
      <c r="H60" s="547"/>
      <c r="I60" s="547"/>
      <c r="J60" s="162" t="s">
        <v>73</v>
      </c>
      <c r="K60" s="576">
        <v>0</v>
      </c>
      <c r="L60" s="555"/>
      <c r="M60" s="555"/>
      <c r="N60" s="555"/>
      <c r="O60" s="555"/>
      <c r="P60" s="555"/>
      <c r="Q60" s="555"/>
      <c r="R60" s="556"/>
      <c r="S60" s="218">
        <f t="shared" si="6"/>
        <v>0</v>
      </c>
      <c r="T60" s="577">
        <v>0</v>
      </c>
      <c r="U60" s="358"/>
      <c r="V60" s="358"/>
      <c r="W60" s="358"/>
      <c r="X60" s="358"/>
      <c r="Y60" s="358"/>
      <c r="Z60" s="358"/>
      <c r="AA60" s="359"/>
      <c r="AB60" s="159">
        <f t="shared" si="11"/>
        <v>0</v>
      </c>
      <c r="AC60" s="560">
        <v>0</v>
      </c>
      <c r="AD60" s="558"/>
      <c r="AE60" s="558"/>
      <c r="AF60" s="558"/>
      <c r="AG60" s="558"/>
      <c r="AH60" s="558"/>
      <c r="AI60" s="558"/>
      <c r="AJ60" s="559"/>
      <c r="AK60" s="219">
        <f t="shared" si="12"/>
        <v>0</v>
      </c>
      <c r="AL60" s="560">
        <v>0</v>
      </c>
      <c r="AM60" s="558"/>
      <c r="AN60" s="558"/>
      <c r="AO60" s="558"/>
      <c r="AP60" s="558"/>
      <c r="AQ60" s="558"/>
      <c r="AR60" s="558"/>
      <c r="AS60" s="559"/>
      <c r="AT60" s="236">
        <f t="shared" si="7"/>
        <v>0</v>
      </c>
      <c r="AU60" s="243">
        <v>0</v>
      </c>
      <c r="AV60" s="243">
        <v>0</v>
      </c>
      <c r="AW60" s="243">
        <v>0</v>
      </c>
      <c r="AX60" s="243">
        <v>0</v>
      </c>
      <c r="AY60" s="243">
        <v>0</v>
      </c>
      <c r="AZ60" s="243">
        <v>0</v>
      </c>
      <c r="BA60" s="243">
        <v>0</v>
      </c>
      <c r="BB60" s="243">
        <v>0</v>
      </c>
      <c r="BC60" s="219">
        <f t="shared" si="8"/>
        <v>0</v>
      </c>
      <c r="BD60" s="560">
        <v>0</v>
      </c>
      <c r="BE60" s="558"/>
      <c r="BF60" s="558"/>
      <c r="BG60" s="558"/>
      <c r="BH60" s="558"/>
      <c r="BI60" s="558"/>
      <c r="BJ60" s="558"/>
      <c r="BK60" s="559"/>
      <c r="BL60" s="219">
        <f t="shared" si="9"/>
        <v>0</v>
      </c>
      <c r="BM60" s="560"/>
      <c r="BN60" s="558"/>
      <c r="BO60" s="558"/>
      <c r="BP60" s="558"/>
      <c r="BQ60" s="558"/>
      <c r="BR60" s="558"/>
      <c r="BS60" s="558"/>
      <c r="BT60" s="559"/>
      <c r="BU60" s="219">
        <f t="shared" si="0"/>
        <v>0</v>
      </c>
      <c r="BV60" s="560"/>
      <c r="BW60" s="558"/>
      <c r="BX60" s="558"/>
      <c r="BY60" s="558"/>
      <c r="BZ60" s="558"/>
      <c r="CA60" s="558"/>
      <c r="CB60" s="558"/>
      <c r="CC60" s="559"/>
      <c r="CD60" s="219">
        <f t="shared" si="1"/>
        <v>0</v>
      </c>
      <c r="CE60" s="560"/>
      <c r="CF60" s="558"/>
      <c r="CG60" s="558"/>
      <c r="CH60" s="558"/>
      <c r="CI60" s="558"/>
      <c r="CJ60" s="558"/>
      <c r="CK60" s="558"/>
      <c r="CL60" s="559"/>
      <c r="CM60" s="219">
        <f t="shared" si="2"/>
        <v>0</v>
      </c>
      <c r="CN60" s="560"/>
      <c r="CO60" s="558"/>
      <c r="CP60" s="558"/>
      <c r="CQ60" s="558"/>
      <c r="CR60" s="558"/>
      <c r="CS60" s="558"/>
      <c r="CT60" s="558"/>
      <c r="CU60" s="559"/>
      <c r="CV60" s="219">
        <f t="shared" si="3"/>
        <v>0</v>
      </c>
      <c r="CW60" s="560"/>
      <c r="CX60" s="558"/>
      <c r="CY60" s="558"/>
      <c r="CZ60" s="558"/>
      <c r="DA60" s="558"/>
      <c r="DB60" s="558"/>
      <c r="DC60" s="558"/>
      <c r="DD60" s="559"/>
      <c r="DE60" s="219">
        <f t="shared" si="4"/>
        <v>0</v>
      </c>
      <c r="DF60" s="560"/>
      <c r="DG60" s="558"/>
      <c r="DH60" s="558"/>
      <c r="DI60" s="558"/>
      <c r="DJ60" s="558"/>
      <c r="DK60" s="558"/>
      <c r="DL60" s="558"/>
      <c r="DM60" s="559"/>
      <c r="DN60" s="219">
        <f t="shared" si="5"/>
        <v>0</v>
      </c>
      <c r="DO60" s="160">
        <f t="shared" si="10"/>
        <v>0</v>
      </c>
      <c r="DP60" s="161"/>
    </row>
    <row r="61" spans="2:120" ht="270" hidden="1" customHeight="1">
      <c r="B61" s="546" t="s">
        <v>138</v>
      </c>
      <c r="C61" s="546" t="s">
        <v>5</v>
      </c>
      <c r="D61" s="548" t="s">
        <v>0</v>
      </c>
      <c r="E61" s="549"/>
      <c r="F61" s="546" t="s">
        <v>0</v>
      </c>
      <c r="G61" s="546">
        <v>2</v>
      </c>
      <c r="H61" s="546" t="s">
        <v>0</v>
      </c>
      <c r="I61" s="546">
        <v>1</v>
      </c>
      <c r="J61" s="158" t="s">
        <v>72</v>
      </c>
      <c r="K61" s="576">
        <v>1</v>
      </c>
      <c r="L61" s="555"/>
      <c r="M61" s="555"/>
      <c r="N61" s="555"/>
      <c r="O61" s="555"/>
      <c r="P61" s="555"/>
      <c r="Q61" s="555"/>
      <c r="R61" s="556"/>
      <c r="S61" s="218">
        <f t="shared" si="6"/>
        <v>1</v>
      </c>
      <c r="T61" s="577">
        <v>0</v>
      </c>
      <c r="U61" s="358"/>
      <c r="V61" s="358"/>
      <c r="W61" s="358"/>
      <c r="X61" s="358"/>
      <c r="Y61" s="358"/>
      <c r="Z61" s="358"/>
      <c r="AA61" s="359"/>
      <c r="AB61" s="159">
        <f t="shared" si="11"/>
        <v>0</v>
      </c>
      <c r="AC61" s="560">
        <v>0</v>
      </c>
      <c r="AD61" s="558"/>
      <c r="AE61" s="558"/>
      <c r="AF61" s="558"/>
      <c r="AG61" s="558"/>
      <c r="AH61" s="558"/>
      <c r="AI61" s="558"/>
      <c r="AJ61" s="559"/>
      <c r="AK61" s="219">
        <f t="shared" si="12"/>
        <v>0</v>
      </c>
      <c r="AL61" s="560">
        <v>0</v>
      </c>
      <c r="AM61" s="558"/>
      <c r="AN61" s="558"/>
      <c r="AO61" s="558"/>
      <c r="AP61" s="558"/>
      <c r="AQ61" s="558"/>
      <c r="AR61" s="558"/>
      <c r="AS61" s="559"/>
      <c r="AT61" s="236">
        <f t="shared" si="7"/>
        <v>0</v>
      </c>
      <c r="AU61" s="578">
        <v>0</v>
      </c>
      <c r="AV61" s="542"/>
      <c r="AW61" s="542"/>
      <c r="AX61" s="542"/>
      <c r="AY61" s="542"/>
      <c r="AZ61" s="542"/>
      <c r="BA61" s="542"/>
      <c r="BB61" s="342"/>
      <c r="BC61" s="219">
        <f t="shared" si="8"/>
        <v>0</v>
      </c>
      <c r="BD61" s="571">
        <v>0</v>
      </c>
      <c r="BE61" s="338"/>
      <c r="BF61" s="338"/>
      <c r="BG61" s="338"/>
      <c r="BH61" s="338"/>
      <c r="BI61" s="338"/>
      <c r="BJ61" s="338"/>
      <c r="BK61" s="339"/>
      <c r="BL61" s="219">
        <f t="shared" si="9"/>
        <v>0</v>
      </c>
      <c r="BM61" s="571">
        <v>0</v>
      </c>
      <c r="BN61" s="338"/>
      <c r="BO61" s="338"/>
      <c r="BP61" s="338"/>
      <c r="BQ61" s="338"/>
      <c r="BR61" s="338"/>
      <c r="BS61" s="338"/>
      <c r="BT61" s="339"/>
      <c r="BU61" s="219">
        <f t="shared" si="0"/>
        <v>0</v>
      </c>
      <c r="BV61" s="571">
        <v>0</v>
      </c>
      <c r="BW61" s="338"/>
      <c r="BX61" s="338"/>
      <c r="BY61" s="338"/>
      <c r="BZ61" s="338"/>
      <c r="CA61" s="338"/>
      <c r="CB61" s="338"/>
      <c r="CC61" s="339"/>
      <c r="CD61" s="219">
        <f t="shared" si="1"/>
        <v>0</v>
      </c>
      <c r="CE61" s="571">
        <v>0</v>
      </c>
      <c r="CF61" s="338"/>
      <c r="CG61" s="338"/>
      <c r="CH61" s="338"/>
      <c r="CI61" s="338"/>
      <c r="CJ61" s="338"/>
      <c r="CK61" s="338"/>
      <c r="CL61" s="339"/>
      <c r="CM61" s="219">
        <f t="shared" si="2"/>
        <v>0</v>
      </c>
      <c r="CN61" s="571">
        <v>0</v>
      </c>
      <c r="CO61" s="338"/>
      <c r="CP61" s="338"/>
      <c r="CQ61" s="338"/>
      <c r="CR61" s="338"/>
      <c r="CS61" s="338"/>
      <c r="CT61" s="338"/>
      <c r="CU61" s="339"/>
      <c r="CV61" s="219">
        <f t="shared" si="3"/>
        <v>0</v>
      </c>
      <c r="CW61" s="571">
        <v>0</v>
      </c>
      <c r="CX61" s="338"/>
      <c r="CY61" s="338"/>
      <c r="CZ61" s="338"/>
      <c r="DA61" s="338"/>
      <c r="DB61" s="338"/>
      <c r="DC61" s="338"/>
      <c r="DD61" s="339"/>
      <c r="DE61" s="219">
        <f t="shared" si="4"/>
        <v>0</v>
      </c>
      <c r="DF61" s="571">
        <v>0</v>
      </c>
      <c r="DG61" s="338"/>
      <c r="DH61" s="338"/>
      <c r="DI61" s="338"/>
      <c r="DJ61" s="338"/>
      <c r="DK61" s="338"/>
      <c r="DL61" s="338"/>
      <c r="DM61" s="339"/>
      <c r="DN61" s="219">
        <f t="shared" si="5"/>
        <v>0</v>
      </c>
      <c r="DO61" s="160">
        <f t="shared" si="10"/>
        <v>1</v>
      </c>
      <c r="DP61" s="159"/>
    </row>
    <row r="62" spans="2:120" ht="247.5" customHeight="1">
      <c r="B62" s="547"/>
      <c r="C62" s="547"/>
      <c r="D62" s="550"/>
      <c r="E62" s="551"/>
      <c r="F62" s="547"/>
      <c r="G62" s="547"/>
      <c r="H62" s="547"/>
      <c r="I62" s="547"/>
      <c r="J62" s="162" t="s">
        <v>73</v>
      </c>
      <c r="K62" s="576">
        <v>1</v>
      </c>
      <c r="L62" s="555"/>
      <c r="M62" s="555"/>
      <c r="N62" s="555"/>
      <c r="O62" s="555"/>
      <c r="P62" s="555"/>
      <c r="Q62" s="555"/>
      <c r="R62" s="556"/>
      <c r="S62" s="218">
        <f t="shared" si="6"/>
        <v>1</v>
      </c>
      <c r="T62" s="577">
        <v>0</v>
      </c>
      <c r="U62" s="358"/>
      <c r="V62" s="358"/>
      <c r="W62" s="358"/>
      <c r="X62" s="358"/>
      <c r="Y62" s="358"/>
      <c r="Z62" s="358"/>
      <c r="AA62" s="359"/>
      <c r="AB62" s="159">
        <f t="shared" si="11"/>
        <v>0</v>
      </c>
      <c r="AC62" s="560">
        <v>0</v>
      </c>
      <c r="AD62" s="558"/>
      <c r="AE62" s="558"/>
      <c r="AF62" s="558"/>
      <c r="AG62" s="558"/>
      <c r="AH62" s="558"/>
      <c r="AI62" s="558"/>
      <c r="AJ62" s="559"/>
      <c r="AK62" s="219">
        <f t="shared" si="12"/>
        <v>0</v>
      </c>
      <c r="AL62" s="560">
        <v>0</v>
      </c>
      <c r="AM62" s="558"/>
      <c r="AN62" s="558"/>
      <c r="AO62" s="558"/>
      <c r="AP62" s="558"/>
      <c r="AQ62" s="558"/>
      <c r="AR62" s="558"/>
      <c r="AS62" s="559"/>
      <c r="AT62" s="236">
        <f t="shared" si="7"/>
        <v>0</v>
      </c>
      <c r="AU62" s="243">
        <v>0</v>
      </c>
      <c r="AV62" s="243">
        <v>0</v>
      </c>
      <c r="AW62" s="243">
        <v>0</v>
      </c>
      <c r="AX62" s="243">
        <v>0</v>
      </c>
      <c r="AY62" s="243">
        <v>0</v>
      </c>
      <c r="AZ62" s="243">
        <v>0</v>
      </c>
      <c r="BA62" s="243">
        <v>0</v>
      </c>
      <c r="BB62" s="243">
        <v>0</v>
      </c>
      <c r="BC62" s="219">
        <f t="shared" si="8"/>
        <v>0</v>
      </c>
      <c r="BD62" s="572">
        <v>0</v>
      </c>
      <c r="BE62" s="573"/>
      <c r="BF62" s="573"/>
      <c r="BG62" s="573"/>
      <c r="BH62" s="573"/>
      <c r="BI62" s="573"/>
      <c r="BJ62" s="573"/>
      <c r="BK62" s="573"/>
      <c r="BL62" s="219">
        <f t="shared" si="9"/>
        <v>0</v>
      </c>
      <c r="BM62" s="572"/>
      <c r="BN62" s="573"/>
      <c r="BO62" s="573"/>
      <c r="BP62" s="573"/>
      <c r="BQ62" s="573"/>
      <c r="BR62" s="573"/>
      <c r="BS62" s="573"/>
      <c r="BT62" s="573"/>
      <c r="BU62" s="236">
        <f t="shared" si="0"/>
        <v>0</v>
      </c>
      <c r="BV62" s="572"/>
      <c r="BW62" s="573"/>
      <c r="BX62" s="573"/>
      <c r="BY62" s="573"/>
      <c r="BZ62" s="573"/>
      <c r="CA62" s="573"/>
      <c r="CB62" s="573"/>
      <c r="CC62" s="573"/>
      <c r="CD62" s="236">
        <f t="shared" si="1"/>
        <v>0</v>
      </c>
      <c r="CE62" s="572"/>
      <c r="CF62" s="573"/>
      <c r="CG62" s="573"/>
      <c r="CH62" s="573"/>
      <c r="CI62" s="573"/>
      <c r="CJ62" s="573"/>
      <c r="CK62" s="573"/>
      <c r="CL62" s="573"/>
      <c r="CM62" s="236">
        <f t="shared" si="2"/>
        <v>0</v>
      </c>
      <c r="CN62" s="572"/>
      <c r="CO62" s="573"/>
      <c r="CP62" s="573"/>
      <c r="CQ62" s="573"/>
      <c r="CR62" s="573"/>
      <c r="CS62" s="573"/>
      <c r="CT62" s="573"/>
      <c r="CU62" s="573"/>
      <c r="CV62" s="236">
        <f t="shared" si="3"/>
        <v>0</v>
      </c>
      <c r="CW62" s="572"/>
      <c r="CX62" s="573"/>
      <c r="CY62" s="573"/>
      <c r="CZ62" s="573"/>
      <c r="DA62" s="573"/>
      <c r="DB62" s="573"/>
      <c r="DC62" s="573"/>
      <c r="DD62" s="573"/>
      <c r="DE62" s="236">
        <f t="shared" si="4"/>
        <v>0</v>
      </c>
      <c r="DF62" s="572"/>
      <c r="DG62" s="573"/>
      <c r="DH62" s="573"/>
      <c r="DI62" s="573"/>
      <c r="DJ62" s="573"/>
      <c r="DK62" s="573"/>
      <c r="DL62" s="573"/>
      <c r="DM62" s="573"/>
      <c r="DN62" s="236">
        <f t="shared" si="5"/>
        <v>0</v>
      </c>
      <c r="DO62" s="66">
        <f t="shared" si="10"/>
        <v>1</v>
      </c>
      <c r="DP62" s="67"/>
    </row>
    <row r="63" spans="2:120" ht="217.5" hidden="1" customHeight="1">
      <c r="B63" s="546" t="s">
        <v>250</v>
      </c>
      <c r="C63" s="546" t="s">
        <v>15</v>
      </c>
      <c r="D63" s="548" t="s">
        <v>9</v>
      </c>
      <c r="E63" s="549"/>
      <c r="F63" s="546" t="s">
        <v>9</v>
      </c>
      <c r="G63" s="546">
        <v>1</v>
      </c>
      <c r="H63" s="546" t="s">
        <v>9</v>
      </c>
      <c r="I63" s="546">
        <v>1</v>
      </c>
      <c r="J63" s="158" t="s">
        <v>72</v>
      </c>
      <c r="K63" s="576">
        <v>1</v>
      </c>
      <c r="L63" s="555"/>
      <c r="M63" s="555"/>
      <c r="N63" s="555"/>
      <c r="O63" s="555"/>
      <c r="P63" s="555"/>
      <c r="Q63" s="555"/>
      <c r="R63" s="556"/>
      <c r="S63" s="218">
        <f t="shared" si="6"/>
        <v>1</v>
      </c>
      <c r="T63" s="577">
        <v>0</v>
      </c>
      <c r="U63" s="358"/>
      <c r="V63" s="358"/>
      <c r="W63" s="358"/>
      <c r="X63" s="358"/>
      <c r="Y63" s="358"/>
      <c r="Z63" s="358"/>
      <c r="AA63" s="359"/>
      <c r="AB63" s="159">
        <f t="shared" si="11"/>
        <v>0</v>
      </c>
      <c r="AC63" s="560">
        <v>0</v>
      </c>
      <c r="AD63" s="558"/>
      <c r="AE63" s="558"/>
      <c r="AF63" s="558"/>
      <c r="AG63" s="558"/>
      <c r="AH63" s="558"/>
      <c r="AI63" s="558"/>
      <c r="AJ63" s="559"/>
      <c r="AK63" s="219">
        <f t="shared" si="12"/>
        <v>0</v>
      </c>
      <c r="AL63" s="560">
        <v>0</v>
      </c>
      <c r="AM63" s="558"/>
      <c r="AN63" s="558"/>
      <c r="AO63" s="558"/>
      <c r="AP63" s="558"/>
      <c r="AQ63" s="558"/>
      <c r="AR63" s="558"/>
      <c r="AS63" s="559"/>
      <c r="AT63" s="236">
        <f t="shared" si="7"/>
        <v>0</v>
      </c>
      <c r="AU63" s="572">
        <v>0</v>
      </c>
      <c r="AV63" s="573"/>
      <c r="AW63" s="573"/>
      <c r="AX63" s="573"/>
      <c r="AY63" s="573"/>
      <c r="AZ63" s="573"/>
      <c r="BA63" s="573"/>
      <c r="BB63" s="573"/>
      <c r="BC63" s="219">
        <f t="shared" si="8"/>
        <v>0</v>
      </c>
      <c r="BD63" s="572">
        <v>0</v>
      </c>
      <c r="BE63" s="573"/>
      <c r="BF63" s="573"/>
      <c r="BG63" s="573"/>
      <c r="BH63" s="573"/>
      <c r="BI63" s="573"/>
      <c r="BJ63" s="573"/>
      <c r="BK63" s="573"/>
      <c r="BL63" s="219">
        <f t="shared" si="9"/>
        <v>0</v>
      </c>
      <c r="BM63" s="572">
        <v>0</v>
      </c>
      <c r="BN63" s="573"/>
      <c r="BO63" s="573"/>
      <c r="BP63" s="573"/>
      <c r="BQ63" s="573"/>
      <c r="BR63" s="573"/>
      <c r="BS63" s="573"/>
      <c r="BT63" s="573"/>
      <c r="BU63" s="236">
        <f t="shared" si="0"/>
        <v>0</v>
      </c>
      <c r="BV63" s="572">
        <v>0</v>
      </c>
      <c r="BW63" s="573"/>
      <c r="BX63" s="573"/>
      <c r="BY63" s="573"/>
      <c r="BZ63" s="573"/>
      <c r="CA63" s="573"/>
      <c r="CB63" s="573"/>
      <c r="CC63" s="573"/>
      <c r="CD63" s="236">
        <f t="shared" si="1"/>
        <v>0</v>
      </c>
      <c r="CE63" s="572">
        <v>0</v>
      </c>
      <c r="CF63" s="573"/>
      <c r="CG63" s="573"/>
      <c r="CH63" s="573"/>
      <c r="CI63" s="573"/>
      <c r="CJ63" s="573"/>
      <c r="CK63" s="573"/>
      <c r="CL63" s="573"/>
      <c r="CM63" s="236">
        <f t="shared" si="2"/>
        <v>0</v>
      </c>
      <c r="CN63" s="572">
        <v>0</v>
      </c>
      <c r="CO63" s="573"/>
      <c r="CP63" s="573"/>
      <c r="CQ63" s="573"/>
      <c r="CR63" s="573"/>
      <c r="CS63" s="573"/>
      <c r="CT63" s="573"/>
      <c r="CU63" s="573"/>
      <c r="CV63" s="236">
        <f t="shared" si="3"/>
        <v>0</v>
      </c>
      <c r="CW63" s="572">
        <v>0</v>
      </c>
      <c r="CX63" s="573"/>
      <c r="CY63" s="573"/>
      <c r="CZ63" s="573"/>
      <c r="DA63" s="573"/>
      <c r="DB63" s="573"/>
      <c r="DC63" s="573"/>
      <c r="DD63" s="573"/>
      <c r="DE63" s="236">
        <f t="shared" si="4"/>
        <v>0</v>
      </c>
      <c r="DF63" s="572">
        <v>0</v>
      </c>
      <c r="DG63" s="573"/>
      <c r="DH63" s="573"/>
      <c r="DI63" s="573"/>
      <c r="DJ63" s="573"/>
      <c r="DK63" s="573"/>
      <c r="DL63" s="573"/>
      <c r="DM63" s="573"/>
      <c r="DN63" s="236">
        <f t="shared" si="5"/>
        <v>0</v>
      </c>
      <c r="DO63" s="66">
        <f t="shared" si="10"/>
        <v>1</v>
      </c>
      <c r="DP63" s="67"/>
    </row>
    <row r="64" spans="2:120" ht="255" customHeight="1">
      <c r="B64" s="547"/>
      <c r="C64" s="547"/>
      <c r="D64" s="550"/>
      <c r="E64" s="551"/>
      <c r="F64" s="547"/>
      <c r="G64" s="547"/>
      <c r="H64" s="547"/>
      <c r="I64" s="547"/>
      <c r="J64" s="162" t="s">
        <v>73</v>
      </c>
      <c r="K64" s="576">
        <v>1</v>
      </c>
      <c r="L64" s="555"/>
      <c r="M64" s="555"/>
      <c r="N64" s="555"/>
      <c r="O64" s="555"/>
      <c r="P64" s="555"/>
      <c r="Q64" s="555"/>
      <c r="R64" s="556"/>
      <c r="S64" s="218">
        <f t="shared" si="6"/>
        <v>1</v>
      </c>
      <c r="T64" s="577">
        <v>0</v>
      </c>
      <c r="U64" s="358"/>
      <c r="V64" s="358"/>
      <c r="W64" s="358"/>
      <c r="X64" s="358"/>
      <c r="Y64" s="358"/>
      <c r="Z64" s="358"/>
      <c r="AA64" s="359"/>
      <c r="AB64" s="159">
        <f t="shared" si="11"/>
        <v>0</v>
      </c>
      <c r="AC64" s="560">
        <v>0</v>
      </c>
      <c r="AD64" s="558"/>
      <c r="AE64" s="558"/>
      <c r="AF64" s="558"/>
      <c r="AG64" s="558"/>
      <c r="AH64" s="558"/>
      <c r="AI64" s="558"/>
      <c r="AJ64" s="559"/>
      <c r="AK64" s="219">
        <f t="shared" si="12"/>
        <v>0</v>
      </c>
      <c r="AL64" s="560">
        <v>0</v>
      </c>
      <c r="AM64" s="558"/>
      <c r="AN64" s="558"/>
      <c r="AO64" s="558"/>
      <c r="AP64" s="558"/>
      <c r="AQ64" s="558"/>
      <c r="AR64" s="558"/>
      <c r="AS64" s="559"/>
      <c r="AT64" s="236">
        <f t="shared" si="7"/>
        <v>0</v>
      </c>
      <c r="AU64" s="243">
        <v>0</v>
      </c>
      <c r="AV64" s="243">
        <v>0</v>
      </c>
      <c r="AW64" s="243">
        <v>0</v>
      </c>
      <c r="AX64" s="243">
        <v>0</v>
      </c>
      <c r="AY64" s="243">
        <v>0</v>
      </c>
      <c r="AZ64" s="243">
        <v>0</v>
      </c>
      <c r="BA64" s="243">
        <v>0</v>
      </c>
      <c r="BB64" s="243">
        <v>0</v>
      </c>
      <c r="BC64" s="219">
        <f t="shared" si="8"/>
        <v>0</v>
      </c>
      <c r="BD64" s="572">
        <v>0</v>
      </c>
      <c r="BE64" s="573"/>
      <c r="BF64" s="573"/>
      <c r="BG64" s="573"/>
      <c r="BH64" s="573"/>
      <c r="BI64" s="573"/>
      <c r="BJ64" s="573"/>
      <c r="BK64" s="573"/>
      <c r="BL64" s="219">
        <f t="shared" si="9"/>
        <v>0</v>
      </c>
      <c r="BM64" s="572"/>
      <c r="BN64" s="573"/>
      <c r="BO64" s="573"/>
      <c r="BP64" s="573"/>
      <c r="BQ64" s="573"/>
      <c r="BR64" s="573"/>
      <c r="BS64" s="573"/>
      <c r="BT64" s="573"/>
      <c r="BU64" s="236">
        <f t="shared" si="0"/>
        <v>0</v>
      </c>
      <c r="BV64" s="572"/>
      <c r="BW64" s="573"/>
      <c r="BX64" s="573"/>
      <c r="BY64" s="573"/>
      <c r="BZ64" s="573"/>
      <c r="CA64" s="573"/>
      <c r="CB64" s="573"/>
      <c r="CC64" s="573"/>
      <c r="CD64" s="236">
        <f t="shared" si="1"/>
        <v>0</v>
      </c>
      <c r="CE64" s="572"/>
      <c r="CF64" s="573"/>
      <c r="CG64" s="573"/>
      <c r="CH64" s="573"/>
      <c r="CI64" s="573"/>
      <c r="CJ64" s="573"/>
      <c r="CK64" s="573"/>
      <c r="CL64" s="573"/>
      <c r="CM64" s="236">
        <f t="shared" si="2"/>
        <v>0</v>
      </c>
      <c r="CN64" s="572"/>
      <c r="CO64" s="573"/>
      <c r="CP64" s="573"/>
      <c r="CQ64" s="573"/>
      <c r="CR64" s="573"/>
      <c r="CS64" s="573"/>
      <c r="CT64" s="573"/>
      <c r="CU64" s="573"/>
      <c r="CV64" s="236">
        <f t="shared" si="3"/>
        <v>0</v>
      </c>
      <c r="CW64" s="572"/>
      <c r="CX64" s="573"/>
      <c r="CY64" s="573"/>
      <c r="CZ64" s="573"/>
      <c r="DA64" s="573"/>
      <c r="DB64" s="573"/>
      <c r="DC64" s="573"/>
      <c r="DD64" s="573"/>
      <c r="DE64" s="236">
        <f t="shared" si="4"/>
        <v>0</v>
      </c>
      <c r="DF64" s="572"/>
      <c r="DG64" s="573"/>
      <c r="DH64" s="573"/>
      <c r="DI64" s="573"/>
      <c r="DJ64" s="573"/>
      <c r="DK64" s="573"/>
      <c r="DL64" s="573"/>
      <c r="DM64" s="573"/>
      <c r="DN64" s="236">
        <f t="shared" si="5"/>
        <v>0</v>
      </c>
      <c r="DO64" s="66">
        <f t="shared" si="10"/>
        <v>1</v>
      </c>
      <c r="DP64" s="67"/>
    </row>
    <row r="65" spans="2:120" ht="285.75" hidden="1" customHeight="1">
      <c r="B65" s="546" t="s">
        <v>141</v>
      </c>
      <c r="C65" s="546" t="s">
        <v>10</v>
      </c>
      <c r="D65" s="548" t="s">
        <v>251</v>
      </c>
      <c r="E65" s="549"/>
      <c r="F65" s="546" t="s">
        <v>251</v>
      </c>
      <c r="G65" s="546">
        <v>1</v>
      </c>
      <c r="H65" s="546" t="s">
        <v>251</v>
      </c>
      <c r="I65" s="579">
        <v>1</v>
      </c>
      <c r="J65" s="158" t="s">
        <v>72</v>
      </c>
      <c r="K65" s="576">
        <v>1</v>
      </c>
      <c r="L65" s="555"/>
      <c r="M65" s="555"/>
      <c r="N65" s="555"/>
      <c r="O65" s="555"/>
      <c r="P65" s="555"/>
      <c r="Q65" s="555"/>
      <c r="R65" s="556"/>
      <c r="S65" s="218">
        <f t="shared" si="6"/>
        <v>1</v>
      </c>
      <c r="T65" s="577">
        <v>0</v>
      </c>
      <c r="U65" s="358"/>
      <c r="V65" s="358"/>
      <c r="W65" s="358"/>
      <c r="X65" s="358"/>
      <c r="Y65" s="358"/>
      <c r="Z65" s="358"/>
      <c r="AA65" s="359"/>
      <c r="AB65" s="159">
        <f t="shared" si="11"/>
        <v>0</v>
      </c>
      <c r="AC65" s="560">
        <v>0</v>
      </c>
      <c r="AD65" s="558"/>
      <c r="AE65" s="558"/>
      <c r="AF65" s="558"/>
      <c r="AG65" s="558"/>
      <c r="AH65" s="558"/>
      <c r="AI65" s="558"/>
      <c r="AJ65" s="559"/>
      <c r="AK65" s="219">
        <f t="shared" si="12"/>
        <v>0</v>
      </c>
      <c r="AL65" s="560">
        <v>0</v>
      </c>
      <c r="AM65" s="558"/>
      <c r="AN65" s="558"/>
      <c r="AO65" s="558"/>
      <c r="AP65" s="558"/>
      <c r="AQ65" s="558"/>
      <c r="AR65" s="558"/>
      <c r="AS65" s="559"/>
      <c r="AT65" s="236">
        <f t="shared" si="7"/>
        <v>0</v>
      </c>
      <c r="AU65" s="572">
        <v>0</v>
      </c>
      <c r="AV65" s="573"/>
      <c r="AW65" s="573"/>
      <c r="AX65" s="573"/>
      <c r="AY65" s="573"/>
      <c r="AZ65" s="573"/>
      <c r="BA65" s="573"/>
      <c r="BB65" s="573"/>
      <c r="BC65" s="219">
        <f t="shared" si="8"/>
        <v>0</v>
      </c>
      <c r="BD65" s="572">
        <v>0</v>
      </c>
      <c r="BE65" s="573"/>
      <c r="BF65" s="573"/>
      <c r="BG65" s="573"/>
      <c r="BH65" s="573"/>
      <c r="BI65" s="573"/>
      <c r="BJ65" s="573"/>
      <c r="BK65" s="573"/>
      <c r="BL65" s="219">
        <f t="shared" si="9"/>
        <v>0</v>
      </c>
      <c r="BM65" s="572">
        <v>0</v>
      </c>
      <c r="BN65" s="573"/>
      <c r="BO65" s="573"/>
      <c r="BP65" s="573"/>
      <c r="BQ65" s="573"/>
      <c r="BR65" s="573"/>
      <c r="BS65" s="573"/>
      <c r="BT65" s="573"/>
      <c r="BU65" s="236">
        <f t="shared" si="0"/>
        <v>0</v>
      </c>
      <c r="BV65" s="572">
        <v>0</v>
      </c>
      <c r="BW65" s="573"/>
      <c r="BX65" s="573"/>
      <c r="BY65" s="573"/>
      <c r="BZ65" s="573"/>
      <c r="CA65" s="573"/>
      <c r="CB65" s="573"/>
      <c r="CC65" s="573"/>
      <c r="CD65" s="236">
        <f t="shared" si="1"/>
        <v>0</v>
      </c>
      <c r="CE65" s="572">
        <v>0</v>
      </c>
      <c r="CF65" s="573"/>
      <c r="CG65" s="573"/>
      <c r="CH65" s="573"/>
      <c r="CI65" s="573"/>
      <c r="CJ65" s="573"/>
      <c r="CK65" s="573"/>
      <c r="CL65" s="573"/>
      <c r="CM65" s="236">
        <f t="shared" si="2"/>
        <v>0</v>
      </c>
      <c r="CN65" s="572">
        <v>0</v>
      </c>
      <c r="CO65" s="573"/>
      <c r="CP65" s="573"/>
      <c r="CQ65" s="573"/>
      <c r="CR65" s="573"/>
      <c r="CS65" s="573"/>
      <c r="CT65" s="573"/>
      <c r="CU65" s="573"/>
      <c r="CV65" s="236">
        <f t="shared" si="3"/>
        <v>0</v>
      </c>
      <c r="CW65" s="572">
        <v>0</v>
      </c>
      <c r="CX65" s="573"/>
      <c r="CY65" s="573"/>
      <c r="CZ65" s="573"/>
      <c r="DA65" s="573"/>
      <c r="DB65" s="573"/>
      <c r="DC65" s="573"/>
      <c r="DD65" s="573"/>
      <c r="DE65" s="236">
        <f t="shared" si="4"/>
        <v>0</v>
      </c>
      <c r="DF65" s="572">
        <v>0</v>
      </c>
      <c r="DG65" s="573"/>
      <c r="DH65" s="573"/>
      <c r="DI65" s="573"/>
      <c r="DJ65" s="573"/>
      <c r="DK65" s="573"/>
      <c r="DL65" s="573"/>
      <c r="DM65" s="573"/>
      <c r="DN65" s="236">
        <f t="shared" si="5"/>
        <v>0</v>
      </c>
      <c r="DO65" s="66">
        <f t="shared" si="10"/>
        <v>1</v>
      </c>
      <c r="DP65" s="244"/>
    </row>
    <row r="66" spans="2:120" ht="199.5" customHeight="1">
      <c r="B66" s="547"/>
      <c r="C66" s="547"/>
      <c r="D66" s="550"/>
      <c r="E66" s="551"/>
      <c r="F66" s="547"/>
      <c r="G66" s="547"/>
      <c r="H66" s="547"/>
      <c r="I66" s="547"/>
      <c r="J66" s="162" t="s">
        <v>73</v>
      </c>
      <c r="K66" s="576">
        <v>0</v>
      </c>
      <c r="L66" s="555"/>
      <c r="M66" s="555"/>
      <c r="N66" s="555"/>
      <c r="O66" s="555"/>
      <c r="P66" s="555"/>
      <c r="Q66" s="555"/>
      <c r="R66" s="556"/>
      <c r="S66" s="218">
        <f t="shared" si="6"/>
        <v>0</v>
      </c>
      <c r="T66" s="577"/>
      <c r="U66" s="358"/>
      <c r="V66" s="358"/>
      <c r="W66" s="358"/>
      <c r="X66" s="358"/>
      <c r="Y66" s="358"/>
      <c r="Z66" s="358"/>
      <c r="AA66" s="359"/>
      <c r="AB66" s="159">
        <f t="shared" si="11"/>
        <v>0</v>
      </c>
      <c r="AC66" s="560">
        <v>1</v>
      </c>
      <c r="AD66" s="558"/>
      <c r="AE66" s="558"/>
      <c r="AF66" s="558"/>
      <c r="AG66" s="558"/>
      <c r="AH66" s="558"/>
      <c r="AI66" s="558"/>
      <c r="AJ66" s="559"/>
      <c r="AK66" s="219">
        <f t="shared" si="12"/>
        <v>1</v>
      </c>
      <c r="AL66" s="560">
        <v>0</v>
      </c>
      <c r="AM66" s="558"/>
      <c r="AN66" s="558"/>
      <c r="AO66" s="558"/>
      <c r="AP66" s="558"/>
      <c r="AQ66" s="558"/>
      <c r="AR66" s="558"/>
      <c r="AS66" s="559"/>
      <c r="AT66" s="236">
        <f t="shared" si="7"/>
        <v>0</v>
      </c>
      <c r="AU66" s="243">
        <v>2</v>
      </c>
      <c r="AV66" s="243">
        <v>1</v>
      </c>
      <c r="AW66" s="243">
        <v>0</v>
      </c>
      <c r="AX66" s="243">
        <v>0</v>
      </c>
      <c r="AY66" s="243">
        <v>0</v>
      </c>
      <c r="AZ66" s="243">
        <v>0</v>
      </c>
      <c r="BA66" s="243">
        <v>0</v>
      </c>
      <c r="BB66" s="243">
        <v>0</v>
      </c>
      <c r="BC66" s="219">
        <f t="shared" si="8"/>
        <v>3</v>
      </c>
      <c r="BD66" s="572">
        <v>0</v>
      </c>
      <c r="BE66" s="573"/>
      <c r="BF66" s="573"/>
      <c r="BG66" s="573"/>
      <c r="BH66" s="573"/>
      <c r="BI66" s="573"/>
      <c r="BJ66" s="573"/>
      <c r="BK66" s="573"/>
      <c r="BL66" s="219">
        <f t="shared" si="9"/>
        <v>0</v>
      </c>
      <c r="BM66" s="572"/>
      <c r="BN66" s="573"/>
      <c r="BO66" s="573"/>
      <c r="BP66" s="573"/>
      <c r="BQ66" s="573"/>
      <c r="BR66" s="573"/>
      <c r="BS66" s="573"/>
      <c r="BT66" s="573"/>
      <c r="BU66" s="236">
        <f t="shared" si="0"/>
        <v>0</v>
      </c>
      <c r="BV66" s="572"/>
      <c r="BW66" s="573"/>
      <c r="BX66" s="573"/>
      <c r="BY66" s="573"/>
      <c r="BZ66" s="573"/>
      <c r="CA66" s="573"/>
      <c r="CB66" s="573"/>
      <c r="CC66" s="573"/>
      <c r="CD66" s="236">
        <f t="shared" si="1"/>
        <v>0</v>
      </c>
      <c r="CE66" s="572"/>
      <c r="CF66" s="573"/>
      <c r="CG66" s="573"/>
      <c r="CH66" s="573"/>
      <c r="CI66" s="573"/>
      <c r="CJ66" s="573"/>
      <c r="CK66" s="573"/>
      <c r="CL66" s="573"/>
      <c r="CM66" s="236">
        <f t="shared" si="2"/>
        <v>0</v>
      </c>
      <c r="CN66" s="572"/>
      <c r="CO66" s="573"/>
      <c r="CP66" s="573"/>
      <c r="CQ66" s="573"/>
      <c r="CR66" s="573"/>
      <c r="CS66" s="573"/>
      <c r="CT66" s="573"/>
      <c r="CU66" s="573"/>
      <c r="CV66" s="236">
        <f t="shared" si="3"/>
        <v>0</v>
      </c>
      <c r="CW66" s="572"/>
      <c r="CX66" s="573"/>
      <c r="CY66" s="573"/>
      <c r="CZ66" s="573"/>
      <c r="DA66" s="573"/>
      <c r="DB66" s="573"/>
      <c r="DC66" s="573"/>
      <c r="DD66" s="573"/>
      <c r="DE66" s="236">
        <f t="shared" si="4"/>
        <v>0</v>
      </c>
      <c r="DF66" s="572"/>
      <c r="DG66" s="573"/>
      <c r="DH66" s="573"/>
      <c r="DI66" s="573"/>
      <c r="DJ66" s="573"/>
      <c r="DK66" s="573"/>
      <c r="DL66" s="573"/>
      <c r="DM66" s="573"/>
      <c r="DN66" s="236">
        <f t="shared" si="5"/>
        <v>0</v>
      </c>
      <c r="DO66" s="66">
        <f t="shared" si="10"/>
        <v>4</v>
      </c>
      <c r="DP66" s="244"/>
    </row>
    <row r="67" spans="2:120" ht="214.5" hidden="1" customHeight="1">
      <c r="B67" s="546" t="s">
        <v>145</v>
      </c>
      <c r="C67" s="546" t="s">
        <v>11</v>
      </c>
      <c r="D67" s="548" t="s">
        <v>252</v>
      </c>
      <c r="E67" s="549"/>
      <c r="F67" s="546" t="s">
        <v>252</v>
      </c>
      <c r="G67" s="546">
        <v>23</v>
      </c>
      <c r="H67" s="546" t="s">
        <v>252</v>
      </c>
      <c r="I67" s="579">
        <v>1</v>
      </c>
      <c r="J67" s="158" t="s">
        <v>72</v>
      </c>
      <c r="K67" s="576">
        <v>1</v>
      </c>
      <c r="L67" s="555"/>
      <c r="M67" s="555"/>
      <c r="N67" s="555"/>
      <c r="O67" s="555"/>
      <c r="P67" s="555"/>
      <c r="Q67" s="555"/>
      <c r="R67" s="556"/>
      <c r="S67" s="218">
        <f t="shared" si="6"/>
        <v>1</v>
      </c>
      <c r="T67" s="577">
        <v>0</v>
      </c>
      <c r="U67" s="358"/>
      <c r="V67" s="358"/>
      <c r="W67" s="358"/>
      <c r="X67" s="358"/>
      <c r="Y67" s="358"/>
      <c r="Z67" s="358"/>
      <c r="AA67" s="359"/>
      <c r="AB67" s="159">
        <f t="shared" si="11"/>
        <v>0</v>
      </c>
      <c r="AC67" s="560">
        <v>0</v>
      </c>
      <c r="AD67" s="558"/>
      <c r="AE67" s="558"/>
      <c r="AF67" s="558"/>
      <c r="AG67" s="558"/>
      <c r="AH67" s="558"/>
      <c r="AI67" s="558"/>
      <c r="AJ67" s="559"/>
      <c r="AK67" s="219">
        <f t="shared" si="12"/>
        <v>0</v>
      </c>
      <c r="AL67" s="560">
        <v>0</v>
      </c>
      <c r="AM67" s="558"/>
      <c r="AN67" s="558"/>
      <c r="AO67" s="558"/>
      <c r="AP67" s="558"/>
      <c r="AQ67" s="558"/>
      <c r="AR67" s="558"/>
      <c r="AS67" s="559"/>
      <c r="AT67" s="236">
        <f t="shared" si="7"/>
        <v>0</v>
      </c>
      <c r="AU67" s="572">
        <v>0</v>
      </c>
      <c r="AV67" s="573"/>
      <c r="AW67" s="573"/>
      <c r="AX67" s="573"/>
      <c r="AY67" s="573"/>
      <c r="AZ67" s="573"/>
      <c r="BA67" s="573"/>
      <c r="BB67" s="573"/>
      <c r="BC67" s="219">
        <f t="shared" si="8"/>
        <v>0</v>
      </c>
      <c r="BD67" s="572">
        <v>0</v>
      </c>
      <c r="BE67" s="573"/>
      <c r="BF67" s="573"/>
      <c r="BG67" s="573"/>
      <c r="BH67" s="573"/>
      <c r="BI67" s="573"/>
      <c r="BJ67" s="573"/>
      <c r="BK67" s="573"/>
      <c r="BL67" s="219">
        <f t="shared" si="9"/>
        <v>0</v>
      </c>
      <c r="BM67" s="572">
        <v>0</v>
      </c>
      <c r="BN67" s="573"/>
      <c r="BO67" s="573"/>
      <c r="BP67" s="573"/>
      <c r="BQ67" s="573"/>
      <c r="BR67" s="573"/>
      <c r="BS67" s="573"/>
      <c r="BT67" s="573"/>
      <c r="BU67" s="236">
        <f t="shared" si="0"/>
        <v>0</v>
      </c>
      <c r="BV67" s="572">
        <v>0</v>
      </c>
      <c r="BW67" s="573"/>
      <c r="BX67" s="573"/>
      <c r="BY67" s="573"/>
      <c r="BZ67" s="573"/>
      <c r="CA67" s="573"/>
      <c r="CB67" s="573"/>
      <c r="CC67" s="573"/>
      <c r="CD67" s="236">
        <f t="shared" si="1"/>
        <v>0</v>
      </c>
      <c r="CE67" s="572">
        <v>0</v>
      </c>
      <c r="CF67" s="573"/>
      <c r="CG67" s="573"/>
      <c r="CH67" s="573"/>
      <c r="CI67" s="573"/>
      <c r="CJ67" s="573"/>
      <c r="CK67" s="573"/>
      <c r="CL67" s="573"/>
      <c r="CM67" s="236">
        <f t="shared" si="2"/>
        <v>0</v>
      </c>
      <c r="CN67" s="572">
        <v>0</v>
      </c>
      <c r="CO67" s="573"/>
      <c r="CP67" s="573"/>
      <c r="CQ67" s="573"/>
      <c r="CR67" s="573"/>
      <c r="CS67" s="573"/>
      <c r="CT67" s="573"/>
      <c r="CU67" s="573"/>
      <c r="CV67" s="236">
        <f t="shared" si="3"/>
        <v>0</v>
      </c>
      <c r="CW67" s="572">
        <v>0</v>
      </c>
      <c r="CX67" s="573"/>
      <c r="CY67" s="573"/>
      <c r="CZ67" s="573"/>
      <c r="DA67" s="573"/>
      <c r="DB67" s="573"/>
      <c r="DC67" s="573"/>
      <c r="DD67" s="573"/>
      <c r="DE67" s="236">
        <f t="shared" si="4"/>
        <v>0</v>
      </c>
      <c r="DF67" s="572">
        <v>0</v>
      </c>
      <c r="DG67" s="573"/>
      <c r="DH67" s="573"/>
      <c r="DI67" s="573"/>
      <c r="DJ67" s="573"/>
      <c r="DK67" s="573"/>
      <c r="DL67" s="573"/>
      <c r="DM67" s="573"/>
      <c r="DN67" s="236">
        <f t="shared" si="5"/>
        <v>0</v>
      </c>
      <c r="DO67" s="66">
        <f t="shared" si="10"/>
        <v>1</v>
      </c>
      <c r="DP67" s="244"/>
    </row>
    <row r="68" spans="2:120" ht="214.5" customHeight="1">
      <c r="B68" s="547"/>
      <c r="C68" s="547"/>
      <c r="D68" s="550"/>
      <c r="E68" s="551"/>
      <c r="F68" s="547"/>
      <c r="G68" s="547"/>
      <c r="H68" s="547"/>
      <c r="I68" s="547"/>
      <c r="J68" s="162" t="s">
        <v>73</v>
      </c>
      <c r="K68" s="576">
        <v>157</v>
      </c>
      <c r="L68" s="555"/>
      <c r="M68" s="555"/>
      <c r="N68" s="555"/>
      <c r="O68" s="555"/>
      <c r="P68" s="555"/>
      <c r="Q68" s="555"/>
      <c r="R68" s="555"/>
      <c r="S68" s="218">
        <f t="shared" si="6"/>
        <v>157</v>
      </c>
      <c r="T68" s="581">
        <v>176</v>
      </c>
      <c r="U68" s="358"/>
      <c r="V68" s="358"/>
      <c r="W68" s="358"/>
      <c r="X68" s="358"/>
      <c r="Y68" s="358"/>
      <c r="Z68" s="358"/>
      <c r="AA68" s="358"/>
      <c r="AB68" s="67">
        <f t="shared" si="11"/>
        <v>176</v>
      </c>
      <c r="AC68" s="574">
        <v>169</v>
      </c>
      <c r="AD68" s="558"/>
      <c r="AE68" s="558"/>
      <c r="AF68" s="558"/>
      <c r="AG68" s="558"/>
      <c r="AH68" s="558"/>
      <c r="AI68" s="558"/>
      <c r="AJ68" s="558"/>
      <c r="AK68" s="236">
        <f t="shared" si="12"/>
        <v>169</v>
      </c>
      <c r="AL68" s="574">
        <v>150</v>
      </c>
      <c r="AM68" s="558"/>
      <c r="AN68" s="558"/>
      <c r="AO68" s="558"/>
      <c r="AP68" s="558"/>
      <c r="AQ68" s="558"/>
      <c r="AR68" s="558"/>
      <c r="AS68" s="558"/>
      <c r="AT68" s="236">
        <f t="shared" si="7"/>
        <v>150</v>
      </c>
      <c r="AU68" s="243">
        <v>69</v>
      </c>
      <c r="AV68" s="243">
        <v>57</v>
      </c>
      <c r="AW68" s="243">
        <v>39</v>
      </c>
      <c r="AX68" s="243">
        <v>25</v>
      </c>
      <c r="AY68" s="243">
        <v>6</v>
      </c>
      <c r="AZ68" s="243">
        <v>2</v>
      </c>
      <c r="BA68" s="243">
        <v>2</v>
      </c>
      <c r="BB68" s="243">
        <v>1</v>
      </c>
      <c r="BC68" s="219">
        <f t="shared" si="8"/>
        <v>201</v>
      </c>
      <c r="BD68" s="572">
        <v>241</v>
      </c>
      <c r="BE68" s="573"/>
      <c r="BF68" s="573"/>
      <c r="BG68" s="573"/>
      <c r="BH68" s="573"/>
      <c r="BI68" s="573"/>
      <c r="BJ68" s="573"/>
      <c r="BK68" s="573"/>
      <c r="BL68" s="219">
        <f t="shared" si="9"/>
        <v>241</v>
      </c>
      <c r="BM68" s="572"/>
      <c r="BN68" s="573"/>
      <c r="BO68" s="573"/>
      <c r="BP68" s="573"/>
      <c r="BQ68" s="573"/>
      <c r="BR68" s="573"/>
      <c r="BS68" s="573"/>
      <c r="BT68" s="573"/>
      <c r="BU68" s="236">
        <f t="shared" si="0"/>
        <v>0</v>
      </c>
      <c r="BV68" s="572"/>
      <c r="BW68" s="573"/>
      <c r="BX68" s="573"/>
      <c r="BY68" s="573"/>
      <c r="BZ68" s="573"/>
      <c r="CA68" s="573"/>
      <c r="CB68" s="573"/>
      <c r="CC68" s="573"/>
      <c r="CD68" s="236">
        <f t="shared" si="1"/>
        <v>0</v>
      </c>
      <c r="CE68" s="572"/>
      <c r="CF68" s="573"/>
      <c r="CG68" s="573"/>
      <c r="CH68" s="573"/>
      <c r="CI68" s="573"/>
      <c r="CJ68" s="573"/>
      <c r="CK68" s="573"/>
      <c r="CL68" s="573"/>
      <c r="CM68" s="236">
        <f t="shared" si="2"/>
        <v>0</v>
      </c>
      <c r="CN68" s="572"/>
      <c r="CO68" s="573"/>
      <c r="CP68" s="573"/>
      <c r="CQ68" s="573"/>
      <c r="CR68" s="573"/>
      <c r="CS68" s="573"/>
      <c r="CT68" s="573"/>
      <c r="CU68" s="573"/>
      <c r="CV68" s="236">
        <f t="shared" si="3"/>
        <v>0</v>
      </c>
      <c r="CW68" s="572"/>
      <c r="CX68" s="573"/>
      <c r="CY68" s="573"/>
      <c r="CZ68" s="573"/>
      <c r="DA68" s="573"/>
      <c r="DB68" s="573"/>
      <c r="DC68" s="573"/>
      <c r="DD68" s="573"/>
      <c r="DE68" s="236">
        <f t="shared" si="4"/>
        <v>0</v>
      </c>
      <c r="DF68" s="572"/>
      <c r="DG68" s="573"/>
      <c r="DH68" s="573"/>
      <c r="DI68" s="573"/>
      <c r="DJ68" s="573"/>
      <c r="DK68" s="573"/>
      <c r="DL68" s="573"/>
      <c r="DM68" s="573"/>
      <c r="DN68" s="236">
        <f t="shared" si="5"/>
        <v>0</v>
      </c>
      <c r="DO68" s="66">
        <f t="shared" si="10"/>
        <v>1094</v>
      </c>
      <c r="DP68" s="244"/>
    </row>
    <row r="69" spans="2:120" ht="214.5" customHeight="1">
      <c r="B69" s="582"/>
      <c r="C69" s="341"/>
      <c r="D69" s="583"/>
      <c r="E69" s="341"/>
      <c r="F69" s="245"/>
      <c r="G69" s="203"/>
      <c r="H69" s="203"/>
      <c r="I69" s="203"/>
      <c r="J69" s="246"/>
      <c r="K69" s="204"/>
      <c r="L69" s="204"/>
      <c r="M69" s="205"/>
      <c r="N69" s="205"/>
      <c r="O69" s="205"/>
      <c r="P69" s="205"/>
      <c r="Q69" s="205"/>
      <c r="R69" s="205"/>
      <c r="S69" s="205"/>
      <c r="BB69" s="247"/>
      <c r="BC69" s="248"/>
      <c r="BD69" s="247"/>
      <c r="BE69" s="247"/>
      <c r="BF69" s="247"/>
      <c r="BG69" s="247"/>
      <c r="BH69" s="247"/>
      <c r="BI69" s="247"/>
      <c r="BJ69" s="247"/>
      <c r="BK69" s="247"/>
      <c r="BL69" s="247"/>
      <c r="BM69" s="247"/>
      <c r="BN69" s="247"/>
      <c r="BO69" s="247"/>
      <c r="BP69" s="247"/>
      <c r="BQ69" s="247"/>
      <c r="BR69" s="247"/>
      <c r="BS69" s="247"/>
      <c r="BT69" s="247"/>
      <c r="BU69" s="247"/>
      <c r="BV69" s="247"/>
      <c r="BW69" s="247"/>
      <c r="BX69" s="247"/>
      <c r="BY69" s="247"/>
      <c r="BZ69" s="247"/>
      <c r="CA69" s="247"/>
      <c r="CB69" s="247"/>
      <c r="CC69" s="247"/>
      <c r="CD69" s="247"/>
      <c r="CE69" s="247"/>
      <c r="CF69" s="247"/>
      <c r="CG69" s="247"/>
      <c r="CH69" s="247"/>
      <c r="CI69" s="247"/>
      <c r="CJ69" s="247"/>
      <c r="CK69" s="247"/>
      <c r="CL69" s="247"/>
      <c r="CM69" s="247"/>
      <c r="CN69" s="247"/>
      <c r="CO69" s="247"/>
      <c r="CP69" s="247"/>
      <c r="CQ69" s="247"/>
      <c r="CR69" s="247"/>
      <c r="CS69" s="247"/>
      <c r="CT69" s="247"/>
      <c r="CU69" s="247"/>
      <c r="CV69" s="247"/>
      <c r="CW69" s="247"/>
      <c r="CX69" s="247"/>
      <c r="CY69" s="247"/>
      <c r="CZ69" s="247"/>
      <c r="DA69" s="247"/>
      <c r="DB69" s="247"/>
      <c r="DC69" s="247"/>
      <c r="DD69" s="247"/>
      <c r="DE69" s="247"/>
      <c r="DF69" s="247"/>
      <c r="DG69" s="247"/>
      <c r="DH69" s="247"/>
      <c r="DI69" s="247"/>
      <c r="DJ69" s="247"/>
      <c r="DK69" s="247"/>
      <c r="DL69" s="247"/>
      <c r="DM69" s="247"/>
      <c r="DN69" s="247"/>
      <c r="DO69" s="249"/>
    </row>
    <row r="70" spans="2:120" ht="15.75" customHeight="1">
      <c r="B70" s="250"/>
      <c r="C70" s="251"/>
      <c r="D70" s="203"/>
      <c r="E70" s="203"/>
      <c r="F70" s="203"/>
      <c r="G70" s="203"/>
      <c r="H70" s="203"/>
      <c r="I70" s="203"/>
      <c r="J70" s="203"/>
      <c r="K70" s="204"/>
      <c r="L70" s="204"/>
      <c r="M70" s="205"/>
      <c r="N70" s="205"/>
      <c r="O70" s="205"/>
      <c r="P70" s="205"/>
      <c r="Q70" s="205"/>
      <c r="R70" s="205"/>
      <c r="S70" s="205"/>
      <c r="DO70" s="208"/>
    </row>
    <row r="71" spans="2:120" ht="15.75" customHeight="1">
      <c r="B71" s="203"/>
      <c r="C71" s="203"/>
      <c r="D71" s="203"/>
      <c r="E71" s="203"/>
      <c r="F71" s="203"/>
      <c r="G71" s="203"/>
      <c r="H71" s="203"/>
      <c r="I71" s="203"/>
      <c r="J71" s="203"/>
      <c r="K71" s="204"/>
      <c r="L71" s="204"/>
      <c r="M71" s="205"/>
      <c r="N71" s="205"/>
      <c r="O71" s="205"/>
      <c r="P71" s="205"/>
      <c r="Q71" s="205"/>
      <c r="R71" s="205"/>
      <c r="S71" s="205"/>
      <c r="DO71" s="208"/>
    </row>
    <row r="72" spans="2:120" ht="15.75" customHeight="1">
      <c r="B72" s="203"/>
      <c r="C72" s="203"/>
      <c r="D72" s="203"/>
      <c r="E72" s="203"/>
      <c r="F72" s="203"/>
      <c r="G72" s="203"/>
      <c r="H72" s="203"/>
      <c r="I72" s="203"/>
      <c r="J72" s="246"/>
      <c r="K72" s="204"/>
      <c r="L72" s="204"/>
      <c r="M72" s="205"/>
      <c r="N72" s="205"/>
      <c r="O72" s="205"/>
      <c r="P72" s="205"/>
      <c r="Q72" s="205"/>
      <c r="R72" s="205"/>
      <c r="S72" s="205"/>
      <c r="DO72" s="208"/>
    </row>
    <row r="73" spans="2:120" ht="15.75" customHeight="1">
      <c r="B73" s="203"/>
      <c r="C73" s="203"/>
      <c r="D73" s="203"/>
      <c r="E73" s="203"/>
      <c r="F73" s="203"/>
      <c r="G73" s="203"/>
      <c r="H73" s="203"/>
      <c r="I73" s="203"/>
      <c r="J73" s="203"/>
      <c r="K73" s="204"/>
      <c r="L73" s="204"/>
      <c r="M73" s="205"/>
      <c r="N73" s="205"/>
      <c r="O73" s="205"/>
      <c r="P73" s="205"/>
      <c r="Q73" s="205"/>
      <c r="R73" s="205"/>
      <c r="S73" s="205"/>
      <c r="DO73" s="208"/>
    </row>
    <row r="74" spans="2:120" ht="15.75" customHeight="1">
      <c r="B74" s="203"/>
      <c r="C74" s="203"/>
      <c r="D74" s="203"/>
      <c r="E74" s="203"/>
      <c r="F74" s="203"/>
      <c r="G74" s="203"/>
      <c r="H74" s="203"/>
      <c r="I74" s="203"/>
      <c r="J74" s="203"/>
      <c r="K74" s="204"/>
      <c r="L74" s="204"/>
      <c r="M74" s="205"/>
      <c r="N74" s="205"/>
      <c r="O74" s="205"/>
      <c r="P74" s="205"/>
      <c r="Q74" s="205"/>
      <c r="R74" s="205"/>
      <c r="S74" s="205"/>
      <c r="DO74" s="208"/>
    </row>
    <row r="75" spans="2:120" ht="15.75" customHeight="1">
      <c r="B75" s="203"/>
      <c r="C75" s="203"/>
      <c r="D75" s="203"/>
      <c r="E75" s="203"/>
      <c r="F75" s="203"/>
      <c r="G75" s="203"/>
      <c r="H75" s="203"/>
      <c r="I75" s="203"/>
      <c r="J75" s="203"/>
      <c r="K75" s="204"/>
      <c r="L75" s="204"/>
      <c r="M75" s="205"/>
      <c r="N75" s="205"/>
      <c r="O75" s="205"/>
      <c r="P75" s="205"/>
      <c r="Q75" s="205"/>
      <c r="R75" s="205"/>
      <c r="S75" s="205"/>
      <c r="DO75" s="208"/>
    </row>
    <row r="76" spans="2:120" ht="15.75" customHeight="1">
      <c r="B76" s="203"/>
      <c r="C76" s="203"/>
      <c r="D76" s="203"/>
      <c r="E76" s="203"/>
      <c r="F76" s="203"/>
      <c r="G76" s="203"/>
      <c r="H76" s="203"/>
      <c r="I76" s="203"/>
      <c r="J76" s="203"/>
      <c r="K76" s="204"/>
      <c r="L76" s="204"/>
      <c r="M76" s="205"/>
      <c r="N76" s="205"/>
      <c r="O76" s="205"/>
      <c r="P76" s="205"/>
      <c r="Q76" s="205"/>
      <c r="R76" s="205"/>
      <c r="S76" s="205"/>
      <c r="DO76" s="208"/>
    </row>
    <row r="77" spans="2:120" ht="15.75" customHeight="1">
      <c r="B77" s="203"/>
      <c r="C77" s="203"/>
      <c r="D77" s="203"/>
      <c r="E77" s="203"/>
      <c r="F77" s="203"/>
      <c r="G77" s="203"/>
      <c r="H77" s="203"/>
      <c r="I77" s="203"/>
      <c r="J77" s="203"/>
      <c r="K77" s="204"/>
      <c r="L77" s="204"/>
      <c r="M77" s="205"/>
      <c r="N77" s="205"/>
      <c r="O77" s="205"/>
      <c r="P77" s="205"/>
      <c r="Q77" s="205"/>
      <c r="R77" s="205"/>
      <c r="S77" s="205"/>
      <c r="DO77" s="208"/>
    </row>
    <row r="78" spans="2:120" ht="15.75" customHeight="1">
      <c r="B78" s="203"/>
      <c r="C78" s="203"/>
      <c r="D78" s="203"/>
      <c r="E78" s="203"/>
      <c r="F78" s="203"/>
      <c r="G78" s="203"/>
      <c r="H78" s="203"/>
      <c r="I78" s="203"/>
      <c r="J78" s="203"/>
      <c r="K78" s="204"/>
      <c r="L78" s="204"/>
      <c r="M78" s="205"/>
      <c r="N78" s="205"/>
      <c r="O78" s="205"/>
      <c r="P78" s="205"/>
      <c r="Q78" s="205"/>
      <c r="R78" s="205"/>
      <c r="S78" s="205"/>
      <c r="DO78" s="208"/>
    </row>
    <row r="79" spans="2:120" ht="15.75" customHeight="1">
      <c r="B79" s="203"/>
      <c r="C79" s="203"/>
      <c r="D79" s="203"/>
      <c r="E79" s="203"/>
      <c r="F79" s="203"/>
      <c r="G79" s="203"/>
      <c r="H79" s="203"/>
      <c r="I79" s="203"/>
      <c r="J79" s="203"/>
      <c r="K79" s="204"/>
      <c r="L79" s="204"/>
      <c r="M79" s="205"/>
      <c r="N79" s="205"/>
      <c r="O79" s="205"/>
      <c r="P79" s="205"/>
      <c r="Q79" s="205"/>
      <c r="R79" s="205"/>
      <c r="S79" s="205"/>
      <c r="DO79" s="208"/>
    </row>
    <row r="80" spans="2:120" ht="15.75" customHeight="1">
      <c r="B80" s="203"/>
      <c r="C80" s="203"/>
      <c r="D80" s="203"/>
      <c r="E80" s="203"/>
      <c r="F80" s="203"/>
      <c r="G80" s="203"/>
      <c r="H80" s="203"/>
      <c r="I80" s="203"/>
      <c r="J80" s="203"/>
      <c r="K80" s="204"/>
      <c r="L80" s="204"/>
      <c r="M80" s="205"/>
      <c r="N80" s="205"/>
      <c r="O80" s="205"/>
      <c r="P80" s="205"/>
      <c r="Q80" s="205"/>
      <c r="R80" s="205"/>
      <c r="S80" s="205"/>
      <c r="DO80" s="208"/>
    </row>
    <row r="81" spans="2:119" ht="15.75" customHeight="1">
      <c r="B81" s="203"/>
      <c r="C81" s="203"/>
      <c r="D81" s="203"/>
      <c r="E81" s="203"/>
      <c r="F81" s="203"/>
      <c r="G81" s="203"/>
      <c r="H81" s="203"/>
      <c r="I81" s="203"/>
      <c r="J81" s="203"/>
      <c r="K81" s="204"/>
      <c r="L81" s="204"/>
      <c r="M81" s="205"/>
      <c r="N81" s="205"/>
      <c r="O81" s="205"/>
      <c r="P81" s="205"/>
      <c r="Q81" s="205"/>
      <c r="R81" s="205"/>
      <c r="S81" s="205"/>
      <c r="DO81" s="208"/>
    </row>
    <row r="82" spans="2:119" ht="15.75" customHeight="1">
      <c r="B82" s="203"/>
      <c r="C82" s="203"/>
      <c r="D82" s="203"/>
      <c r="E82" s="203"/>
      <c r="F82" s="203"/>
      <c r="G82" s="203"/>
      <c r="H82" s="203"/>
      <c r="I82" s="203"/>
      <c r="J82" s="203"/>
      <c r="K82" s="204"/>
      <c r="L82" s="204"/>
      <c r="M82" s="205"/>
      <c r="N82" s="205"/>
      <c r="O82" s="205"/>
      <c r="P82" s="205"/>
      <c r="Q82" s="205"/>
      <c r="R82" s="205"/>
      <c r="S82" s="205"/>
      <c r="DO82" s="208"/>
    </row>
    <row r="83" spans="2:119" ht="15.75" customHeight="1">
      <c r="B83" s="203"/>
      <c r="C83" s="203"/>
      <c r="D83" s="203"/>
      <c r="E83" s="203"/>
      <c r="F83" s="203"/>
      <c r="G83" s="203"/>
      <c r="H83" s="203"/>
      <c r="I83" s="203"/>
      <c r="J83" s="203"/>
      <c r="K83" s="204"/>
      <c r="L83" s="204"/>
      <c r="M83" s="205"/>
      <c r="N83" s="205"/>
      <c r="O83" s="205"/>
      <c r="P83" s="205"/>
      <c r="Q83" s="205"/>
      <c r="R83" s="205"/>
      <c r="S83" s="205"/>
      <c r="DO83" s="208"/>
    </row>
    <row r="84" spans="2:119" ht="15.75" customHeight="1">
      <c r="B84" s="203"/>
      <c r="C84" s="203"/>
      <c r="D84" s="203"/>
      <c r="E84" s="203"/>
      <c r="F84" s="203"/>
      <c r="G84" s="203"/>
      <c r="H84" s="203"/>
      <c r="I84" s="203"/>
      <c r="J84" s="203"/>
      <c r="K84" s="204"/>
      <c r="L84" s="204"/>
      <c r="M84" s="205"/>
      <c r="N84" s="205"/>
      <c r="O84" s="205"/>
      <c r="P84" s="205"/>
      <c r="Q84" s="205"/>
      <c r="R84" s="205"/>
      <c r="S84" s="205"/>
      <c r="DO84" s="208"/>
    </row>
    <row r="85" spans="2:119" ht="15.75" customHeight="1">
      <c r="B85" s="203"/>
      <c r="C85" s="203"/>
      <c r="D85" s="203"/>
      <c r="E85" s="203"/>
      <c r="F85" s="203"/>
      <c r="G85" s="203"/>
      <c r="H85" s="203"/>
      <c r="I85" s="203"/>
      <c r="J85" s="203"/>
      <c r="K85" s="204"/>
      <c r="L85" s="204"/>
      <c r="M85" s="205"/>
      <c r="N85" s="205"/>
      <c r="O85" s="205"/>
      <c r="P85" s="205"/>
      <c r="Q85" s="205"/>
      <c r="R85" s="205"/>
      <c r="S85" s="205"/>
      <c r="DO85" s="208"/>
    </row>
    <row r="86" spans="2:119" ht="15.75" customHeight="1">
      <c r="B86" s="203"/>
      <c r="C86" s="203"/>
      <c r="D86" s="203"/>
      <c r="E86" s="203"/>
      <c r="F86" s="203"/>
      <c r="G86" s="203"/>
      <c r="H86" s="203"/>
      <c r="I86" s="203"/>
      <c r="J86" s="203"/>
      <c r="K86" s="204"/>
      <c r="L86" s="204"/>
      <c r="M86" s="205"/>
      <c r="N86" s="205"/>
      <c r="O86" s="205"/>
      <c r="P86" s="205"/>
      <c r="Q86" s="205"/>
      <c r="R86" s="205"/>
      <c r="S86" s="205"/>
      <c r="DO86" s="208"/>
    </row>
    <row r="87" spans="2:119" ht="15.75" customHeight="1">
      <c r="B87" s="203"/>
      <c r="C87" s="203"/>
      <c r="D87" s="203"/>
      <c r="E87" s="203"/>
      <c r="F87" s="203"/>
      <c r="G87" s="203"/>
      <c r="H87" s="203"/>
      <c r="I87" s="203"/>
      <c r="J87" s="203"/>
      <c r="K87" s="204"/>
      <c r="L87" s="204"/>
      <c r="M87" s="205"/>
      <c r="N87" s="205"/>
      <c r="O87" s="205"/>
      <c r="P87" s="205"/>
      <c r="Q87" s="205"/>
      <c r="R87" s="205"/>
      <c r="S87" s="205"/>
      <c r="DO87" s="208"/>
    </row>
    <row r="88" spans="2:119" ht="15.75" customHeight="1">
      <c r="B88" s="203"/>
      <c r="C88" s="203"/>
      <c r="D88" s="203"/>
      <c r="E88" s="203"/>
      <c r="F88" s="203"/>
      <c r="G88" s="203"/>
      <c r="H88" s="203"/>
      <c r="I88" s="203"/>
      <c r="J88" s="203"/>
      <c r="K88" s="204"/>
      <c r="L88" s="204"/>
      <c r="M88" s="205"/>
      <c r="N88" s="205"/>
      <c r="O88" s="205"/>
      <c r="P88" s="205"/>
      <c r="Q88" s="205"/>
      <c r="R88" s="205"/>
      <c r="S88" s="205"/>
      <c r="DO88" s="208"/>
    </row>
    <row r="89" spans="2:119" ht="15.75" customHeight="1">
      <c r="B89" s="203"/>
      <c r="C89" s="203"/>
      <c r="D89" s="203"/>
      <c r="E89" s="203"/>
      <c r="F89" s="203"/>
      <c r="G89" s="203"/>
      <c r="H89" s="203"/>
      <c r="I89" s="203"/>
      <c r="J89" s="203"/>
      <c r="K89" s="204"/>
      <c r="L89" s="204"/>
      <c r="M89" s="205"/>
      <c r="N89" s="205"/>
      <c r="O89" s="205"/>
      <c r="P89" s="205"/>
      <c r="Q89" s="205"/>
      <c r="R89" s="205"/>
      <c r="S89" s="205"/>
      <c r="DO89" s="208"/>
    </row>
    <row r="90" spans="2:119" ht="15.75" customHeight="1">
      <c r="B90" s="203"/>
      <c r="C90" s="203"/>
      <c r="D90" s="203"/>
      <c r="E90" s="203"/>
      <c r="F90" s="203"/>
      <c r="G90" s="203"/>
      <c r="H90" s="203"/>
      <c r="I90" s="203"/>
      <c r="J90" s="203"/>
      <c r="K90" s="204"/>
      <c r="L90" s="204"/>
      <c r="M90" s="205"/>
      <c r="N90" s="205"/>
      <c r="O90" s="205"/>
      <c r="P90" s="205"/>
      <c r="Q90" s="205"/>
      <c r="R90" s="205"/>
      <c r="S90" s="205"/>
      <c r="DO90" s="208"/>
    </row>
    <row r="91" spans="2:119" ht="78.75" customHeight="1">
      <c r="B91" s="203"/>
      <c r="C91" s="203"/>
      <c r="D91" s="203"/>
      <c r="E91" s="203"/>
      <c r="F91" s="203"/>
      <c r="G91" s="203"/>
      <c r="H91" s="203"/>
      <c r="I91" s="203"/>
      <c r="J91" s="203"/>
      <c r="K91" s="204"/>
      <c r="L91" s="204"/>
      <c r="M91" s="205"/>
      <c r="N91" s="205"/>
      <c r="O91" s="205"/>
      <c r="P91" s="205"/>
      <c r="Q91" s="205"/>
      <c r="R91" s="205"/>
      <c r="S91" s="205"/>
      <c r="DO91" s="208"/>
    </row>
    <row r="92" spans="2:119" ht="33.75" customHeight="1">
      <c r="B92" s="203"/>
      <c r="C92" s="203"/>
      <c r="D92" s="203"/>
      <c r="E92" s="203"/>
      <c r="F92" s="203"/>
      <c r="G92" s="203"/>
      <c r="H92" s="203"/>
      <c r="I92" s="203"/>
      <c r="J92" s="203"/>
      <c r="K92" s="204"/>
      <c r="L92" s="204"/>
      <c r="M92" s="205"/>
      <c r="N92" s="205"/>
      <c r="O92" s="205"/>
      <c r="P92" s="205"/>
      <c r="Q92" s="205"/>
      <c r="R92" s="205"/>
      <c r="S92" s="205"/>
      <c r="DO92" s="208"/>
    </row>
    <row r="93" spans="2:119" ht="15.75" customHeight="1">
      <c r="B93" s="203"/>
      <c r="C93" s="203"/>
      <c r="D93" s="203"/>
      <c r="E93" s="203"/>
      <c r="F93" s="203"/>
      <c r="G93" s="203"/>
      <c r="H93" s="203"/>
      <c r="I93" s="203"/>
      <c r="J93" s="203"/>
      <c r="K93" s="204"/>
      <c r="L93" s="204"/>
      <c r="M93" s="205"/>
      <c r="N93" s="205"/>
      <c r="O93" s="205"/>
      <c r="P93" s="205"/>
      <c r="Q93" s="205"/>
      <c r="R93" s="205"/>
      <c r="S93" s="205"/>
      <c r="DO93" s="208"/>
    </row>
    <row r="94" spans="2:119" ht="267" customHeight="1">
      <c r="B94" s="203"/>
      <c r="C94" s="203"/>
      <c r="D94" s="203"/>
      <c r="E94" s="203"/>
      <c r="F94" s="203"/>
      <c r="G94" s="203"/>
      <c r="H94" s="203"/>
      <c r="I94" s="203"/>
      <c r="J94" s="203"/>
      <c r="K94" s="204"/>
      <c r="L94" s="204"/>
      <c r="M94" s="205"/>
      <c r="N94" s="205"/>
      <c r="O94" s="205"/>
      <c r="P94" s="205"/>
      <c r="Q94" s="205"/>
      <c r="R94" s="205"/>
      <c r="S94" s="205"/>
      <c r="DO94" s="208"/>
    </row>
    <row r="95" spans="2:119" ht="218.25" customHeight="1">
      <c r="B95" s="580" t="s">
        <v>92</v>
      </c>
      <c r="C95" s="338"/>
      <c r="D95" s="203"/>
      <c r="E95" s="203"/>
      <c r="F95" s="203"/>
      <c r="G95" s="580" t="s">
        <v>93</v>
      </c>
      <c r="H95" s="338"/>
      <c r="I95" s="338"/>
      <c r="J95" s="338"/>
      <c r="K95" s="204"/>
      <c r="L95" s="204"/>
      <c r="M95" s="205"/>
      <c r="N95" s="205"/>
      <c r="O95" s="205"/>
      <c r="P95" s="205"/>
      <c r="Q95" s="205"/>
      <c r="R95" s="205"/>
      <c r="S95" s="205"/>
      <c r="DO95" s="208"/>
    </row>
    <row r="96" spans="2:119" ht="15.75" customHeight="1">
      <c r="B96" s="203"/>
      <c r="C96" s="203"/>
      <c r="D96" s="203"/>
      <c r="E96" s="203"/>
      <c r="F96" s="203"/>
      <c r="G96" s="203"/>
      <c r="H96" s="203"/>
      <c r="I96" s="203"/>
      <c r="J96" s="203"/>
      <c r="K96" s="204"/>
      <c r="L96" s="204"/>
      <c r="M96" s="205"/>
      <c r="N96" s="205"/>
      <c r="O96" s="205"/>
      <c r="P96" s="205"/>
      <c r="Q96" s="205"/>
      <c r="R96" s="205"/>
      <c r="S96" s="205"/>
      <c r="DO96" s="208"/>
    </row>
    <row r="97" spans="2:119" ht="139.5" customHeight="1">
      <c r="B97" s="203"/>
      <c r="C97" s="203"/>
      <c r="D97" s="203"/>
      <c r="E97" s="203"/>
      <c r="F97" s="203"/>
      <c r="G97" s="203"/>
      <c r="H97" s="203"/>
      <c r="I97" s="203"/>
      <c r="J97" s="203"/>
      <c r="K97" s="204"/>
      <c r="L97" s="204"/>
      <c r="M97" s="205"/>
      <c r="N97" s="205"/>
      <c r="O97" s="205"/>
      <c r="P97" s="205"/>
      <c r="Q97" s="205"/>
      <c r="R97" s="205"/>
      <c r="S97" s="205"/>
      <c r="DO97" s="208"/>
    </row>
    <row r="98" spans="2:119" ht="15.75" customHeight="1">
      <c r="B98" s="203"/>
      <c r="C98" s="203"/>
      <c r="D98" s="203"/>
      <c r="E98" s="203"/>
      <c r="F98" s="203"/>
      <c r="G98" s="203"/>
      <c r="H98" s="203"/>
      <c r="I98" s="203"/>
      <c r="J98" s="203"/>
      <c r="K98" s="204"/>
      <c r="L98" s="204"/>
      <c r="M98" s="205"/>
      <c r="N98" s="205"/>
      <c r="O98" s="205"/>
      <c r="P98" s="205"/>
      <c r="Q98" s="205"/>
      <c r="R98" s="205"/>
      <c r="S98" s="205"/>
      <c r="DO98" s="208"/>
    </row>
    <row r="99" spans="2:119" ht="15.75" customHeight="1">
      <c r="B99" s="203"/>
      <c r="C99" s="203"/>
      <c r="D99" s="203"/>
      <c r="E99" s="203"/>
      <c r="F99" s="203"/>
      <c r="G99" s="203"/>
      <c r="H99" s="203"/>
      <c r="I99" s="203"/>
      <c r="J99" s="203"/>
      <c r="K99" s="204"/>
      <c r="L99" s="204"/>
      <c r="M99" s="205"/>
      <c r="N99" s="205"/>
      <c r="O99" s="205"/>
      <c r="P99" s="205"/>
      <c r="Q99" s="205"/>
      <c r="R99" s="205"/>
      <c r="S99" s="205"/>
      <c r="DO99" s="208"/>
    </row>
    <row r="100" spans="2:119" ht="15.75" customHeight="1">
      <c r="B100" s="203"/>
      <c r="C100" s="203"/>
      <c r="D100" s="203"/>
      <c r="E100" s="203"/>
      <c r="F100" s="203"/>
      <c r="G100" s="203"/>
      <c r="H100" s="203"/>
      <c r="I100" s="203"/>
      <c r="J100" s="203"/>
      <c r="K100" s="204"/>
      <c r="L100" s="204"/>
      <c r="M100" s="205"/>
      <c r="N100" s="205"/>
      <c r="O100" s="205"/>
      <c r="P100" s="205"/>
      <c r="Q100" s="205"/>
      <c r="R100" s="205"/>
      <c r="S100" s="205"/>
      <c r="DO100" s="208"/>
    </row>
    <row r="101" spans="2:119" ht="15.75" customHeight="1">
      <c r="B101" s="203"/>
      <c r="C101" s="203"/>
      <c r="D101" s="203"/>
      <c r="E101" s="203"/>
      <c r="F101" s="203"/>
      <c r="G101" s="203"/>
      <c r="H101" s="203"/>
      <c r="I101" s="203"/>
      <c r="J101" s="203"/>
      <c r="K101" s="204"/>
      <c r="L101" s="204"/>
      <c r="M101" s="205"/>
      <c r="N101" s="205"/>
      <c r="O101" s="205"/>
      <c r="P101" s="205"/>
      <c r="Q101" s="205"/>
      <c r="R101" s="205"/>
      <c r="S101" s="205"/>
      <c r="DO101" s="208"/>
    </row>
    <row r="102" spans="2:119" ht="15.75" customHeight="1">
      <c r="B102" s="203"/>
      <c r="C102" s="203"/>
      <c r="D102" s="203"/>
      <c r="E102" s="203"/>
      <c r="F102" s="203"/>
      <c r="G102" s="203"/>
      <c r="H102" s="203"/>
      <c r="I102" s="203"/>
      <c r="J102" s="203"/>
      <c r="K102" s="204"/>
      <c r="L102" s="204"/>
      <c r="M102" s="205"/>
      <c r="N102" s="205"/>
      <c r="O102" s="205"/>
      <c r="P102" s="205"/>
      <c r="Q102" s="205"/>
      <c r="R102" s="205"/>
      <c r="S102" s="205"/>
      <c r="DO102" s="208"/>
    </row>
    <row r="103" spans="2:119" ht="15.75" customHeight="1">
      <c r="B103" s="203"/>
      <c r="C103" s="203"/>
      <c r="D103" s="203"/>
      <c r="E103" s="203"/>
      <c r="F103" s="203"/>
      <c r="G103" s="203"/>
      <c r="H103" s="203"/>
      <c r="I103" s="203"/>
      <c r="J103" s="203"/>
      <c r="K103" s="204"/>
      <c r="L103" s="204"/>
      <c r="M103" s="205"/>
      <c r="N103" s="205"/>
      <c r="O103" s="205"/>
      <c r="P103" s="205"/>
      <c r="Q103" s="205"/>
      <c r="R103" s="205"/>
      <c r="S103" s="205"/>
      <c r="DO103" s="208"/>
    </row>
    <row r="104" spans="2:119" ht="15.75" customHeight="1">
      <c r="B104" s="203"/>
      <c r="C104" s="203"/>
      <c r="D104" s="203"/>
      <c r="E104" s="203"/>
      <c r="F104" s="203"/>
      <c r="G104" s="203"/>
      <c r="H104" s="203"/>
      <c r="I104" s="203"/>
      <c r="J104" s="203"/>
      <c r="K104" s="204"/>
      <c r="L104" s="204"/>
      <c r="M104" s="205"/>
      <c r="N104" s="205"/>
      <c r="O104" s="205"/>
      <c r="P104" s="205"/>
      <c r="Q104" s="205"/>
      <c r="R104" s="205"/>
      <c r="S104" s="205"/>
      <c r="DO104" s="208"/>
    </row>
    <row r="105" spans="2:119" ht="15.75" customHeight="1">
      <c r="B105" s="203"/>
      <c r="C105" s="203"/>
      <c r="D105" s="203"/>
      <c r="E105" s="203"/>
      <c r="F105" s="203"/>
      <c r="G105" s="203"/>
      <c r="H105" s="203"/>
      <c r="I105" s="203"/>
      <c r="J105" s="203"/>
      <c r="K105" s="204"/>
      <c r="L105" s="204"/>
      <c r="M105" s="205"/>
      <c r="N105" s="205"/>
      <c r="O105" s="205"/>
      <c r="P105" s="205"/>
      <c r="Q105" s="205"/>
      <c r="R105" s="205"/>
      <c r="S105" s="205"/>
      <c r="DO105" s="208"/>
    </row>
    <row r="106" spans="2:119" ht="15.75" customHeight="1">
      <c r="B106" s="203"/>
      <c r="C106" s="203"/>
      <c r="D106" s="203"/>
      <c r="E106" s="203"/>
      <c r="F106" s="203"/>
      <c r="G106" s="203"/>
      <c r="H106" s="203"/>
      <c r="I106" s="203"/>
      <c r="J106" s="203"/>
      <c r="K106" s="204"/>
      <c r="L106" s="204"/>
      <c r="M106" s="205"/>
      <c r="N106" s="205"/>
      <c r="O106" s="205"/>
      <c r="P106" s="205"/>
      <c r="Q106" s="205"/>
      <c r="R106" s="205"/>
      <c r="S106" s="205"/>
      <c r="DO106" s="208"/>
    </row>
    <row r="107" spans="2:119" ht="15.75" customHeight="1">
      <c r="B107" s="203"/>
      <c r="C107" s="203"/>
      <c r="D107" s="203"/>
      <c r="E107" s="203"/>
      <c r="F107" s="203"/>
      <c r="G107" s="203"/>
      <c r="H107" s="203"/>
      <c r="I107" s="203"/>
      <c r="J107" s="203"/>
      <c r="K107" s="204"/>
      <c r="L107" s="204"/>
      <c r="M107" s="205"/>
      <c r="N107" s="205"/>
      <c r="O107" s="205"/>
      <c r="P107" s="205"/>
      <c r="Q107" s="205"/>
      <c r="R107" s="205"/>
      <c r="S107" s="205"/>
      <c r="DO107" s="208"/>
    </row>
    <row r="108" spans="2:119" ht="15.75" customHeight="1">
      <c r="B108" s="203"/>
      <c r="C108" s="203"/>
      <c r="D108" s="203"/>
      <c r="E108" s="203"/>
      <c r="F108" s="203"/>
      <c r="G108" s="203"/>
      <c r="H108" s="203"/>
      <c r="I108" s="203"/>
      <c r="J108" s="203"/>
      <c r="K108" s="204"/>
      <c r="L108" s="204"/>
      <c r="M108" s="205"/>
      <c r="N108" s="205"/>
      <c r="O108" s="205"/>
      <c r="P108" s="205"/>
      <c r="Q108" s="205"/>
      <c r="R108" s="205"/>
      <c r="S108" s="205"/>
      <c r="DO108" s="208"/>
    </row>
    <row r="109" spans="2:119" ht="15.75" customHeight="1">
      <c r="B109" s="203"/>
      <c r="C109" s="203"/>
      <c r="D109" s="203"/>
      <c r="E109" s="203"/>
      <c r="F109" s="203"/>
      <c r="G109" s="203"/>
      <c r="H109" s="203"/>
      <c r="I109" s="203"/>
      <c r="J109" s="203"/>
      <c r="K109" s="204"/>
      <c r="L109" s="204"/>
      <c r="M109" s="205"/>
      <c r="N109" s="205"/>
      <c r="O109" s="205"/>
      <c r="P109" s="205"/>
      <c r="Q109" s="205"/>
      <c r="R109" s="205"/>
      <c r="S109" s="205"/>
      <c r="DO109" s="208"/>
    </row>
    <row r="110" spans="2:119" ht="15.75" customHeight="1">
      <c r="B110" s="203"/>
      <c r="C110" s="203"/>
      <c r="D110" s="203"/>
      <c r="E110" s="203"/>
      <c r="F110" s="203"/>
      <c r="G110" s="203"/>
      <c r="H110" s="203"/>
      <c r="I110" s="203"/>
      <c r="J110" s="203"/>
      <c r="K110" s="204"/>
      <c r="L110" s="204"/>
      <c r="M110" s="205"/>
      <c r="N110" s="205"/>
      <c r="O110" s="205"/>
      <c r="P110" s="205"/>
      <c r="Q110" s="205"/>
      <c r="R110" s="205"/>
      <c r="S110" s="205"/>
      <c r="DO110" s="208"/>
    </row>
    <row r="111" spans="2:119" ht="15.75" customHeight="1">
      <c r="B111" s="203"/>
      <c r="C111" s="203"/>
      <c r="D111" s="203"/>
      <c r="E111" s="203"/>
      <c r="F111" s="203"/>
      <c r="G111" s="203"/>
      <c r="H111" s="203"/>
      <c r="I111" s="203"/>
      <c r="J111" s="203"/>
      <c r="K111" s="204"/>
      <c r="L111" s="204"/>
      <c r="M111" s="205"/>
      <c r="N111" s="205"/>
      <c r="O111" s="205"/>
      <c r="P111" s="205"/>
      <c r="Q111" s="205"/>
      <c r="R111" s="205"/>
      <c r="S111" s="205"/>
      <c r="DO111" s="208"/>
    </row>
    <row r="112" spans="2:119" ht="15.75" customHeight="1">
      <c r="B112" s="203"/>
      <c r="C112" s="203"/>
      <c r="D112" s="203"/>
      <c r="E112" s="203"/>
      <c r="F112" s="203"/>
      <c r="G112" s="203"/>
      <c r="H112" s="203"/>
      <c r="I112" s="203"/>
      <c r="J112" s="203"/>
      <c r="K112" s="204"/>
      <c r="L112" s="204"/>
      <c r="M112" s="205"/>
      <c r="N112" s="205"/>
      <c r="O112" s="205"/>
      <c r="P112" s="205"/>
      <c r="Q112" s="205"/>
      <c r="R112" s="205"/>
      <c r="S112" s="205"/>
      <c r="DO112" s="208"/>
    </row>
    <row r="113" spans="2:119" ht="15.75" customHeight="1">
      <c r="B113" s="203"/>
      <c r="C113" s="203"/>
      <c r="D113" s="203"/>
      <c r="E113" s="203"/>
      <c r="F113" s="203"/>
      <c r="G113" s="203"/>
      <c r="H113" s="203"/>
      <c r="I113" s="203"/>
      <c r="J113" s="203"/>
      <c r="K113" s="204"/>
      <c r="L113" s="204"/>
      <c r="M113" s="205"/>
      <c r="N113" s="205"/>
      <c r="O113" s="205"/>
      <c r="P113" s="205"/>
      <c r="Q113" s="205"/>
      <c r="R113" s="205"/>
      <c r="S113" s="205"/>
      <c r="DO113" s="208"/>
    </row>
    <row r="114" spans="2:119" ht="15.75" customHeight="1">
      <c r="B114" s="203"/>
      <c r="C114" s="203"/>
      <c r="D114" s="203"/>
      <c r="E114" s="203"/>
      <c r="F114" s="203"/>
      <c r="G114" s="203"/>
      <c r="H114" s="203"/>
      <c r="I114" s="203"/>
      <c r="J114" s="203"/>
      <c r="K114" s="204"/>
      <c r="L114" s="204"/>
      <c r="M114" s="205"/>
      <c r="N114" s="205"/>
      <c r="O114" s="205"/>
      <c r="P114" s="205"/>
      <c r="Q114" s="205"/>
      <c r="R114" s="205"/>
      <c r="S114" s="205"/>
      <c r="DO114" s="208"/>
    </row>
    <row r="115" spans="2:119" ht="15.75" customHeight="1">
      <c r="B115" s="203"/>
      <c r="C115" s="203"/>
      <c r="D115" s="203"/>
      <c r="E115" s="203"/>
      <c r="F115" s="203"/>
      <c r="G115" s="203"/>
      <c r="H115" s="203"/>
      <c r="I115" s="203"/>
      <c r="J115" s="203"/>
      <c r="K115" s="204"/>
      <c r="L115" s="204"/>
      <c r="M115" s="205"/>
      <c r="N115" s="205"/>
      <c r="O115" s="205"/>
      <c r="P115" s="205"/>
      <c r="Q115" s="205"/>
      <c r="R115" s="205"/>
      <c r="S115" s="205"/>
      <c r="DO115" s="208"/>
    </row>
    <row r="116" spans="2:119" ht="15.75" customHeight="1">
      <c r="B116" s="203"/>
      <c r="C116" s="203"/>
      <c r="D116" s="203"/>
      <c r="E116" s="203"/>
      <c r="F116" s="203"/>
      <c r="G116" s="203"/>
      <c r="H116" s="203"/>
      <c r="I116" s="203"/>
      <c r="J116" s="203"/>
      <c r="K116" s="204"/>
      <c r="L116" s="204"/>
      <c r="M116" s="205"/>
      <c r="N116" s="205"/>
      <c r="O116" s="205"/>
      <c r="P116" s="205"/>
      <c r="Q116" s="205"/>
      <c r="R116" s="205"/>
      <c r="S116" s="205"/>
      <c r="DO116" s="208"/>
    </row>
    <row r="117" spans="2:119" ht="15.75" customHeight="1">
      <c r="B117" s="203"/>
      <c r="C117" s="203"/>
      <c r="D117" s="203"/>
      <c r="E117" s="203"/>
      <c r="F117" s="203"/>
      <c r="G117" s="203"/>
      <c r="H117" s="203"/>
      <c r="I117" s="203"/>
      <c r="J117" s="203"/>
      <c r="K117" s="204"/>
      <c r="L117" s="204"/>
      <c r="M117" s="205"/>
      <c r="N117" s="205"/>
      <c r="O117" s="205"/>
      <c r="P117" s="205"/>
      <c r="Q117" s="205"/>
      <c r="R117" s="205"/>
      <c r="S117" s="205"/>
      <c r="DO117" s="208"/>
    </row>
    <row r="118" spans="2:119" ht="15.75" customHeight="1">
      <c r="B118" s="203"/>
      <c r="C118" s="203"/>
      <c r="D118" s="203"/>
      <c r="E118" s="203"/>
      <c r="F118" s="203"/>
      <c r="G118" s="203"/>
      <c r="H118" s="203"/>
      <c r="I118" s="203"/>
      <c r="J118" s="203"/>
      <c r="K118" s="204"/>
      <c r="L118" s="204"/>
      <c r="M118" s="205"/>
      <c r="N118" s="205"/>
      <c r="O118" s="205"/>
      <c r="P118" s="205"/>
      <c r="Q118" s="205"/>
      <c r="R118" s="205"/>
      <c r="S118" s="205"/>
      <c r="DO118" s="208"/>
    </row>
    <row r="119" spans="2:119" ht="15.75" customHeight="1">
      <c r="B119" s="203"/>
      <c r="C119" s="203"/>
      <c r="D119" s="203"/>
      <c r="E119" s="203"/>
      <c r="F119" s="203"/>
      <c r="G119" s="203"/>
      <c r="H119" s="203"/>
      <c r="I119" s="203"/>
      <c r="J119" s="203"/>
      <c r="K119" s="204"/>
      <c r="L119" s="204"/>
      <c r="M119" s="205"/>
      <c r="N119" s="205"/>
      <c r="O119" s="205"/>
      <c r="P119" s="205"/>
      <c r="Q119" s="205"/>
      <c r="R119" s="205"/>
      <c r="S119" s="205"/>
      <c r="DO119" s="208"/>
    </row>
    <row r="120" spans="2:119" ht="15.75" customHeight="1">
      <c r="B120" s="203"/>
      <c r="C120" s="203"/>
      <c r="D120" s="203"/>
      <c r="E120" s="203"/>
      <c r="F120" s="203"/>
      <c r="G120" s="203"/>
      <c r="H120" s="203"/>
      <c r="I120" s="203"/>
      <c r="J120" s="203"/>
      <c r="K120" s="204"/>
      <c r="L120" s="204"/>
      <c r="M120" s="205"/>
      <c r="N120" s="205"/>
      <c r="O120" s="205"/>
      <c r="P120" s="205"/>
      <c r="Q120" s="205"/>
      <c r="R120" s="205"/>
      <c r="S120" s="205"/>
      <c r="DO120" s="208"/>
    </row>
    <row r="121" spans="2:119" ht="15.75" customHeight="1">
      <c r="B121" s="203"/>
      <c r="C121" s="203"/>
      <c r="D121" s="203"/>
      <c r="E121" s="203"/>
      <c r="F121" s="203"/>
      <c r="G121" s="203"/>
      <c r="H121" s="203"/>
      <c r="I121" s="203"/>
      <c r="J121" s="203"/>
      <c r="K121" s="204"/>
      <c r="L121" s="204"/>
      <c r="M121" s="205"/>
      <c r="N121" s="205"/>
      <c r="O121" s="205"/>
      <c r="P121" s="205"/>
      <c r="Q121" s="205"/>
      <c r="R121" s="205"/>
      <c r="S121" s="205"/>
      <c r="DO121" s="208"/>
    </row>
    <row r="122" spans="2:119" ht="15.75" customHeight="1">
      <c r="B122" s="203"/>
      <c r="C122" s="203"/>
      <c r="D122" s="203"/>
      <c r="E122" s="203"/>
      <c r="F122" s="203"/>
      <c r="G122" s="203"/>
      <c r="H122" s="203"/>
      <c r="I122" s="203"/>
      <c r="J122" s="203"/>
      <c r="K122" s="204"/>
      <c r="L122" s="204"/>
      <c r="M122" s="205"/>
      <c r="N122" s="205"/>
      <c r="O122" s="205"/>
      <c r="P122" s="205"/>
      <c r="Q122" s="205"/>
      <c r="R122" s="205"/>
      <c r="S122" s="205"/>
      <c r="DO122" s="208"/>
    </row>
    <row r="123" spans="2:119" ht="15.75" customHeight="1">
      <c r="B123" s="203"/>
      <c r="C123" s="203"/>
      <c r="D123" s="203"/>
      <c r="E123" s="203"/>
      <c r="F123" s="203"/>
      <c r="G123" s="203"/>
      <c r="H123" s="203"/>
      <c r="I123" s="203"/>
      <c r="J123" s="203"/>
      <c r="K123" s="204"/>
      <c r="L123" s="204"/>
      <c r="M123" s="205"/>
      <c r="N123" s="205"/>
      <c r="O123" s="205"/>
      <c r="P123" s="205"/>
      <c r="Q123" s="205"/>
      <c r="R123" s="205"/>
      <c r="S123" s="205"/>
      <c r="DO123" s="208"/>
    </row>
    <row r="124" spans="2:119" ht="15.75" customHeight="1">
      <c r="B124" s="203"/>
      <c r="C124" s="203"/>
      <c r="D124" s="203"/>
      <c r="E124" s="203"/>
      <c r="F124" s="203"/>
      <c r="G124" s="203"/>
      <c r="H124" s="203"/>
      <c r="I124" s="203"/>
      <c r="J124" s="203"/>
      <c r="K124" s="204"/>
      <c r="L124" s="204"/>
      <c r="M124" s="205"/>
      <c r="N124" s="205"/>
      <c r="O124" s="205"/>
      <c r="P124" s="205"/>
      <c r="Q124" s="205"/>
      <c r="R124" s="205"/>
      <c r="S124" s="205"/>
      <c r="DO124" s="208"/>
    </row>
    <row r="125" spans="2:119" ht="15.75" customHeight="1">
      <c r="B125" s="203"/>
      <c r="C125" s="203"/>
      <c r="D125" s="203"/>
      <c r="E125" s="203"/>
      <c r="F125" s="203"/>
      <c r="G125" s="203"/>
      <c r="H125" s="203"/>
      <c r="I125" s="203"/>
      <c r="J125" s="203"/>
      <c r="K125" s="204"/>
      <c r="L125" s="204"/>
      <c r="M125" s="205"/>
      <c r="N125" s="205"/>
      <c r="O125" s="205"/>
      <c r="P125" s="205"/>
      <c r="Q125" s="205"/>
      <c r="R125" s="205"/>
      <c r="S125" s="205"/>
      <c r="DO125" s="208"/>
    </row>
    <row r="126" spans="2:119" ht="15.75" customHeight="1">
      <c r="B126" s="203"/>
      <c r="C126" s="203"/>
      <c r="D126" s="203"/>
      <c r="E126" s="203"/>
      <c r="F126" s="203"/>
      <c r="G126" s="203"/>
      <c r="H126" s="203"/>
      <c r="I126" s="203"/>
      <c r="J126" s="203"/>
      <c r="K126" s="204"/>
      <c r="L126" s="204"/>
      <c r="M126" s="205"/>
      <c r="N126" s="205"/>
      <c r="O126" s="205"/>
      <c r="P126" s="205"/>
      <c r="Q126" s="205"/>
      <c r="R126" s="205"/>
      <c r="S126" s="205"/>
      <c r="DO126" s="208"/>
    </row>
    <row r="127" spans="2:119" ht="15.75" customHeight="1">
      <c r="B127" s="203"/>
      <c r="C127" s="203"/>
      <c r="D127" s="203"/>
      <c r="E127" s="203"/>
      <c r="F127" s="203"/>
      <c r="G127" s="203"/>
      <c r="H127" s="203"/>
      <c r="I127" s="203"/>
      <c r="J127" s="203"/>
      <c r="K127" s="204"/>
      <c r="L127" s="204"/>
      <c r="M127" s="205"/>
      <c r="N127" s="205"/>
      <c r="O127" s="205"/>
      <c r="P127" s="205"/>
      <c r="Q127" s="205"/>
      <c r="R127" s="205"/>
      <c r="S127" s="205"/>
      <c r="DO127" s="208"/>
    </row>
    <row r="128" spans="2:119" ht="15.75" customHeight="1">
      <c r="B128" s="203"/>
      <c r="C128" s="203"/>
      <c r="D128" s="203"/>
      <c r="E128" s="203"/>
      <c r="F128" s="203"/>
      <c r="G128" s="203"/>
      <c r="H128" s="203"/>
      <c r="I128" s="203"/>
      <c r="J128" s="203"/>
      <c r="K128" s="204"/>
      <c r="L128" s="204"/>
      <c r="M128" s="205"/>
      <c r="N128" s="205"/>
      <c r="O128" s="205"/>
      <c r="P128" s="205"/>
      <c r="Q128" s="205"/>
      <c r="R128" s="205"/>
      <c r="S128" s="205"/>
      <c r="DO128" s="208"/>
    </row>
    <row r="129" spans="2:119" ht="15.75" customHeight="1">
      <c r="B129" s="203"/>
      <c r="C129" s="203"/>
      <c r="D129" s="203"/>
      <c r="E129" s="203"/>
      <c r="F129" s="203"/>
      <c r="G129" s="203"/>
      <c r="H129" s="203"/>
      <c r="I129" s="203"/>
      <c r="J129" s="203"/>
      <c r="K129" s="204"/>
      <c r="L129" s="204"/>
      <c r="M129" s="205"/>
      <c r="N129" s="205"/>
      <c r="O129" s="205"/>
      <c r="P129" s="205"/>
      <c r="Q129" s="205"/>
      <c r="R129" s="205"/>
      <c r="S129" s="205"/>
      <c r="DO129" s="208"/>
    </row>
    <row r="130" spans="2:119" ht="15.75" customHeight="1">
      <c r="B130" s="203"/>
      <c r="C130" s="203"/>
      <c r="D130" s="203"/>
      <c r="E130" s="203"/>
      <c r="F130" s="203"/>
      <c r="G130" s="203"/>
      <c r="H130" s="203"/>
      <c r="I130" s="203"/>
      <c r="J130" s="203"/>
      <c r="K130" s="204"/>
      <c r="L130" s="204"/>
      <c r="M130" s="205"/>
      <c r="N130" s="205"/>
      <c r="O130" s="205"/>
      <c r="P130" s="205"/>
      <c r="Q130" s="205"/>
      <c r="R130" s="205"/>
      <c r="S130" s="205"/>
      <c r="DO130" s="208"/>
    </row>
    <row r="131" spans="2:119" ht="15.75" customHeight="1">
      <c r="B131" s="203"/>
      <c r="C131" s="203"/>
      <c r="D131" s="203"/>
      <c r="E131" s="203"/>
      <c r="F131" s="203"/>
      <c r="G131" s="203"/>
      <c r="H131" s="203"/>
      <c r="I131" s="203"/>
      <c r="J131" s="203"/>
      <c r="K131" s="204"/>
      <c r="L131" s="204"/>
      <c r="M131" s="205"/>
      <c r="N131" s="205"/>
      <c r="O131" s="205"/>
      <c r="P131" s="205"/>
      <c r="Q131" s="205"/>
      <c r="R131" s="205"/>
      <c r="S131" s="205"/>
      <c r="DO131" s="208"/>
    </row>
    <row r="132" spans="2:119" ht="15.75" customHeight="1">
      <c r="B132" s="203"/>
      <c r="C132" s="203"/>
      <c r="D132" s="203"/>
      <c r="E132" s="203"/>
      <c r="F132" s="203"/>
      <c r="G132" s="203"/>
      <c r="H132" s="203"/>
      <c r="I132" s="203"/>
      <c r="J132" s="203"/>
      <c r="K132" s="204"/>
      <c r="L132" s="204"/>
      <c r="M132" s="205"/>
      <c r="N132" s="205"/>
      <c r="O132" s="205"/>
      <c r="P132" s="205"/>
      <c r="Q132" s="205"/>
      <c r="R132" s="205"/>
      <c r="S132" s="205"/>
      <c r="DO132" s="208"/>
    </row>
    <row r="133" spans="2:119" ht="15.75" customHeight="1">
      <c r="B133" s="203"/>
      <c r="C133" s="203"/>
      <c r="D133" s="203"/>
      <c r="E133" s="203"/>
      <c r="F133" s="203"/>
      <c r="G133" s="203"/>
      <c r="H133" s="203"/>
      <c r="I133" s="203"/>
      <c r="J133" s="203"/>
      <c r="K133" s="204"/>
      <c r="L133" s="204"/>
      <c r="M133" s="205"/>
      <c r="N133" s="205"/>
      <c r="O133" s="205"/>
      <c r="P133" s="205"/>
      <c r="Q133" s="205"/>
      <c r="R133" s="205"/>
      <c r="S133" s="205"/>
      <c r="DO133" s="208"/>
    </row>
    <row r="134" spans="2:119" ht="15.75" customHeight="1">
      <c r="B134" s="203"/>
      <c r="C134" s="203"/>
      <c r="D134" s="203"/>
      <c r="E134" s="203"/>
      <c r="F134" s="203"/>
      <c r="G134" s="203"/>
      <c r="H134" s="203"/>
      <c r="I134" s="203"/>
      <c r="J134" s="203"/>
      <c r="K134" s="204"/>
      <c r="L134" s="204"/>
      <c r="M134" s="205"/>
      <c r="N134" s="205"/>
      <c r="O134" s="205"/>
      <c r="P134" s="205"/>
      <c r="Q134" s="205"/>
      <c r="R134" s="205"/>
      <c r="S134" s="205"/>
      <c r="DO134" s="208"/>
    </row>
    <row r="135" spans="2:119" ht="15.75" customHeight="1">
      <c r="B135" s="203"/>
      <c r="C135" s="203"/>
      <c r="D135" s="203"/>
      <c r="E135" s="203"/>
      <c r="F135" s="203"/>
      <c r="G135" s="203"/>
      <c r="H135" s="203"/>
      <c r="I135" s="203"/>
      <c r="J135" s="203"/>
      <c r="K135" s="204"/>
      <c r="L135" s="204"/>
      <c r="M135" s="205"/>
      <c r="N135" s="205"/>
      <c r="O135" s="205"/>
      <c r="P135" s="205"/>
      <c r="Q135" s="205"/>
      <c r="R135" s="205"/>
      <c r="S135" s="205"/>
      <c r="DO135" s="208"/>
    </row>
    <row r="136" spans="2:119" ht="15.75" customHeight="1">
      <c r="B136" s="203"/>
      <c r="C136" s="203"/>
      <c r="D136" s="203"/>
      <c r="E136" s="203"/>
      <c r="F136" s="203"/>
      <c r="G136" s="203"/>
      <c r="H136" s="203"/>
      <c r="I136" s="203"/>
      <c r="J136" s="203"/>
      <c r="K136" s="204"/>
      <c r="L136" s="204"/>
      <c r="M136" s="205"/>
      <c r="N136" s="205"/>
      <c r="O136" s="205"/>
      <c r="P136" s="205"/>
      <c r="Q136" s="205"/>
      <c r="R136" s="205"/>
      <c r="S136" s="205"/>
      <c r="DO136" s="208"/>
    </row>
    <row r="137" spans="2:119" ht="15.75" customHeight="1">
      <c r="B137" s="203"/>
      <c r="C137" s="203"/>
      <c r="D137" s="203"/>
      <c r="E137" s="203"/>
      <c r="F137" s="203"/>
      <c r="G137" s="203"/>
      <c r="H137" s="203"/>
      <c r="I137" s="203"/>
      <c r="J137" s="203"/>
      <c r="K137" s="204"/>
      <c r="L137" s="204"/>
      <c r="M137" s="205"/>
      <c r="N137" s="205"/>
      <c r="O137" s="205"/>
      <c r="P137" s="205"/>
      <c r="Q137" s="205"/>
      <c r="R137" s="205"/>
      <c r="S137" s="205"/>
      <c r="DO137" s="208"/>
    </row>
    <row r="138" spans="2:119" ht="15.75" customHeight="1">
      <c r="B138" s="203"/>
      <c r="C138" s="203"/>
      <c r="D138" s="203"/>
      <c r="E138" s="203"/>
      <c r="F138" s="203"/>
      <c r="G138" s="203"/>
      <c r="H138" s="203"/>
      <c r="I138" s="203"/>
      <c r="J138" s="203"/>
      <c r="K138" s="204"/>
      <c r="L138" s="204"/>
      <c r="M138" s="205"/>
      <c r="N138" s="205"/>
      <c r="O138" s="205"/>
      <c r="P138" s="205"/>
      <c r="Q138" s="205"/>
      <c r="R138" s="205"/>
      <c r="S138" s="205"/>
      <c r="DO138" s="208"/>
    </row>
    <row r="139" spans="2:119" ht="15.75" customHeight="1">
      <c r="B139" s="203"/>
      <c r="C139" s="203"/>
      <c r="D139" s="203"/>
      <c r="E139" s="203"/>
      <c r="F139" s="203"/>
      <c r="G139" s="203"/>
      <c r="H139" s="203"/>
      <c r="I139" s="203"/>
      <c r="J139" s="203"/>
      <c r="K139" s="204"/>
      <c r="L139" s="204"/>
      <c r="M139" s="205"/>
      <c r="N139" s="205"/>
      <c r="O139" s="205"/>
      <c r="P139" s="205"/>
      <c r="Q139" s="205"/>
      <c r="R139" s="205"/>
      <c r="S139" s="205"/>
      <c r="DO139" s="208"/>
    </row>
    <row r="140" spans="2:119" ht="15.75" customHeight="1">
      <c r="B140" s="203"/>
      <c r="C140" s="203"/>
      <c r="D140" s="203"/>
      <c r="E140" s="203"/>
      <c r="F140" s="203"/>
      <c r="G140" s="203"/>
      <c r="H140" s="203"/>
      <c r="I140" s="203"/>
      <c r="J140" s="203"/>
      <c r="K140" s="204"/>
      <c r="L140" s="204"/>
      <c r="M140" s="205"/>
      <c r="N140" s="205"/>
      <c r="O140" s="205"/>
      <c r="P140" s="205"/>
      <c r="Q140" s="205"/>
      <c r="R140" s="205"/>
      <c r="S140" s="205"/>
      <c r="DO140" s="208"/>
    </row>
    <row r="141" spans="2:119" ht="15.75" customHeight="1">
      <c r="B141" s="203"/>
      <c r="C141" s="203"/>
      <c r="D141" s="203"/>
      <c r="E141" s="203"/>
      <c r="F141" s="203"/>
      <c r="G141" s="203"/>
      <c r="H141" s="203"/>
      <c r="I141" s="203"/>
      <c r="J141" s="203"/>
      <c r="K141" s="204"/>
      <c r="L141" s="204"/>
      <c r="M141" s="205"/>
      <c r="N141" s="205"/>
      <c r="O141" s="205"/>
      <c r="P141" s="205"/>
      <c r="Q141" s="205"/>
      <c r="R141" s="205"/>
      <c r="S141" s="205"/>
      <c r="DO141" s="208"/>
    </row>
    <row r="142" spans="2:119" ht="15.75" customHeight="1">
      <c r="B142" s="203"/>
      <c r="C142" s="203"/>
      <c r="D142" s="203"/>
      <c r="E142" s="203"/>
      <c r="F142" s="203"/>
      <c r="G142" s="203"/>
      <c r="H142" s="203"/>
      <c r="I142" s="203"/>
      <c r="J142" s="203"/>
      <c r="K142" s="204"/>
      <c r="L142" s="204"/>
      <c r="M142" s="205"/>
      <c r="N142" s="205"/>
      <c r="O142" s="205"/>
      <c r="P142" s="205"/>
      <c r="Q142" s="205"/>
      <c r="R142" s="205"/>
      <c r="S142" s="205"/>
      <c r="DO142" s="208"/>
    </row>
    <row r="143" spans="2:119" ht="15.75" customHeight="1">
      <c r="B143" s="203"/>
      <c r="C143" s="203"/>
      <c r="D143" s="203"/>
      <c r="E143" s="203"/>
      <c r="F143" s="203"/>
      <c r="G143" s="203"/>
      <c r="H143" s="203"/>
      <c r="I143" s="203"/>
      <c r="J143" s="203"/>
      <c r="K143" s="204"/>
      <c r="L143" s="204"/>
      <c r="M143" s="205"/>
      <c r="N143" s="205"/>
      <c r="O143" s="205"/>
      <c r="P143" s="205"/>
      <c r="Q143" s="205"/>
      <c r="R143" s="205"/>
      <c r="S143" s="205"/>
      <c r="DO143" s="208"/>
    </row>
    <row r="144" spans="2:119" ht="15.75" customHeight="1">
      <c r="B144" s="203"/>
      <c r="C144" s="203"/>
      <c r="D144" s="203"/>
      <c r="E144" s="203"/>
      <c r="F144" s="203"/>
      <c r="G144" s="203"/>
      <c r="H144" s="203"/>
      <c r="I144" s="203"/>
      <c r="J144" s="203"/>
      <c r="K144" s="204"/>
      <c r="L144" s="204"/>
      <c r="M144" s="205"/>
      <c r="N144" s="205"/>
      <c r="O144" s="205"/>
      <c r="P144" s="205"/>
      <c r="Q144" s="205"/>
      <c r="R144" s="205"/>
      <c r="S144" s="205"/>
      <c r="DO144" s="208"/>
    </row>
    <row r="145" spans="2:119" ht="15.75" customHeight="1">
      <c r="B145" s="203"/>
      <c r="C145" s="203"/>
      <c r="D145" s="203"/>
      <c r="E145" s="203"/>
      <c r="F145" s="203"/>
      <c r="G145" s="203"/>
      <c r="H145" s="203"/>
      <c r="I145" s="203"/>
      <c r="J145" s="203"/>
      <c r="K145" s="204"/>
      <c r="L145" s="204"/>
      <c r="M145" s="205"/>
      <c r="N145" s="205"/>
      <c r="O145" s="205"/>
      <c r="P145" s="205"/>
      <c r="Q145" s="205"/>
      <c r="R145" s="205"/>
      <c r="S145" s="205"/>
      <c r="DO145" s="208"/>
    </row>
    <row r="146" spans="2:119" ht="15.75" customHeight="1">
      <c r="B146" s="203"/>
      <c r="C146" s="203"/>
      <c r="D146" s="203"/>
      <c r="E146" s="203"/>
      <c r="F146" s="203"/>
      <c r="G146" s="203"/>
      <c r="H146" s="203"/>
      <c r="I146" s="203"/>
      <c r="J146" s="203"/>
      <c r="K146" s="204"/>
      <c r="L146" s="204"/>
      <c r="M146" s="205"/>
      <c r="N146" s="205"/>
      <c r="O146" s="205"/>
      <c r="P146" s="205"/>
      <c r="Q146" s="205"/>
      <c r="R146" s="205"/>
      <c r="S146" s="205"/>
      <c r="DO146" s="208"/>
    </row>
    <row r="147" spans="2:119" ht="15.75" customHeight="1">
      <c r="B147" s="203"/>
      <c r="C147" s="203"/>
      <c r="D147" s="203"/>
      <c r="E147" s="203"/>
      <c r="F147" s="203"/>
      <c r="G147" s="203"/>
      <c r="H147" s="203"/>
      <c r="I147" s="203"/>
      <c r="J147" s="203"/>
      <c r="K147" s="204"/>
      <c r="L147" s="204"/>
      <c r="M147" s="205"/>
      <c r="N147" s="205"/>
      <c r="O147" s="205"/>
      <c r="P147" s="205"/>
      <c r="Q147" s="205"/>
      <c r="R147" s="205"/>
      <c r="S147" s="205"/>
      <c r="DO147" s="208"/>
    </row>
    <row r="148" spans="2:119" ht="15.75" customHeight="1">
      <c r="B148" s="203"/>
      <c r="C148" s="203"/>
      <c r="D148" s="203"/>
      <c r="E148" s="203"/>
      <c r="F148" s="203"/>
      <c r="G148" s="203"/>
      <c r="H148" s="203"/>
      <c r="I148" s="203"/>
      <c r="J148" s="203"/>
      <c r="K148" s="204"/>
      <c r="L148" s="204"/>
      <c r="M148" s="205"/>
      <c r="N148" s="205"/>
      <c r="O148" s="205"/>
      <c r="P148" s="205"/>
      <c r="Q148" s="205"/>
      <c r="R148" s="205"/>
      <c r="S148" s="205"/>
      <c r="DO148" s="208"/>
    </row>
    <row r="149" spans="2:119" ht="15.75" customHeight="1">
      <c r="B149" s="203"/>
      <c r="C149" s="203"/>
      <c r="D149" s="203"/>
      <c r="E149" s="203"/>
      <c r="F149" s="203"/>
      <c r="G149" s="203"/>
      <c r="H149" s="203"/>
      <c r="I149" s="203"/>
      <c r="J149" s="203"/>
      <c r="K149" s="204"/>
      <c r="L149" s="204"/>
      <c r="M149" s="205"/>
      <c r="N149" s="205"/>
      <c r="O149" s="205"/>
      <c r="P149" s="205"/>
      <c r="Q149" s="205"/>
      <c r="R149" s="205"/>
      <c r="S149" s="205"/>
      <c r="DO149" s="208"/>
    </row>
    <row r="150" spans="2:119" ht="15.75" customHeight="1">
      <c r="B150" s="203"/>
      <c r="C150" s="203"/>
      <c r="D150" s="203"/>
      <c r="E150" s="203"/>
      <c r="F150" s="203"/>
      <c r="G150" s="203"/>
      <c r="H150" s="203"/>
      <c r="I150" s="203"/>
      <c r="J150" s="203"/>
      <c r="K150" s="204"/>
      <c r="L150" s="204"/>
      <c r="M150" s="205"/>
      <c r="N150" s="205"/>
      <c r="O150" s="205"/>
      <c r="P150" s="205"/>
      <c r="Q150" s="205"/>
      <c r="R150" s="205"/>
      <c r="S150" s="205"/>
      <c r="DO150" s="208"/>
    </row>
    <row r="151" spans="2:119" ht="15.75" customHeight="1">
      <c r="B151" s="203"/>
      <c r="C151" s="203"/>
      <c r="D151" s="203"/>
      <c r="E151" s="203"/>
      <c r="F151" s="203"/>
      <c r="G151" s="203"/>
      <c r="H151" s="203"/>
      <c r="I151" s="203"/>
      <c r="J151" s="203"/>
      <c r="K151" s="204"/>
      <c r="L151" s="204"/>
      <c r="M151" s="205"/>
      <c r="N151" s="205"/>
      <c r="O151" s="205"/>
      <c r="P151" s="205"/>
      <c r="Q151" s="205"/>
      <c r="R151" s="205"/>
      <c r="S151" s="205"/>
      <c r="DO151" s="208"/>
    </row>
    <row r="152" spans="2:119" ht="15.75" customHeight="1">
      <c r="B152" s="203"/>
      <c r="C152" s="203"/>
      <c r="D152" s="203"/>
      <c r="E152" s="203"/>
      <c r="F152" s="203"/>
      <c r="G152" s="203"/>
      <c r="H152" s="203"/>
      <c r="I152" s="203"/>
      <c r="J152" s="203"/>
      <c r="K152" s="204"/>
      <c r="L152" s="204"/>
      <c r="M152" s="205"/>
      <c r="N152" s="205"/>
      <c r="O152" s="205"/>
      <c r="P152" s="205"/>
      <c r="Q152" s="205"/>
      <c r="R152" s="205"/>
      <c r="S152" s="205"/>
      <c r="DO152" s="208"/>
    </row>
    <row r="153" spans="2:119" ht="15.75" customHeight="1">
      <c r="B153" s="203"/>
      <c r="C153" s="203"/>
      <c r="D153" s="203"/>
      <c r="E153" s="203"/>
      <c r="F153" s="203"/>
      <c r="G153" s="203"/>
      <c r="H153" s="203"/>
      <c r="I153" s="203"/>
      <c r="J153" s="203"/>
      <c r="K153" s="204"/>
      <c r="L153" s="204"/>
      <c r="M153" s="205"/>
      <c r="N153" s="205"/>
      <c r="O153" s="205"/>
      <c r="P153" s="205"/>
      <c r="Q153" s="205"/>
      <c r="R153" s="205"/>
      <c r="S153" s="205"/>
      <c r="DO153" s="208"/>
    </row>
    <row r="154" spans="2:119" ht="15.75" customHeight="1">
      <c r="B154" s="203"/>
      <c r="C154" s="203"/>
      <c r="D154" s="203"/>
      <c r="E154" s="203"/>
      <c r="F154" s="203"/>
      <c r="G154" s="203"/>
      <c r="H154" s="203"/>
      <c r="I154" s="203"/>
      <c r="J154" s="203"/>
      <c r="K154" s="204"/>
      <c r="L154" s="204"/>
      <c r="M154" s="205"/>
      <c r="N154" s="205"/>
      <c r="O154" s="205"/>
      <c r="P154" s="205"/>
      <c r="Q154" s="205"/>
      <c r="R154" s="205"/>
      <c r="S154" s="205"/>
      <c r="DO154" s="208"/>
    </row>
    <row r="155" spans="2:119" ht="15.75" customHeight="1">
      <c r="B155" s="203"/>
      <c r="C155" s="203"/>
      <c r="D155" s="203"/>
      <c r="E155" s="203"/>
      <c r="F155" s="203"/>
      <c r="G155" s="203"/>
      <c r="H155" s="203"/>
      <c r="I155" s="203"/>
      <c r="J155" s="203"/>
      <c r="K155" s="204"/>
      <c r="L155" s="204"/>
      <c r="M155" s="205"/>
      <c r="N155" s="205"/>
      <c r="O155" s="205"/>
      <c r="P155" s="205"/>
      <c r="Q155" s="205"/>
      <c r="R155" s="205"/>
      <c r="S155" s="205"/>
      <c r="DO155" s="208"/>
    </row>
    <row r="156" spans="2:119" ht="15.75" customHeight="1">
      <c r="B156" s="203"/>
      <c r="C156" s="203"/>
      <c r="D156" s="203"/>
      <c r="E156" s="203"/>
      <c r="F156" s="203"/>
      <c r="G156" s="203"/>
      <c r="H156" s="203"/>
      <c r="I156" s="203"/>
      <c r="J156" s="203"/>
      <c r="K156" s="204"/>
      <c r="L156" s="204"/>
      <c r="M156" s="205"/>
      <c r="N156" s="205"/>
      <c r="O156" s="205"/>
      <c r="P156" s="205"/>
      <c r="Q156" s="205"/>
      <c r="R156" s="205"/>
      <c r="S156" s="205"/>
      <c r="DO156" s="208"/>
    </row>
    <row r="157" spans="2:119" ht="15.75" customHeight="1">
      <c r="B157" s="203"/>
      <c r="C157" s="203"/>
      <c r="D157" s="203"/>
      <c r="E157" s="203"/>
      <c r="F157" s="203"/>
      <c r="G157" s="203"/>
      <c r="H157" s="203"/>
      <c r="I157" s="203"/>
      <c r="J157" s="203"/>
      <c r="K157" s="204"/>
      <c r="L157" s="204"/>
      <c r="M157" s="205"/>
      <c r="N157" s="205"/>
      <c r="O157" s="205"/>
      <c r="P157" s="205"/>
      <c r="Q157" s="205"/>
      <c r="R157" s="205"/>
      <c r="S157" s="205"/>
      <c r="DO157" s="208"/>
    </row>
    <row r="158" spans="2:119" ht="15.75" customHeight="1">
      <c r="B158" s="203"/>
      <c r="C158" s="203"/>
      <c r="D158" s="203"/>
      <c r="E158" s="203"/>
      <c r="F158" s="203"/>
      <c r="G158" s="203"/>
      <c r="H158" s="203"/>
      <c r="I158" s="203"/>
      <c r="J158" s="203"/>
      <c r="K158" s="204"/>
      <c r="L158" s="204"/>
      <c r="M158" s="205"/>
      <c r="N158" s="205"/>
      <c r="O158" s="205"/>
      <c r="P158" s="205"/>
      <c r="Q158" s="205"/>
      <c r="R158" s="205"/>
      <c r="S158" s="205"/>
      <c r="DO158" s="208"/>
    </row>
    <row r="159" spans="2:119" ht="15.75" customHeight="1">
      <c r="B159" s="203"/>
      <c r="C159" s="203"/>
      <c r="D159" s="203"/>
      <c r="E159" s="203"/>
      <c r="F159" s="203"/>
      <c r="G159" s="203"/>
      <c r="H159" s="203"/>
      <c r="I159" s="203"/>
      <c r="J159" s="203"/>
      <c r="K159" s="204"/>
      <c r="L159" s="204"/>
      <c r="M159" s="205"/>
      <c r="N159" s="205"/>
      <c r="O159" s="205"/>
      <c r="P159" s="205"/>
      <c r="Q159" s="205"/>
      <c r="R159" s="205"/>
      <c r="S159" s="205"/>
      <c r="DO159" s="208"/>
    </row>
    <row r="160" spans="2:119" ht="15.75" customHeight="1">
      <c r="B160" s="203"/>
      <c r="C160" s="203"/>
      <c r="D160" s="203"/>
      <c r="E160" s="203"/>
      <c r="F160" s="203"/>
      <c r="G160" s="203"/>
      <c r="H160" s="203"/>
      <c r="I160" s="203"/>
      <c r="J160" s="203"/>
      <c r="K160" s="204"/>
      <c r="L160" s="204"/>
      <c r="M160" s="205"/>
      <c r="N160" s="205"/>
      <c r="O160" s="205"/>
      <c r="P160" s="205"/>
      <c r="Q160" s="205"/>
      <c r="R160" s="205"/>
      <c r="S160" s="205"/>
      <c r="DO160" s="208"/>
    </row>
    <row r="161" spans="2:119" ht="15.75" customHeight="1">
      <c r="B161" s="203"/>
      <c r="C161" s="203"/>
      <c r="D161" s="203"/>
      <c r="E161" s="203"/>
      <c r="F161" s="203"/>
      <c r="G161" s="203"/>
      <c r="H161" s="203"/>
      <c r="I161" s="203"/>
      <c r="J161" s="203"/>
      <c r="K161" s="204"/>
      <c r="L161" s="204"/>
      <c r="M161" s="205"/>
      <c r="N161" s="205"/>
      <c r="O161" s="205"/>
      <c r="P161" s="205"/>
      <c r="Q161" s="205"/>
      <c r="R161" s="205"/>
      <c r="S161" s="205"/>
      <c r="DO161" s="208"/>
    </row>
    <row r="162" spans="2:119" ht="15.75" customHeight="1">
      <c r="B162" s="203"/>
      <c r="C162" s="203"/>
      <c r="D162" s="203"/>
      <c r="E162" s="203"/>
      <c r="F162" s="203"/>
      <c r="G162" s="203"/>
      <c r="H162" s="203"/>
      <c r="I162" s="203"/>
      <c r="J162" s="203"/>
      <c r="K162" s="204"/>
      <c r="L162" s="204"/>
      <c r="M162" s="205"/>
      <c r="N162" s="205"/>
      <c r="O162" s="205"/>
      <c r="P162" s="205"/>
      <c r="Q162" s="205"/>
      <c r="R162" s="205"/>
      <c r="S162" s="205"/>
      <c r="DO162" s="208"/>
    </row>
    <row r="163" spans="2:119" ht="15.75" customHeight="1">
      <c r="B163" s="203"/>
      <c r="C163" s="203"/>
      <c r="D163" s="203"/>
      <c r="E163" s="203"/>
      <c r="F163" s="203"/>
      <c r="G163" s="203"/>
      <c r="H163" s="203"/>
      <c r="I163" s="203"/>
      <c r="J163" s="203"/>
      <c r="K163" s="204"/>
      <c r="L163" s="204"/>
      <c r="M163" s="205"/>
      <c r="N163" s="205"/>
      <c r="O163" s="205"/>
      <c r="P163" s="205"/>
      <c r="Q163" s="205"/>
      <c r="R163" s="205"/>
      <c r="S163" s="205"/>
      <c r="DO163" s="208"/>
    </row>
    <row r="164" spans="2:119" ht="15.75" customHeight="1">
      <c r="B164" s="203"/>
      <c r="C164" s="203"/>
      <c r="D164" s="203"/>
      <c r="E164" s="203"/>
      <c r="F164" s="203"/>
      <c r="G164" s="203"/>
      <c r="H164" s="203"/>
      <c r="I164" s="203"/>
      <c r="J164" s="203"/>
      <c r="K164" s="204"/>
      <c r="L164" s="204"/>
      <c r="M164" s="205"/>
      <c r="N164" s="205"/>
      <c r="O164" s="205"/>
      <c r="P164" s="205"/>
      <c r="Q164" s="205"/>
      <c r="R164" s="205"/>
      <c r="S164" s="205"/>
      <c r="DO164" s="208"/>
    </row>
    <row r="165" spans="2:119" ht="15.75" customHeight="1">
      <c r="B165" s="203"/>
      <c r="C165" s="203"/>
      <c r="D165" s="203"/>
      <c r="E165" s="203"/>
      <c r="F165" s="203"/>
      <c r="G165" s="203"/>
      <c r="H165" s="203"/>
      <c r="I165" s="203"/>
      <c r="J165" s="203"/>
      <c r="K165" s="204"/>
      <c r="L165" s="204"/>
      <c r="M165" s="205"/>
      <c r="N165" s="205"/>
      <c r="O165" s="205"/>
      <c r="P165" s="205"/>
      <c r="Q165" s="205"/>
      <c r="R165" s="205"/>
      <c r="S165" s="205"/>
      <c r="DO165" s="208"/>
    </row>
    <row r="166" spans="2:119" ht="15.75" customHeight="1">
      <c r="B166" s="203"/>
      <c r="C166" s="203"/>
      <c r="D166" s="203"/>
      <c r="E166" s="203"/>
      <c r="F166" s="203"/>
      <c r="G166" s="203"/>
      <c r="H166" s="203"/>
      <c r="I166" s="203"/>
      <c r="J166" s="203"/>
      <c r="K166" s="204"/>
      <c r="L166" s="204"/>
      <c r="M166" s="205"/>
      <c r="N166" s="205"/>
      <c r="O166" s="205"/>
      <c r="P166" s="205"/>
      <c r="Q166" s="205"/>
      <c r="R166" s="205"/>
      <c r="S166" s="205"/>
      <c r="DO166" s="208"/>
    </row>
    <row r="167" spans="2:119" ht="15.75" customHeight="1">
      <c r="B167" s="203"/>
      <c r="C167" s="203"/>
      <c r="D167" s="203"/>
      <c r="E167" s="203"/>
      <c r="F167" s="203"/>
      <c r="G167" s="203"/>
      <c r="H167" s="203"/>
      <c r="I167" s="203"/>
      <c r="J167" s="203"/>
      <c r="K167" s="204"/>
      <c r="L167" s="204"/>
      <c r="M167" s="205"/>
      <c r="N167" s="205"/>
      <c r="O167" s="205"/>
      <c r="P167" s="205"/>
      <c r="Q167" s="205"/>
      <c r="R167" s="205"/>
      <c r="S167" s="205"/>
      <c r="DO167" s="208"/>
    </row>
    <row r="168" spans="2:119" ht="15.75" customHeight="1">
      <c r="B168" s="203"/>
      <c r="C168" s="203"/>
      <c r="D168" s="203"/>
      <c r="E168" s="203"/>
      <c r="F168" s="203"/>
      <c r="G168" s="203"/>
      <c r="H168" s="203"/>
      <c r="I168" s="203"/>
      <c r="J168" s="203"/>
      <c r="K168" s="204"/>
      <c r="L168" s="204"/>
      <c r="M168" s="205"/>
      <c r="N168" s="205"/>
      <c r="O168" s="205"/>
      <c r="P168" s="205"/>
      <c r="Q168" s="205"/>
      <c r="R168" s="205"/>
      <c r="S168" s="205"/>
      <c r="DO168" s="208"/>
    </row>
    <row r="169" spans="2:119" ht="15.75" customHeight="1">
      <c r="B169" s="203"/>
      <c r="C169" s="203"/>
      <c r="D169" s="203"/>
      <c r="E169" s="203"/>
      <c r="F169" s="203"/>
      <c r="G169" s="203"/>
      <c r="H169" s="203"/>
      <c r="I169" s="203"/>
      <c r="J169" s="203"/>
      <c r="K169" s="204"/>
      <c r="L169" s="204"/>
      <c r="M169" s="205"/>
      <c r="N169" s="205"/>
      <c r="O169" s="205"/>
      <c r="P169" s="205"/>
      <c r="Q169" s="205"/>
      <c r="R169" s="205"/>
      <c r="S169" s="205"/>
      <c r="DO169" s="208"/>
    </row>
    <row r="170" spans="2:119" ht="15.75" customHeight="1">
      <c r="B170" s="203"/>
      <c r="C170" s="203"/>
      <c r="D170" s="203"/>
      <c r="E170" s="203"/>
      <c r="F170" s="203"/>
      <c r="G170" s="203"/>
      <c r="H170" s="203"/>
      <c r="I170" s="203"/>
      <c r="J170" s="203"/>
      <c r="K170" s="204"/>
      <c r="L170" s="204"/>
      <c r="M170" s="205"/>
      <c r="N170" s="205"/>
      <c r="O170" s="205"/>
      <c r="P170" s="205"/>
      <c r="Q170" s="205"/>
      <c r="R170" s="205"/>
      <c r="S170" s="205"/>
      <c r="DO170" s="208"/>
    </row>
    <row r="171" spans="2:119" ht="15.75" customHeight="1">
      <c r="B171" s="203"/>
      <c r="C171" s="203"/>
      <c r="D171" s="203"/>
      <c r="E171" s="203"/>
      <c r="F171" s="203"/>
      <c r="G171" s="203"/>
      <c r="H171" s="203"/>
      <c r="I171" s="203"/>
      <c r="J171" s="203"/>
      <c r="K171" s="204"/>
      <c r="L171" s="204"/>
      <c r="M171" s="205"/>
      <c r="N171" s="205"/>
      <c r="O171" s="205"/>
      <c r="P171" s="205"/>
      <c r="Q171" s="205"/>
      <c r="R171" s="205"/>
      <c r="S171" s="205"/>
      <c r="DO171" s="208"/>
    </row>
    <row r="172" spans="2:119" ht="15.75" customHeight="1">
      <c r="B172" s="203"/>
      <c r="C172" s="203"/>
      <c r="D172" s="203"/>
      <c r="E172" s="203"/>
      <c r="F172" s="203"/>
      <c r="G172" s="203"/>
      <c r="H172" s="203"/>
      <c r="I172" s="203"/>
      <c r="J172" s="203"/>
      <c r="K172" s="204"/>
      <c r="L172" s="204"/>
      <c r="M172" s="205"/>
      <c r="N172" s="205"/>
      <c r="O172" s="205"/>
      <c r="P172" s="205"/>
      <c r="Q172" s="205"/>
      <c r="R172" s="205"/>
      <c r="S172" s="205"/>
      <c r="DO172" s="208"/>
    </row>
    <row r="173" spans="2:119" ht="15.75" customHeight="1">
      <c r="B173" s="203"/>
      <c r="C173" s="203"/>
      <c r="D173" s="203"/>
      <c r="E173" s="203"/>
      <c r="F173" s="203"/>
      <c r="G173" s="203"/>
      <c r="H173" s="203"/>
      <c r="I173" s="203"/>
      <c r="J173" s="203"/>
      <c r="K173" s="204"/>
      <c r="L173" s="204"/>
      <c r="M173" s="205"/>
      <c r="N173" s="205"/>
      <c r="O173" s="205"/>
      <c r="P173" s="205"/>
      <c r="Q173" s="205"/>
      <c r="R173" s="205"/>
      <c r="S173" s="205"/>
      <c r="DO173" s="208"/>
    </row>
    <row r="174" spans="2:119" ht="15.75" customHeight="1">
      <c r="B174" s="203"/>
      <c r="C174" s="203"/>
      <c r="D174" s="203"/>
      <c r="E174" s="203"/>
      <c r="F174" s="203"/>
      <c r="G174" s="203"/>
      <c r="H174" s="203"/>
      <c r="I174" s="203"/>
      <c r="J174" s="203"/>
      <c r="K174" s="204"/>
      <c r="L174" s="204"/>
      <c r="M174" s="205"/>
      <c r="N174" s="205"/>
      <c r="O174" s="205"/>
      <c r="P174" s="205"/>
      <c r="Q174" s="205"/>
      <c r="R174" s="205"/>
      <c r="S174" s="205"/>
      <c r="DO174" s="208"/>
    </row>
    <row r="175" spans="2:119" ht="15.75" customHeight="1">
      <c r="B175" s="203"/>
      <c r="C175" s="203"/>
      <c r="D175" s="203"/>
      <c r="E175" s="203"/>
      <c r="F175" s="203"/>
      <c r="G175" s="203"/>
      <c r="H175" s="203"/>
      <c r="I175" s="203"/>
      <c r="J175" s="203"/>
      <c r="K175" s="204"/>
      <c r="L175" s="204"/>
      <c r="M175" s="205"/>
      <c r="N175" s="205"/>
      <c r="O175" s="205"/>
      <c r="P175" s="205"/>
      <c r="Q175" s="205"/>
      <c r="R175" s="205"/>
      <c r="S175" s="205"/>
      <c r="DO175" s="208"/>
    </row>
    <row r="176" spans="2:119" ht="15.75" customHeight="1">
      <c r="B176" s="203"/>
      <c r="C176" s="203"/>
      <c r="D176" s="203"/>
      <c r="E176" s="203"/>
      <c r="F176" s="203"/>
      <c r="G176" s="203"/>
      <c r="H176" s="203"/>
      <c r="I176" s="203"/>
      <c r="J176" s="203"/>
      <c r="K176" s="204"/>
      <c r="L176" s="204"/>
      <c r="M176" s="205"/>
      <c r="N176" s="205"/>
      <c r="O176" s="205"/>
      <c r="P176" s="205"/>
      <c r="Q176" s="205"/>
      <c r="R176" s="205"/>
      <c r="S176" s="205"/>
      <c r="DO176" s="208"/>
    </row>
    <row r="177" spans="2:119" ht="15.75" customHeight="1">
      <c r="B177" s="203"/>
      <c r="C177" s="203"/>
      <c r="D177" s="203"/>
      <c r="E177" s="203"/>
      <c r="F177" s="203"/>
      <c r="G177" s="203"/>
      <c r="H177" s="203"/>
      <c r="I177" s="203"/>
      <c r="J177" s="203"/>
      <c r="K177" s="204"/>
      <c r="L177" s="204"/>
      <c r="M177" s="205"/>
      <c r="N177" s="205"/>
      <c r="O177" s="205"/>
      <c r="P177" s="205"/>
      <c r="Q177" s="205"/>
      <c r="R177" s="205"/>
      <c r="S177" s="205"/>
      <c r="DO177" s="208"/>
    </row>
    <row r="178" spans="2:119" ht="15.75" customHeight="1">
      <c r="B178" s="203"/>
      <c r="C178" s="203"/>
      <c r="D178" s="203"/>
      <c r="E178" s="203"/>
      <c r="F178" s="203"/>
      <c r="G178" s="203"/>
      <c r="H178" s="203"/>
      <c r="I178" s="203"/>
      <c r="J178" s="203"/>
      <c r="K178" s="204"/>
      <c r="L178" s="204"/>
      <c r="M178" s="205"/>
      <c r="N178" s="205"/>
      <c r="O178" s="205"/>
      <c r="P178" s="205"/>
      <c r="Q178" s="205"/>
      <c r="R178" s="205"/>
      <c r="S178" s="205"/>
      <c r="DO178" s="208"/>
    </row>
    <row r="179" spans="2:119" ht="15.75" customHeight="1">
      <c r="B179" s="203"/>
      <c r="C179" s="203"/>
      <c r="D179" s="203"/>
      <c r="E179" s="203"/>
      <c r="F179" s="203"/>
      <c r="G179" s="203"/>
      <c r="H179" s="203"/>
      <c r="I179" s="203"/>
      <c r="J179" s="203"/>
      <c r="K179" s="204"/>
      <c r="L179" s="204"/>
      <c r="M179" s="205"/>
      <c r="N179" s="205"/>
      <c r="O179" s="205"/>
      <c r="P179" s="205"/>
      <c r="Q179" s="205"/>
      <c r="R179" s="205"/>
      <c r="S179" s="205"/>
      <c r="DO179" s="208"/>
    </row>
    <row r="180" spans="2:119" ht="15.75" customHeight="1">
      <c r="B180" s="203"/>
      <c r="C180" s="203"/>
      <c r="D180" s="203"/>
      <c r="E180" s="203"/>
      <c r="F180" s="203"/>
      <c r="G180" s="203"/>
      <c r="H180" s="203"/>
      <c r="I180" s="203"/>
      <c r="J180" s="203"/>
      <c r="K180" s="204"/>
      <c r="L180" s="204"/>
      <c r="M180" s="205"/>
      <c r="N180" s="205"/>
      <c r="O180" s="205"/>
      <c r="P180" s="205"/>
      <c r="Q180" s="205"/>
      <c r="R180" s="205"/>
      <c r="S180" s="205"/>
      <c r="DO180" s="208"/>
    </row>
    <row r="181" spans="2:119" ht="15.75" customHeight="1">
      <c r="B181" s="203"/>
      <c r="C181" s="203"/>
      <c r="D181" s="203"/>
      <c r="E181" s="203"/>
      <c r="F181" s="203"/>
      <c r="G181" s="203"/>
      <c r="H181" s="203"/>
      <c r="I181" s="203"/>
      <c r="J181" s="203"/>
      <c r="K181" s="204"/>
      <c r="L181" s="204"/>
      <c r="M181" s="205"/>
      <c r="N181" s="205"/>
      <c r="O181" s="205"/>
      <c r="P181" s="205"/>
      <c r="Q181" s="205"/>
      <c r="R181" s="205"/>
      <c r="S181" s="205"/>
      <c r="DO181" s="208"/>
    </row>
    <row r="182" spans="2:119" ht="15.75" customHeight="1">
      <c r="B182" s="203"/>
      <c r="C182" s="203"/>
      <c r="D182" s="203"/>
      <c r="E182" s="203"/>
      <c r="F182" s="203"/>
      <c r="G182" s="203"/>
      <c r="H182" s="203"/>
      <c r="I182" s="203"/>
      <c r="J182" s="203"/>
      <c r="K182" s="204"/>
      <c r="L182" s="204"/>
      <c r="M182" s="205"/>
      <c r="N182" s="205"/>
      <c r="O182" s="205"/>
      <c r="P182" s="205"/>
      <c r="Q182" s="205"/>
      <c r="R182" s="205"/>
      <c r="S182" s="205"/>
      <c r="DO182" s="208"/>
    </row>
    <row r="183" spans="2:119" ht="15.75" customHeight="1">
      <c r="B183" s="203"/>
      <c r="C183" s="203"/>
      <c r="D183" s="203"/>
      <c r="E183" s="203"/>
      <c r="F183" s="203"/>
      <c r="G183" s="203"/>
      <c r="H183" s="203"/>
      <c r="I183" s="203"/>
      <c r="J183" s="203"/>
      <c r="K183" s="204"/>
      <c r="L183" s="204"/>
      <c r="M183" s="205"/>
      <c r="N183" s="205"/>
      <c r="O183" s="205"/>
      <c r="P183" s="205"/>
      <c r="Q183" s="205"/>
      <c r="R183" s="205"/>
      <c r="S183" s="205"/>
      <c r="DO183" s="208"/>
    </row>
    <row r="184" spans="2:119" ht="15.75" customHeight="1">
      <c r="B184" s="203"/>
      <c r="C184" s="203"/>
      <c r="D184" s="203"/>
      <c r="E184" s="203"/>
      <c r="F184" s="203"/>
      <c r="G184" s="203"/>
      <c r="H184" s="203"/>
      <c r="I184" s="203"/>
      <c r="J184" s="203"/>
      <c r="K184" s="204"/>
      <c r="L184" s="204"/>
      <c r="M184" s="205"/>
      <c r="N184" s="205"/>
      <c r="O184" s="205"/>
      <c r="P184" s="205"/>
      <c r="Q184" s="205"/>
      <c r="R184" s="205"/>
      <c r="S184" s="205"/>
      <c r="DO184" s="208"/>
    </row>
    <row r="185" spans="2:119" ht="15.75" customHeight="1">
      <c r="B185" s="203"/>
      <c r="C185" s="203"/>
      <c r="D185" s="203"/>
      <c r="E185" s="203"/>
      <c r="F185" s="203"/>
      <c r="G185" s="203"/>
      <c r="H185" s="203"/>
      <c r="I185" s="203"/>
      <c r="J185" s="203"/>
      <c r="K185" s="204"/>
      <c r="L185" s="204"/>
      <c r="M185" s="205"/>
      <c r="N185" s="205"/>
      <c r="O185" s="205"/>
      <c r="P185" s="205"/>
      <c r="Q185" s="205"/>
      <c r="R185" s="205"/>
      <c r="S185" s="205"/>
      <c r="DO185" s="208"/>
    </row>
    <row r="186" spans="2:119" ht="15.75" customHeight="1">
      <c r="B186" s="203"/>
      <c r="C186" s="203"/>
      <c r="D186" s="203"/>
      <c r="E186" s="203"/>
      <c r="F186" s="203"/>
      <c r="G186" s="203"/>
      <c r="H186" s="203"/>
      <c r="I186" s="203"/>
      <c r="J186" s="203"/>
      <c r="K186" s="204"/>
      <c r="L186" s="204"/>
      <c r="M186" s="205"/>
      <c r="N186" s="205"/>
      <c r="O186" s="205"/>
      <c r="P186" s="205"/>
      <c r="Q186" s="205"/>
      <c r="R186" s="205"/>
      <c r="S186" s="205"/>
      <c r="DO186" s="208"/>
    </row>
    <row r="187" spans="2:119" ht="15.75" customHeight="1">
      <c r="B187" s="203"/>
      <c r="C187" s="203"/>
      <c r="D187" s="203"/>
      <c r="E187" s="203"/>
      <c r="F187" s="203"/>
      <c r="G187" s="203"/>
      <c r="H187" s="203"/>
      <c r="I187" s="203"/>
      <c r="J187" s="203"/>
      <c r="K187" s="204"/>
      <c r="L187" s="204"/>
      <c r="M187" s="205"/>
      <c r="N187" s="205"/>
      <c r="O187" s="205"/>
      <c r="P187" s="205"/>
      <c r="Q187" s="205"/>
      <c r="R187" s="205"/>
      <c r="S187" s="205"/>
      <c r="DO187" s="208"/>
    </row>
    <row r="188" spans="2:119" ht="15.75" customHeight="1">
      <c r="B188" s="203"/>
      <c r="C188" s="203"/>
      <c r="D188" s="203"/>
      <c r="E188" s="203"/>
      <c r="F188" s="203"/>
      <c r="G188" s="203"/>
      <c r="H188" s="203"/>
      <c r="I188" s="203"/>
      <c r="J188" s="203"/>
      <c r="K188" s="204"/>
      <c r="L188" s="204"/>
      <c r="M188" s="205"/>
      <c r="N188" s="205"/>
      <c r="O188" s="205"/>
      <c r="P188" s="205"/>
      <c r="Q188" s="205"/>
      <c r="R188" s="205"/>
      <c r="S188" s="205"/>
      <c r="DO188" s="208"/>
    </row>
    <row r="189" spans="2:119" ht="15.75" customHeight="1">
      <c r="B189" s="203"/>
      <c r="C189" s="203"/>
      <c r="D189" s="203"/>
      <c r="E189" s="203"/>
      <c r="F189" s="203"/>
      <c r="G189" s="203"/>
      <c r="H189" s="203"/>
      <c r="I189" s="203"/>
      <c r="J189" s="203"/>
      <c r="K189" s="204"/>
      <c r="L189" s="204"/>
      <c r="M189" s="205"/>
      <c r="N189" s="205"/>
      <c r="O189" s="205"/>
      <c r="P189" s="205"/>
      <c r="Q189" s="205"/>
      <c r="R189" s="205"/>
      <c r="S189" s="205"/>
      <c r="DO189" s="208"/>
    </row>
    <row r="190" spans="2:119" ht="15.75" customHeight="1">
      <c r="B190" s="203"/>
      <c r="C190" s="203"/>
      <c r="D190" s="203"/>
      <c r="E190" s="203"/>
      <c r="F190" s="203"/>
      <c r="G190" s="203"/>
      <c r="H190" s="203"/>
      <c r="I190" s="203"/>
      <c r="J190" s="203"/>
      <c r="K190" s="204"/>
      <c r="L190" s="204"/>
      <c r="M190" s="205"/>
      <c r="N190" s="205"/>
      <c r="O190" s="205"/>
      <c r="P190" s="205"/>
      <c r="Q190" s="205"/>
      <c r="R190" s="205"/>
      <c r="S190" s="205"/>
      <c r="DO190" s="208"/>
    </row>
    <row r="191" spans="2:119" ht="15.75" customHeight="1">
      <c r="B191" s="203"/>
      <c r="C191" s="203"/>
      <c r="D191" s="203"/>
      <c r="E191" s="203"/>
      <c r="F191" s="203"/>
      <c r="G191" s="203"/>
      <c r="H191" s="203"/>
      <c r="I191" s="203"/>
      <c r="J191" s="203"/>
      <c r="K191" s="204"/>
      <c r="L191" s="204"/>
      <c r="M191" s="205"/>
      <c r="N191" s="205"/>
      <c r="O191" s="205"/>
      <c r="P191" s="205"/>
      <c r="Q191" s="205"/>
      <c r="R191" s="205"/>
      <c r="S191" s="205"/>
      <c r="DO191" s="208"/>
    </row>
    <row r="192" spans="2:119" ht="15.75" customHeight="1">
      <c r="B192" s="203"/>
      <c r="C192" s="203"/>
      <c r="D192" s="203"/>
      <c r="E192" s="203"/>
      <c r="F192" s="203"/>
      <c r="G192" s="203"/>
      <c r="H192" s="203"/>
      <c r="I192" s="203"/>
      <c r="J192" s="203"/>
      <c r="K192" s="204"/>
      <c r="L192" s="204"/>
      <c r="M192" s="205"/>
      <c r="N192" s="205"/>
      <c r="O192" s="205"/>
      <c r="P192" s="205"/>
      <c r="Q192" s="205"/>
      <c r="R192" s="205"/>
      <c r="S192" s="205"/>
      <c r="DO192" s="208"/>
    </row>
    <row r="193" spans="2:119" ht="15.75" customHeight="1">
      <c r="B193" s="203"/>
      <c r="C193" s="203"/>
      <c r="D193" s="203"/>
      <c r="E193" s="203"/>
      <c r="F193" s="203"/>
      <c r="G193" s="203"/>
      <c r="H193" s="203"/>
      <c r="I193" s="203"/>
      <c r="J193" s="203"/>
      <c r="K193" s="204"/>
      <c r="L193" s="204"/>
      <c r="M193" s="205"/>
      <c r="N193" s="205"/>
      <c r="O193" s="205"/>
      <c r="P193" s="205"/>
      <c r="Q193" s="205"/>
      <c r="R193" s="205"/>
      <c r="S193" s="205"/>
      <c r="DO193" s="208"/>
    </row>
    <row r="194" spans="2:119" ht="15.75" customHeight="1">
      <c r="B194" s="203"/>
      <c r="C194" s="203"/>
      <c r="D194" s="203"/>
      <c r="E194" s="203"/>
      <c r="F194" s="203"/>
      <c r="G194" s="203"/>
      <c r="H194" s="203"/>
      <c r="I194" s="203"/>
      <c r="J194" s="203"/>
      <c r="K194" s="204"/>
      <c r="L194" s="204"/>
      <c r="M194" s="205"/>
      <c r="N194" s="205"/>
      <c r="O194" s="205"/>
      <c r="P194" s="205"/>
      <c r="Q194" s="205"/>
      <c r="R194" s="205"/>
      <c r="S194" s="205"/>
      <c r="DO194" s="208"/>
    </row>
    <row r="195" spans="2:119" ht="15.75" customHeight="1">
      <c r="B195" s="203"/>
      <c r="C195" s="203"/>
      <c r="D195" s="203"/>
      <c r="E195" s="203"/>
      <c r="F195" s="203"/>
      <c r="G195" s="203"/>
      <c r="H195" s="203"/>
      <c r="I195" s="203"/>
      <c r="J195" s="203"/>
      <c r="K195" s="204"/>
      <c r="L195" s="204"/>
      <c r="M195" s="205"/>
      <c r="N195" s="205"/>
      <c r="O195" s="205"/>
      <c r="P195" s="205"/>
      <c r="Q195" s="205"/>
      <c r="R195" s="205"/>
      <c r="S195" s="205"/>
      <c r="DO195" s="208"/>
    </row>
    <row r="196" spans="2:119" ht="15.75" customHeight="1">
      <c r="B196" s="203"/>
      <c r="C196" s="203"/>
      <c r="D196" s="203"/>
      <c r="E196" s="203"/>
      <c r="F196" s="203"/>
      <c r="G196" s="203"/>
      <c r="H196" s="203"/>
      <c r="I196" s="203"/>
      <c r="J196" s="203"/>
      <c r="K196" s="204"/>
      <c r="L196" s="204"/>
      <c r="M196" s="205"/>
      <c r="N196" s="205"/>
      <c r="O196" s="205"/>
      <c r="P196" s="205"/>
      <c r="Q196" s="205"/>
      <c r="R196" s="205"/>
      <c r="S196" s="205"/>
      <c r="DO196" s="208"/>
    </row>
    <row r="197" spans="2:119" ht="15.75" customHeight="1">
      <c r="B197" s="203"/>
      <c r="C197" s="203"/>
      <c r="D197" s="203"/>
      <c r="E197" s="203"/>
      <c r="F197" s="203"/>
      <c r="G197" s="203"/>
      <c r="H197" s="203"/>
      <c r="I197" s="203"/>
      <c r="J197" s="203"/>
      <c r="K197" s="204"/>
      <c r="L197" s="204"/>
      <c r="M197" s="205"/>
      <c r="N197" s="205"/>
      <c r="O197" s="205"/>
      <c r="P197" s="205"/>
      <c r="Q197" s="205"/>
      <c r="R197" s="205"/>
      <c r="S197" s="205"/>
      <c r="DO197" s="208"/>
    </row>
    <row r="198" spans="2:119" ht="15.75" customHeight="1">
      <c r="B198" s="203"/>
      <c r="C198" s="203"/>
      <c r="D198" s="203"/>
      <c r="E198" s="203"/>
      <c r="F198" s="203"/>
      <c r="G198" s="203"/>
      <c r="H198" s="203"/>
      <c r="I198" s="203"/>
      <c r="J198" s="203"/>
      <c r="K198" s="204"/>
      <c r="L198" s="204"/>
      <c r="M198" s="205"/>
      <c r="N198" s="205"/>
      <c r="O198" s="205"/>
      <c r="P198" s="205"/>
      <c r="Q198" s="205"/>
      <c r="R198" s="205"/>
      <c r="S198" s="205"/>
      <c r="DO198" s="208"/>
    </row>
    <row r="199" spans="2:119" ht="15.75" customHeight="1">
      <c r="B199" s="203"/>
      <c r="C199" s="203"/>
      <c r="D199" s="203"/>
      <c r="E199" s="203"/>
      <c r="F199" s="203"/>
      <c r="G199" s="203"/>
      <c r="H199" s="203"/>
      <c r="I199" s="203"/>
      <c r="J199" s="203"/>
      <c r="K199" s="204"/>
      <c r="L199" s="204"/>
      <c r="M199" s="205"/>
      <c r="N199" s="205"/>
      <c r="O199" s="205"/>
      <c r="P199" s="205"/>
      <c r="Q199" s="205"/>
      <c r="R199" s="205"/>
      <c r="S199" s="205"/>
      <c r="DO199" s="208"/>
    </row>
    <row r="200" spans="2:119" ht="15.75" customHeight="1">
      <c r="B200" s="203"/>
      <c r="C200" s="203"/>
      <c r="D200" s="203"/>
      <c r="E200" s="203"/>
      <c r="F200" s="203"/>
      <c r="G200" s="203"/>
      <c r="H200" s="203"/>
      <c r="I200" s="203"/>
      <c r="J200" s="203"/>
      <c r="K200" s="204"/>
      <c r="L200" s="204"/>
      <c r="M200" s="205"/>
      <c r="N200" s="205"/>
      <c r="O200" s="205"/>
      <c r="P200" s="205"/>
      <c r="Q200" s="205"/>
      <c r="R200" s="205"/>
      <c r="S200" s="205"/>
      <c r="DO200" s="208"/>
    </row>
    <row r="201" spans="2:119" ht="15.75" customHeight="1">
      <c r="B201" s="203"/>
      <c r="C201" s="203"/>
      <c r="D201" s="203"/>
      <c r="E201" s="203"/>
      <c r="F201" s="203"/>
      <c r="G201" s="203"/>
      <c r="H201" s="203"/>
      <c r="I201" s="203"/>
      <c r="J201" s="203"/>
      <c r="K201" s="204"/>
      <c r="L201" s="204"/>
      <c r="M201" s="205"/>
      <c r="N201" s="205"/>
      <c r="O201" s="205"/>
      <c r="P201" s="205"/>
      <c r="Q201" s="205"/>
      <c r="R201" s="205"/>
      <c r="S201" s="205"/>
      <c r="DO201" s="208"/>
    </row>
    <row r="202" spans="2:119" ht="15.75" customHeight="1">
      <c r="B202" s="203"/>
      <c r="C202" s="203"/>
      <c r="D202" s="203"/>
      <c r="E202" s="203"/>
      <c r="F202" s="203"/>
      <c r="G202" s="203"/>
      <c r="H202" s="203"/>
      <c r="I202" s="203"/>
      <c r="J202" s="203"/>
      <c r="K202" s="204"/>
      <c r="L202" s="204"/>
      <c r="M202" s="205"/>
      <c r="N202" s="205"/>
      <c r="O202" s="205"/>
      <c r="P202" s="205"/>
      <c r="Q202" s="205"/>
      <c r="R202" s="205"/>
      <c r="S202" s="205"/>
      <c r="DO202" s="208"/>
    </row>
    <row r="203" spans="2:119" ht="15.75" customHeight="1">
      <c r="B203" s="203"/>
      <c r="C203" s="203"/>
      <c r="D203" s="203"/>
      <c r="E203" s="203"/>
      <c r="F203" s="203"/>
      <c r="G203" s="203"/>
      <c r="H203" s="203"/>
      <c r="I203" s="203"/>
      <c r="J203" s="203"/>
      <c r="K203" s="204"/>
      <c r="L203" s="204"/>
      <c r="M203" s="205"/>
      <c r="N203" s="205"/>
      <c r="O203" s="205"/>
      <c r="P203" s="205"/>
      <c r="Q203" s="205"/>
      <c r="R203" s="205"/>
      <c r="S203" s="205"/>
      <c r="DO203" s="208"/>
    </row>
    <row r="204" spans="2:119" ht="15.75" customHeight="1">
      <c r="B204" s="203"/>
      <c r="C204" s="203"/>
      <c r="D204" s="203"/>
      <c r="E204" s="203"/>
      <c r="F204" s="203"/>
      <c r="G204" s="203"/>
      <c r="H204" s="203"/>
      <c r="I204" s="203"/>
      <c r="J204" s="203"/>
      <c r="K204" s="204"/>
      <c r="L204" s="204"/>
      <c r="M204" s="205"/>
      <c r="N204" s="205"/>
      <c r="O204" s="205"/>
      <c r="P204" s="205"/>
      <c r="Q204" s="205"/>
      <c r="R204" s="205"/>
      <c r="S204" s="205"/>
      <c r="DO204" s="208"/>
    </row>
    <row r="205" spans="2:119" ht="15.75" customHeight="1">
      <c r="B205" s="203"/>
      <c r="C205" s="203"/>
      <c r="D205" s="203"/>
      <c r="E205" s="203"/>
      <c r="F205" s="203"/>
      <c r="G205" s="203"/>
      <c r="H205" s="203"/>
      <c r="I205" s="203"/>
      <c r="J205" s="203"/>
      <c r="K205" s="204"/>
      <c r="L205" s="204"/>
      <c r="M205" s="205"/>
      <c r="N205" s="205"/>
      <c r="O205" s="205"/>
      <c r="P205" s="205"/>
      <c r="Q205" s="205"/>
      <c r="R205" s="205"/>
      <c r="S205" s="205"/>
      <c r="DO205" s="208"/>
    </row>
    <row r="206" spans="2:119" ht="15.75" customHeight="1">
      <c r="B206" s="203"/>
      <c r="C206" s="203"/>
      <c r="D206" s="203"/>
      <c r="E206" s="203"/>
      <c r="F206" s="203"/>
      <c r="G206" s="203"/>
      <c r="H206" s="203"/>
      <c r="I206" s="203"/>
      <c r="J206" s="203"/>
      <c r="K206" s="204"/>
      <c r="L206" s="204"/>
      <c r="M206" s="205"/>
      <c r="N206" s="205"/>
      <c r="O206" s="205"/>
      <c r="P206" s="205"/>
      <c r="Q206" s="205"/>
      <c r="R206" s="205"/>
      <c r="S206" s="205"/>
      <c r="DO206" s="208"/>
    </row>
    <row r="207" spans="2:119" ht="15.75" customHeight="1">
      <c r="B207" s="203"/>
      <c r="C207" s="203"/>
      <c r="D207" s="203"/>
      <c r="E207" s="203"/>
      <c r="F207" s="203"/>
      <c r="G207" s="203"/>
      <c r="H207" s="203"/>
      <c r="I207" s="203"/>
      <c r="J207" s="203"/>
      <c r="K207" s="204"/>
      <c r="L207" s="204"/>
      <c r="M207" s="205"/>
      <c r="N207" s="205"/>
      <c r="O207" s="205"/>
      <c r="P207" s="205"/>
      <c r="Q207" s="205"/>
      <c r="R207" s="205"/>
      <c r="S207" s="205"/>
      <c r="DO207" s="208"/>
    </row>
    <row r="208" spans="2:119" ht="15.75" customHeight="1">
      <c r="B208" s="203"/>
      <c r="C208" s="203"/>
      <c r="D208" s="203"/>
      <c r="E208" s="203"/>
      <c r="F208" s="203"/>
      <c r="G208" s="203"/>
      <c r="H208" s="203"/>
      <c r="I208" s="203"/>
      <c r="J208" s="203"/>
      <c r="K208" s="204"/>
      <c r="L208" s="204"/>
      <c r="M208" s="205"/>
      <c r="N208" s="205"/>
      <c r="O208" s="205"/>
      <c r="P208" s="205"/>
      <c r="Q208" s="205"/>
      <c r="R208" s="205"/>
      <c r="S208" s="205"/>
      <c r="DO208" s="208"/>
    </row>
    <row r="209" spans="2:119" ht="15.75" customHeight="1">
      <c r="B209" s="203"/>
      <c r="C209" s="203"/>
      <c r="D209" s="203"/>
      <c r="E209" s="203"/>
      <c r="F209" s="203"/>
      <c r="G209" s="203"/>
      <c r="H209" s="203"/>
      <c r="I209" s="203"/>
      <c r="J209" s="203"/>
      <c r="K209" s="204"/>
      <c r="L209" s="204"/>
      <c r="M209" s="205"/>
      <c r="N209" s="205"/>
      <c r="O209" s="205"/>
      <c r="P209" s="205"/>
      <c r="Q209" s="205"/>
      <c r="R209" s="205"/>
      <c r="S209" s="205"/>
      <c r="DO209" s="208"/>
    </row>
    <row r="210" spans="2:119" ht="15.75" customHeight="1">
      <c r="B210" s="203"/>
      <c r="C210" s="203"/>
      <c r="D210" s="203"/>
      <c r="E210" s="203"/>
      <c r="F210" s="203"/>
      <c r="G210" s="203"/>
      <c r="H210" s="203"/>
      <c r="I210" s="203"/>
      <c r="J210" s="203"/>
      <c r="K210" s="204"/>
      <c r="L210" s="204"/>
      <c r="M210" s="205"/>
      <c r="N210" s="205"/>
      <c r="O210" s="205"/>
      <c r="P210" s="205"/>
      <c r="Q210" s="205"/>
      <c r="R210" s="205"/>
      <c r="S210" s="205"/>
      <c r="DO210" s="208"/>
    </row>
    <row r="211" spans="2:119" ht="15.75" customHeight="1">
      <c r="B211" s="203"/>
      <c r="C211" s="203"/>
      <c r="D211" s="203"/>
      <c r="E211" s="203"/>
      <c r="F211" s="203"/>
      <c r="G211" s="203"/>
      <c r="H211" s="203"/>
      <c r="I211" s="203"/>
      <c r="J211" s="203"/>
      <c r="K211" s="204"/>
      <c r="L211" s="204"/>
      <c r="M211" s="205"/>
      <c r="N211" s="205"/>
      <c r="O211" s="205"/>
      <c r="P211" s="205"/>
      <c r="Q211" s="205"/>
      <c r="R211" s="205"/>
      <c r="S211" s="205"/>
      <c r="DO211" s="208"/>
    </row>
    <row r="212" spans="2:119" ht="15.75" customHeight="1">
      <c r="B212" s="203"/>
      <c r="C212" s="203"/>
      <c r="D212" s="203"/>
      <c r="E212" s="203"/>
      <c r="F212" s="203"/>
      <c r="G212" s="203"/>
      <c r="H212" s="203"/>
      <c r="I212" s="203"/>
      <c r="J212" s="203"/>
      <c r="K212" s="204"/>
      <c r="L212" s="204"/>
      <c r="M212" s="205"/>
      <c r="N212" s="205"/>
      <c r="O212" s="205"/>
      <c r="P212" s="205"/>
      <c r="Q212" s="205"/>
      <c r="R212" s="205"/>
      <c r="S212" s="205"/>
      <c r="DO212" s="208"/>
    </row>
    <row r="213" spans="2:119" ht="15.75" customHeight="1">
      <c r="B213" s="203"/>
      <c r="C213" s="203"/>
      <c r="D213" s="203"/>
      <c r="E213" s="203"/>
      <c r="F213" s="203"/>
      <c r="G213" s="203"/>
      <c r="H213" s="203"/>
      <c r="I213" s="203"/>
      <c r="J213" s="203"/>
      <c r="K213" s="204"/>
      <c r="L213" s="204"/>
      <c r="M213" s="205"/>
      <c r="N213" s="205"/>
      <c r="O213" s="205"/>
      <c r="P213" s="205"/>
      <c r="Q213" s="205"/>
      <c r="R213" s="205"/>
      <c r="S213" s="205"/>
      <c r="DO213" s="208"/>
    </row>
    <row r="214" spans="2:119" ht="15.75" customHeight="1">
      <c r="B214" s="203"/>
      <c r="C214" s="203"/>
      <c r="D214" s="203"/>
      <c r="E214" s="203"/>
      <c r="F214" s="203"/>
      <c r="G214" s="203"/>
      <c r="H214" s="203"/>
      <c r="I214" s="203"/>
      <c r="J214" s="203"/>
      <c r="K214" s="204"/>
      <c r="L214" s="204"/>
      <c r="M214" s="205"/>
      <c r="N214" s="205"/>
      <c r="O214" s="205"/>
      <c r="P214" s="205"/>
      <c r="Q214" s="205"/>
      <c r="R214" s="205"/>
      <c r="S214" s="205"/>
      <c r="DO214" s="208"/>
    </row>
    <row r="215" spans="2:119" ht="15.75" customHeight="1">
      <c r="B215" s="203"/>
      <c r="C215" s="203"/>
      <c r="D215" s="203"/>
      <c r="E215" s="203"/>
      <c r="F215" s="203"/>
      <c r="G215" s="203"/>
      <c r="H215" s="203"/>
      <c r="I215" s="203"/>
      <c r="J215" s="203"/>
      <c r="K215" s="204"/>
      <c r="L215" s="204"/>
      <c r="M215" s="205"/>
      <c r="N215" s="205"/>
      <c r="O215" s="205"/>
      <c r="P215" s="205"/>
      <c r="Q215" s="205"/>
      <c r="R215" s="205"/>
      <c r="S215" s="205"/>
      <c r="DO215" s="208"/>
    </row>
    <row r="216" spans="2:119" ht="15.75" customHeight="1">
      <c r="B216" s="203"/>
      <c r="C216" s="203"/>
      <c r="D216" s="203"/>
      <c r="E216" s="203"/>
      <c r="F216" s="203"/>
      <c r="G216" s="203"/>
      <c r="H216" s="203"/>
      <c r="I216" s="203"/>
      <c r="J216" s="203"/>
      <c r="K216" s="204"/>
      <c r="L216" s="204"/>
      <c r="M216" s="205"/>
      <c r="N216" s="205"/>
      <c r="O216" s="205"/>
      <c r="P216" s="205"/>
      <c r="Q216" s="205"/>
      <c r="R216" s="205"/>
      <c r="S216" s="205"/>
      <c r="DO216" s="208"/>
    </row>
    <row r="217" spans="2:119" ht="15.75" customHeight="1">
      <c r="B217" s="203"/>
      <c r="C217" s="203"/>
      <c r="D217" s="203"/>
      <c r="E217" s="203"/>
      <c r="F217" s="203"/>
      <c r="G217" s="203"/>
      <c r="H217" s="203"/>
      <c r="I217" s="203"/>
      <c r="J217" s="203"/>
      <c r="K217" s="204"/>
      <c r="L217" s="204"/>
      <c r="M217" s="205"/>
      <c r="N217" s="205"/>
      <c r="O217" s="205"/>
      <c r="P217" s="205"/>
      <c r="Q217" s="205"/>
      <c r="R217" s="205"/>
      <c r="S217" s="205"/>
      <c r="DO217" s="208"/>
    </row>
    <row r="218" spans="2:119" ht="15.75" customHeight="1">
      <c r="B218" s="203"/>
      <c r="C218" s="203"/>
      <c r="D218" s="203"/>
      <c r="E218" s="203"/>
      <c r="F218" s="203"/>
      <c r="G218" s="203"/>
      <c r="H218" s="203"/>
      <c r="I218" s="203"/>
      <c r="J218" s="203"/>
      <c r="K218" s="204"/>
      <c r="L218" s="204"/>
      <c r="M218" s="205"/>
      <c r="N218" s="205"/>
      <c r="O218" s="205"/>
      <c r="P218" s="205"/>
      <c r="Q218" s="205"/>
      <c r="R218" s="205"/>
      <c r="S218" s="205"/>
      <c r="DO218" s="208"/>
    </row>
    <row r="219" spans="2:119" ht="15.75" customHeight="1">
      <c r="B219" s="203"/>
      <c r="C219" s="203"/>
      <c r="D219" s="203"/>
      <c r="E219" s="203"/>
      <c r="F219" s="203"/>
      <c r="G219" s="203"/>
      <c r="H219" s="203"/>
      <c r="I219" s="203"/>
      <c r="J219" s="203"/>
      <c r="K219" s="204"/>
      <c r="L219" s="204"/>
      <c r="M219" s="205"/>
      <c r="N219" s="205"/>
      <c r="O219" s="205"/>
      <c r="P219" s="205"/>
      <c r="Q219" s="205"/>
      <c r="R219" s="205"/>
      <c r="S219" s="205"/>
      <c r="DO219" s="208"/>
    </row>
    <row r="220" spans="2:119" ht="15.75" customHeight="1">
      <c r="B220" s="203"/>
      <c r="C220" s="203"/>
      <c r="D220" s="203"/>
      <c r="E220" s="203"/>
      <c r="F220" s="203"/>
      <c r="G220" s="203"/>
      <c r="H220" s="203"/>
      <c r="I220" s="203"/>
      <c r="J220" s="203"/>
      <c r="K220" s="204"/>
      <c r="L220" s="204"/>
      <c r="M220" s="205"/>
      <c r="N220" s="205"/>
      <c r="O220" s="205"/>
      <c r="P220" s="205"/>
      <c r="Q220" s="205"/>
      <c r="R220" s="205"/>
      <c r="S220" s="205"/>
      <c r="DO220" s="208"/>
    </row>
    <row r="221" spans="2:119" ht="15.75" customHeight="1">
      <c r="B221" s="203"/>
      <c r="C221" s="203"/>
      <c r="D221" s="203"/>
      <c r="E221" s="203"/>
      <c r="F221" s="203"/>
      <c r="G221" s="203"/>
      <c r="H221" s="203"/>
      <c r="I221" s="203"/>
      <c r="J221" s="203"/>
      <c r="K221" s="204"/>
      <c r="L221" s="204"/>
      <c r="M221" s="205"/>
      <c r="N221" s="205"/>
      <c r="O221" s="205"/>
      <c r="P221" s="205"/>
      <c r="Q221" s="205"/>
      <c r="R221" s="205"/>
      <c r="S221" s="205"/>
      <c r="DO221" s="208"/>
    </row>
    <row r="222" spans="2:119" ht="15.75" customHeight="1">
      <c r="B222" s="203"/>
      <c r="C222" s="203"/>
      <c r="D222" s="203"/>
      <c r="E222" s="203"/>
      <c r="F222" s="203"/>
      <c r="G222" s="203"/>
      <c r="H222" s="203"/>
      <c r="I222" s="203"/>
      <c r="J222" s="203"/>
      <c r="K222" s="204"/>
      <c r="L222" s="204"/>
      <c r="M222" s="205"/>
      <c r="N222" s="205"/>
      <c r="O222" s="205"/>
      <c r="P222" s="205"/>
      <c r="Q222" s="205"/>
      <c r="R222" s="205"/>
      <c r="S222" s="205"/>
      <c r="DO222" s="208"/>
    </row>
    <row r="223" spans="2:119" ht="15.75" customHeight="1">
      <c r="B223" s="203"/>
      <c r="C223" s="203"/>
      <c r="D223" s="203"/>
      <c r="E223" s="203"/>
      <c r="F223" s="203"/>
      <c r="G223" s="203"/>
      <c r="H223" s="203"/>
      <c r="I223" s="203"/>
      <c r="J223" s="203"/>
      <c r="K223" s="204"/>
      <c r="L223" s="204"/>
      <c r="M223" s="205"/>
      <c r="N223" s="205"/>
      <c r="O223" s="205"/>
      <c r="P223" s="205"/>
      <c r="Q223" s="205"/>
      <c r="R223" s="205"/>
      <c r="S223" s="205"/>
      <c r="DO223" s="208"/>
    </row>
    <row r="224" spans="2:119" ht="15.75" customHeight="1">
      <c r="B224" s="203"/>
      <c r="C224" s="203"/>
      <c r="D224" s="203"/>
      <c r="E224" s="203"/>
      <c r="F224" s="203"/>
      <c r="G224" s="203"/>
      <c r="H224" s="203"/>
      <c r="I224" s="203"/>
      <c r="J224" s="203"/>
      <c r="K224" s="204"/>
      <c r="L224" s="204"/>
      <c r="M224" s="205"/>
      <c r="N224" s="205"/>
      <c r="O224" s="205"/>
      <c r="P224" s="205"/>
      <c r="Q224" s="205"/>
      <c r="R224" s="205"/>
      <c r="S224" s="205"/>
      <c r="DO224" s="208"/>
    </row>
    <row r="225" spans="2:119" ht="15.75" customHeight="1">
      <c r="B225" s="203"/>
      <c r="C225" s="203"/>
      <c r="D225" s="203"/>
      <c r="E225" s="203"/>
      <c r="F225" s="203"/>
      <c r="G225" s="203"/>
      <c r="H225" s="203"/>
      <c r="I225" s="203"/>
      <c r="J225" s="203"/>
      <c r="K225" s="204"/>
      <c r="L225" s="204"/>
      <c r="M225" s="205"/>
      <c r="N225" s="205"/>
      <c r="O225" s="205"/>
      <c r="P225" s="205"/>
      <c r="Q225" s="205"/>
      <c r="R225" s="205"/>
      <c r="S225" s="205"/>
      <c r="DO225" s="208"/>
    </row>
    <row r="226" spans="2:119" ht="15.75" customHeight="1">
      <c r="B226" s="203"/>
      <c r="C226" s="203"/>
      <c r="D226" s="203"/>
      <c r="E226" s="203"/>
      <c r="F226" s="203"/>
      <c r="G226" s="203"/>
      <c r="H226" s="203"/>
      <c r="I226" s="203"/>
      <c r="J226" s="203"/>
      <c r="K226" s="204"/>
      <c r="L226" s="204"/>
      <c r="M226" s="205"/>
      <c r="N226" s="205"/>
      <c r="O226" s="205"/>
      <c r="P226" s="205"/>
      <c r="Q226" s="205"/>
      <c r="R226" s="205"/>
      <c r="S226" s="205"/>
      <c r="DO226" s="208"/>
    </row>
    <row r="227" spans="2:119" ht="15.75" customHeight="1">
      <c r="B227" s="203"/>
      <c r="C227" s="203"/>
      <c r="D227" s="203"/>
      <c r="E227" s="203"/>
      <c r="F227" s="203"/>
      <c r="G227" s="203"/>
      <c r="H227" s="203"/>
      <c r="I227" s="203"/>
      <c r="J227" s="203"/>
      <c r="K227" s="204"/>
      <c r="L227" s="204"/>
      <c r="M227" s="205"/>
      <c r="N227" s="205"/>
      <c r="O227" s="205"/>
      <c r="P227" s="205"/>
      <c r="Q227" s="205"/>
      <c r="R227" s="205"/>
      <c r="S227" s="205"/>
      <c r="DO227" s="208"/>
    </row>
    <row r="228" spans="2:119" ht="15.75" customHeight="1">
      <c r="B228" s="203"/>
      <c r="C228" s="203"/>
      <c r="D228" s="203"/>
      <c r="E228" s="203"/>
      <c r="F228" s="203"/>
      <c r="G228" s="203"/>
      <c r="H228" s="203"/>
      <c r="I228" s="203"/>
      <c r="J228" s="203"/>
      <c r="K228" s="204"/>
      <c r="L228" s="204"/>
      <c r="M228" s="205"/>
      <c r="N228" s="205"/>
      <c r="O228" s="205"/>
      <c r="P228" s="205"/>
      <c r="Q228" s="205"/>
      <c r="R228" s="205"/>
      <c r="S228" s="205"/>
      <c r="DO228" s="208"/>
    </row>
    <row r="229" spans="2:119" ht="15.75" customHeight="1">
      <c r="B229" s="203"/>
      <c r="C229" s="203"/>
      <c r="D229" s="203"/>
      <c r="E229" s="203"/>
      <c r="F229" s="203"/>
      <c r="G229" s="203"/>
      <c r="H229" s="203"/>
      <c r="I229" s="203"/>
      <c r="J229" s="203"/>
      <c r="K229" s="204"/>
      <c r="L229" s="204"/>
      <c r="M229" s="205"/>
      <c r="N229" s="205"/>
      <c r="O229" s="205"/>
      <c r="P229" s="205"/>
      <c r="Q229" s="205"/>
      <c r="R229" s="205"/>
      <c r="S229" s="205"/>
      <c r="DO229" s="208"/>
    </row>
    <row r="230" spans="2:119" ht="15.75" customHeight="1">
      <c r="B230" s="203"/>
      <c r="C230" s="203"/>
      <c r="D230" s="203"/>
      <c r="E230" s="203"/>
      <c r="F230" s="203"/>
      <c r="G230" s="203"/>
      <c r="H230" s="203"/>
      <c r="I230" s="203"/>
      <c r="J230" s="203"/>
      <c r="K230" s="204"/>
      <c r="L230" s="204"/>
      <c r="M230" s="205"/>
      <c r="N230" s="205"/>
      <c r="O230" s="205"/>
      <c r="P230" s="205"/>
      <c r="Q230" s="205"/>
      <c r="R230" s="205"/>
      <c r="S230" s="205"/>
      <c r="DO230" s="208"/>
    </row>
    <row r="231" spans="2:119" ht="15.75" customHeight="1">
      <c r="B231" s="203"/>
      <c r="C231" s="203"/>
      <c r="D231" s="203"/>
      <c r="E231" s="203"/>
      <c r="F231" s="203"/>
      <c r="G231" s="203"/>
      <c r="H231" s="203"/>
      <c r="I231" s="203"/>
      <c r="J231" s="203"/>
      <c r="K231" s="204"/>
      <c r="L231" s="204"/>
      <c r="M231" s="205"/>
      <c r="N231" s="205"/>
      <c r="O231" s="205"/>
      <c r="P231" s="205"/>
      <c r="Q231" s="205"/>
      <c r="R231" s="205"/>
      <c r="S231" s="205"/>
      <c r="DO231" s="208"/>
    </row>
    <row r="232" spans="2:119" ht="15.75" customHeight="1">
      <c r="B232" s="203"/>
      <c r="C232" s="203"/>
      <c r="D232" s="203"/>
      <c r="E232" s="203"/>
      <c r="F232" s="203"/>
      <c r="G232" s="203"/>
      <c r="H232" s="203"/>
      <c r="I232" s="203"/>
      <c r="J232" s="203"/>
      <c r="K232" s="204"/>
      <c r="L232" s="204"/>
      <c r="M232" s="205"/>
      <c r="N232" s="205"/>
      <c r="O232" s="205"/>
      <c r="P232" s="205"/>
      <c r="Q232" s="205"/>
      <c r="R232" s="205"/>
      <c r="S232" s="205"/>
      <c r="DO232" s="208"/>
    </row>
    <row r="233" spans="2:119" ht="15.75" customHeight="1">
      <c r="B233" s="203"/>
      <c r="C233" s="203"/>
      <c r="D233" s="203"/>
      <c r="E233" s="203"/>
      <c r="F233" s="203"/>
      <c r="G233" s="203"/>
      <c r="H233" s="203"/>
      <c r="I233" s="203"/>
      <c r="J233" s="203"/>
      <c r="K233" s="204"/>
      <c r="L233" s="204"/>
      <c r="M233" s="205"/>
      <c r="N233" s="205"/>
      <c r="O233" s="205"/>
      <c r="P233" s="205"/>
      <c r="Q233" s="205"/>
      <c r="R233" s="205"/>
      <c r="S233" s="205"/>
      <c r="DO233" s="208"/>
    </row>
    <row r="234" spans="2:119" ht="15.75" customHeight="1">
      <c r="B234" s="203"/>
      <c r="C234" s="203"/>
      <c r="D234" s="203"/>
      <c r="E234" s="203"/>
      <c r="F234" s="203"/>
      <c r="G234" s="203"/>
      <c r="H234" s="203"/>
      <c r="I234" s="203"/>
      <c r="J234" s="203"/>
      <c r="K234" s="204"/>
      <c r="L234" s="204"/>
      <c r="M234" s="205"/>
      <c r="N234" s="205"/>
      <c r="O234" s="205"/>
      <c r="P234" s="205"/>
      <c r="Q234" s="205"/>
      <c r="R234" s="205"/>
      <c r="S234" s="205"/>
      <c r="DO234" s="208"/>
    </row>
    <row r="235" spans="2:119" ht="15.75" customHeight="1">
      <c r="B235" s="203"/>
      <c r="C235" s="203"/>
      <c r="D235" s="203"/>
      <c r="E235" s="203"/>
      <c r="F235" s="203"/>
      <c r="G235" s="203"/>
      <c r="H235" s="203"/>
      <c r="I235" s="203"/>
      <c r="J235" s="203"/>
      <c r="K235" s="204"/>
      <c r="L235" s="204"/>
      <c r="M235" s="205"/>
      <c r="N235" s="205"/>
      <c r="O235" s="205"/>
      <c r="P235" s="205"/>
      <c r="Q235" s="205"/>
      <c r="R235" s="205"/>
      <c r="S235" s="205"/>
      <c r="DO235" s="208"/>
    </row>
    <row r="236" spans="2:119" ht="15.75" customHeight="1">
      <c r="B236" s="203"/>
      <c r="C236" s="203"/>
      <c r="D236" s="203"/>
      <c r="E236" s="203"/>
      <c r="F236" s="203"/>
      <c r="G236" s="203"/>
      <c r="H236" s="203"/>
      <c r="I236" s="203"/>
      <c r="J236" s="203"/>
      <c r="K236" s="204"/>
      <c r="L236" s="204"/>
      <c r="M236" s="205"/>
      <c r="N236" s="205"/>
      <c r="O236" s="205"/>
      <c r="P236" s="205"/>
      <c r="Q236" s="205"/>
      <c r="R236" s="205"/>
      <c r="S236" s="205"/>
      <c r="DO236" s="208"/>
    </row>
    <row r="237" spans="2:119" ht="15.75" customHeight="1">
      <c r="B237" s="203"/>
      <c r="C237" s="203"/>
      <c r="D237" s="203"/>
      <c r="E237" s="203"/>
      <c r="F237" s="203"/>
      <c r="G237" s="203"/>
      <c r="H237" s="203"/>
      <c r="I237" s="203"/>
      <c r="J237" s="203"/>
      <c r="K237" s="204"/>
      <c r="L237" s="204"/>
      <c r="M237" s="205"/>
      <c r="N237" s="205"/>
      <c r="O237" s="205"/>
      <c r="P237" s="205"/>
      <c r="Q237" s="205"/>
      <c r="R237" s="205"/>
      <c r="S237" s="205"/>
      <c r="DO237" s="208"/>
    </row>
    <row r="238" spans="2:119" ht="15.75" customHeight="1">
      <c r="B238" s="203"/>
      <c r="C238" s="203"/>
      <c r="D238" s="203"/>
      <c r="E238" s="203"/>
      <c r="F238" s="203"/>
      <c r="G238" s="203"/>
      <c r="H238" s="203"/>
      <c r="I238" s="203"/>
      <c r="J238" s="203"/>
      <c r="K238" s="204"/>
      <c r="L238" s="204"/>
      <c r="M238" s="205"/>
      <c r="N238" s="205"/>
      <c r="O238" s="205"/>
      <c r="P238" s="205"/>
      <c r="Q238" s="205"/>
      <c r="R238" s="205"/>
      <c r="S238" s="205"/>
      <c r="DO238" s="208"/>
    </row>
    <row r="239" spans="2:119" ht="15.75" customHeight="1">
      <c r="B239" s="203"/>
      <c r="C239" s="203"/>
      <c r="D239" s="203"/>
      <c r="E239" s="203"/>
      <c r="F239" s="203"/>
      <c r="G239" s="203"/>
      <c r="H239" s="203"/>
      <c r="I239" s="203"/>
      <c r="J239" s="203"/>
      <c r="K239" s="204"/>
      <c r="L239" s="204"/>
      <c r="M239" s="205"/>
      <c r="N239" s="205"/>
      <c r="O239" s="205"/>
      <c r="P239" s="205"/>
      <c r="Q239" s="205"/>
      <c r="R239" s="205"/>
      <c r="S239" s="205"/>
      <c r="DO239" s="208"/>
    </row>
    <row r="240" spans="2:119" ht="15.75" customHeight="1">
      <c r="B240" s="203"/>
      <c r="C240" s="203"/>
      <c r="D240" s="203"/>
      <c r="E240" s="203"/>
      <c r="F240" s="203"/>
      <c r="G240" s="203"/>
      <c r="H240" s="203"/>
      <c r="I240" s="203"/>
      <c r="J240" s="203"/>
      <c r="K240" s="204"/>
      <c r="L240" s="204"/>
      <c r="M240" s="205"/>
      <c r="N240" s="205"/>
      <c r="O240" s="205"/>
      <c r="P240" s="205"/>
      <c r="Q240" s="205"/>
      <c r="R240" s="205"/>
      <c r="S240" s="205"/>
      <c r="DO240" s="208"/>
    </row>
    <row r="241" spans="2:119" ht="15.75" customHeight="1">
      <c r="B241" s="203"/>
      <c r="C241" s="203"/>
      <c r="D241" s="203"/>
      <c r="E241" s="203"/>
      <c r="F241" s="203"/>
      <c r="G241" s="203"/>
      <c r="H241" s="203"/>
      <c r="I241" s="203"/>
      <c r="J241" s="203"/>
      <c r="K241" s="204"/>
      <c r="L241" s="204"/>
      <c r="M241" s="205"/>
      <c r="N241" s="205"/>
      <c r="O241" s="205"/>
      <c r="P241" s="205"/>
      <c r="Q241" s="205"/>
      <c r="R241" s="205"/>
      <c r="S241" s="205"/>
      <c r="DO241" s="208"/>
    </row>
    <row r="242" spans="2:119" ht="15.75" customHeight="1">
      <c r="B242" s="203"/>
      <c r="C242" s="203"/>
      <c r="D242" s="203"/>
      <c r="E242" s="203"/>
      <c r="F242" s="203"/>
      <c r="G242" s="203"/>
      <c r="H242" s="203"/>
      <c r="I242" s="203"/>
      <c r="J242" s="203"/>
      <c r="K242" s="204"/>
      <c r="L242" s="204"/>
      <c r="M242" s="205"/>
      <c r="N242" s="205"/>
      <c r="O242" s="205"/>
      <c r="P242" s="205"/>
      <c r="Q242" s="205"/>
      <c r="R242" s="205"/>
      <c r="S242" s="205"/>
      <c r="DO242" s="208"/>
    </row>
    <row r="243" spans="2:119" ht="15.75" customHeight="1">
      <c r="B243" s="203"/>
      <c r="C243" s="203"/>
      <c r="D243" s="203"/>
      <c r="E243" s="203"/>
      <c r="F243" s="203"/>
      <c r="G243" s="203"/>
      <c r="H243" s="203"/>
      <c r="I243" s="203"/>
      <c r="J243" s="203"/>
      <c r="K243" s="204"/>
      <c r="L243" s="204"/>
      <c r="M243" s="205"/>
      <c r="N243" s="205"/>
      <c r="O243" s="205"/>
      <c r="P243" s="205"/>
      <c r="Q243" s="205"/>
      <c r="R243" s="205"/>
      <c r="S243" s="205"/>
      <c r="DO243" s="208"/>
    </row>
    <row r="244" spans="2:119" ht="15.75" customHeight="1">
      <c r="B244" s="203"/>
      <c r="C244" s="203"/>
      <c r="D244" s="203"/>
      <c r="E244" s="203"/>
      <c r="F244" s="203"/>
      <c r="G244" s="203"/>
      <c r="H244" s="203"/>
      <c r="I244" s="203"/>
      <c r="J244" s="203"/>
      <c r="K244" s="204"/>
      <c r="L244" s="204"/>
      <c r="M244" s="205"/>
      <c r="N244" s="205"/>
      <c r="O244" s="205"/>
      <c r="P244" s="205"/>
      <c r="Q244" s="205"/>
      <c r="R244" s="205"/>
      <c r="S244" s="205"/>
      <c r="DO244" s="208"/>
    </row>
    <row r="245" spans="2:119" ht="15.75" customHeight="1">
      <c r="B245" s="203"/>
      <c r="C245" s="203"/>
      <c r="D245" s="203"/>
      <c r="E245" s="203"/>
      <c r="F245" s="203"/>
      <c r="G245" s="203"/>
      <c r="H245" s="203"/>
      <c r="I245" s="203"/>
      <c r="J245" s="203"/>
      <c r="K245" s="204"/>
      <c r="L245" s="204"/>
      <c r="M245" s="205"/>
      <c r="N245" s="205"/>
      <c r="O245" s="205"/>
      <c r="P245" s="205"/>
      <c r="Q245" s="205"/>
      <c r="R245" s="205"/>
      <c r="S245" s="205"/>
      <c r="DO245" s="208"/>
    </row>
    <row r="246" spans="2:119" ht="15.75" customHeight="1">
      <c r="B246" s="203"/>
      <c r="C246" s="203"/>
      <c r="D246" s="203"/>
      <c r="E246" s="203"/>
      <c r="F246" s="203"/>
      <c r="G246" s="203"/>
      <c r="H246" s="203"/>
      <c r="I246" s="203"/>
      <c r="J246" s="203"/>
      <c r="K246" s="204"/>
      <c r="L246" s="204"/>
      <c r="M246" s="205"/>
      <c r="N246" s="205"/>
      <c r="O246" s="205"/>
      <c r="P246" s="205"/>
      <c r="Q246" s="205"/>
      <c r="R246" s="205"/>
      <c r="S246" s="205"/>
      <c r="DO246" s="208"/>
    </row>
    <row r="247" spans="2:119" ht="15.75" customHeight="1">
      <c r="B247" s="203"/>
      <c r="C247" s="203"/>
      <c r="D247" s="203"/>
      <c r="E247" s="203"/>
      <c r="F247" s="203"/>
      <c r="G247" s="203"/>
      <c r="H247" s="203"/>
      <c r="I247" s="203"/>
      <c r="J247" s="203"/>
      <c r="K247" s="204"/>
      <c r="L247" s="204"/>
      <c r="M247" s="205"/>
      <c r="N247" s="205"/>
      <c r="O247" s="205"/>
      <c r="P247" s="205"/>
      <c r="Q247" s="205"/>
      <c r="R247" s="205"/>
      <c r="S247" s="205"/>
      <c r="DO247" s="208"/>
    </row>
    <row r="248" spans="2:119" ht="15.75" customHeight="1">
      <c r="B248" s="203"/>
      <c r="C248" s="203"/>
      <c r="D248" s="203"/>
      <c r="E248" s="203"/>
      <c r="F248" s="203"/>
      <c r="G248" s="203"/>
      <c r="H248" s="203"/>
      <c r="I248" s="203"/>
      <c r="J248" s="203"/>
      <c r="K248" s="204"/>
      <c r="L248" s="204"/>
      <c r="M248" s="205"/>
      <c r="N248" s="205"/>
      <c r="O248" s="205"/>
      <c r="P248" s="205"/>
      <c r="Q248" s="205"/>
      <c r="R248" s="205"/>
      <c r="S248" s="205"/>
      <c r="DO248" s="208"/>
    </row>
    <row r="249" spans="2:119" ht="15.75" customHeight="1">
      <c r="B249" s="203"/>
      <c r="C249" s="203"/>
      <c r="D249" s="203"/>
      <c r="E249" s="203"/>
      <c r="F249" s="203"/>
      <c r="G249" s="203"/>
      <c r="H249" s="203"/>
      <c r="I249" s="203"/>
      <c r="J249" s="203"/>
      <c r="K249" s="204"/>
      <c r="L249" s="204"/>
      <c r="M249" s="205"/>
      <c r="N249" s="205"/>
      <c r="O249" s="205"/>
      <c r="P249" s="205"/>
      <c r="Q249" s="205"/>
      <c r="R249" s="205"/>
      <c r="S249" s="205"/>
      <c r="DO249" s="208"/>
    </row>
    <row r="250" spans="2:119" ht="15.75" customHeight="1">
      <c r="B250" s="203"/>
      <c r="C250" s="203"/>
      <c r="D250" s="203"/>
      <c r="E250" s="203"/>
      <c r="F250" s="203"/>
      <c r="G250" s="203"/>
      <c r="H250" s="203"/>
      <c r="I250" s="203"/>
      <c r="J250" s="203"/>
      <c r="K250" s="204"/>
      <c r="L250" s="204"/>
      <c r="M250" s="205"/>
      <c r="N250" s="205"/>
      <c r="O250" s="205"/>
      <c r="P250" s="205"/>
      <c r="Q250" s="205"/>
      <c r="R250" s="205"/>
      <c r="S250" s="205"/>
      <c r="DO250" s="208"/>
    </row>
    <row r="251" spans="2:119" ht="15.75" customHeight="1">
      <c r="B251" s="203"/>
      <c r="C251" s="203"/>
      <c r="D251" s="203"/>
      <c r="E251" s="203"/>
      <c r="F251" s="203"/>
      <c r="G251" s="203"/>
      <c r="H251" s="203"/>
      <c r="I251" s="203"/>
      <c r="J251" s="203"/>
      <c r="K251" s="204"/>
      <c r="L251" s="204"/>
      <c r="M251" s="205"/>
      <c r="N251" s="205"/>
      <c r="O251" s="205"/>
      <c r="P251" s="205"/>
      <c r="Q251" s="205"/>
      <c r="R251" s="205"/>
      <c r="S251" s="205"/>
      <c r="DO251" s="208"/>
    </row>
    <row r="252" spans="2:119" ht="15.75" customHeight="1">
      <c r="B252" s="203"/>
      <c r="C252" s="203"/>
      <c r="D252" s="203"/>
      <c r="E252" s="203"/>
      <c r="F252" s="203"/>
      <c r="G252" s="203"/>
      <c r="H252" s="203"/>
      <c r="I252" s="203"/>
      <c r="J252" s="203"/>
      <c r="K252" s="204"/>
      <c r="L252" s="204"/>
      <c r="M252" s="205"/>
      <c r="N252" s="205"/>
      <c r="O252" s="205"/>
      <c r="P252" s="205"/>
      <c r="Q252" s="205"/>
      <c r="R252" s="205"/>
      <c r="S252" s="205"/>
      <c r="DO252" s="208"/>
    </row>
    <row r="253" spans="2:119" ht="15.75" customHeight="1">
      <c r="B253" s="203"/>
      <c r="C253" s="203"/>
      <c r="D253" s="203"/>
      <c r="E253" s="203"/>
      <c r="F253" s="203"/>
      <c r="G253" s="203"/>
      <c r="H253" s="203"/>
      <c r="I253" s="203"/>
      <c r="J253" s="203"/>
      <c r="K253" s="204"/>
      <c r="L253" s="204"/>
      <c r="M253" s="205"/>
      <c r="N253" s="205"/>
      <c r="O253" s="205"/>
      <c r="P253" s="205"/>
      <c r="Q253" s="205"/>
      <c r="R253" s="205"/>
      <c r="S253" s="205"/>
      <c r="DO253" s="208"/>
    </row>
    <row r="254" spans="2:119" ht="15.75" customHeight="1">
      <c r="B254" s="203"/>
      <c r="C254" s="203"/>
      <c r="D254" s="203"/>
      <c r="E254" s="203"/>
      <c r="F254" s="203"/>
      <c r="G254" s="203"/>
      <c r="H254" s="203"/>
      <c r="I254" s="203"/>
      <c r="J254" s="203"/>
      <c r="K254" s="204"/>
      <c r="L254" s="204"/>
      <c r="M254" s="205"/>
      <c r="N254" s="205"/>
      <c r="O254" s="205"/>
      <c r="P254" s="205"/>
      <c r="Q254" s="205"/>
      <c r="R254" s="205"/>
      <c r="S254" s="205"/>
      <c r="DO254" s="208"/>
    </row>
    <row r="255" spans="2:119" ht="15.75" customHeight="1">
      <c r="B255" s="203"/>
      <c r="C255" s="203"/>
      <c r="D255" s="203"/>
      <c r="E255" s="203"/>
      <c r="F255" s="203"/>
      <c r="G255" s="203"/>
      <c r="H255" s="203"/>
      <c r="I255" s="203"/>
      <c r="J255" s="203"/>
      <c r="K255" s="204"/>
      <c r="L255" s="204"/>
      <c r="M255" s="205"/>
      <c r="N255" s="205"/>
      <c r="O255" s="205"/>
      <c r="P255" s="205"/>
      <c r="Q255" s="205"/>
      <c r="R255" s="205"/>
      <c r="S255" s="205"/>
      <c r="DO255" s="208"/>
    </row>
    <row r="256" spans="2:119" ht="15.75" customHeight="1">
      <c r="B256" s="203"/>
      <c r="C256" s="203"/>
      <c r="D256" s="203"/>
      <c r="E256" s="203"/>
      <c r="F256" s="203"/>
      <c r="G256" s="203"/>
      <c r="H256" s="203"/>
      <c r="I256" s="203"/>
      <c r="J256" s="203"/>
      <c r="K256" s="204"/>
      <c r="L256" s="204"/>
      <c r="M256" s="205"/>
      <c r="N256" s="205"/>
      <c r="O256" s="205"/>
      <c r="P256" s="205"/>
      <c r="Q256" s="205"/>
      <c r="R256" s="205"/>
      <c r="S256" s="205"/>
      <c r="DO256" s="208"/>
    </row>
    <row r="257" spans="2:119" ht="15.75" customHeight="1">
      <c r="B257" s="203"/>
      <c r="C257" s="203"/>
      <c r="D257" s="203"/>
      <c r="E257" s="203"/>
      <c r="F257" s="203"/>
      <c r="G257" s="203"/>
      <c r="H257" s="203"/>
      <c r="I257" s="203"/>
      <c r="J257" s="203"/>
      <c r="K257" s="204"/>
      <c r="L257" s="204"/>
      <c r="M257" s="205"/>
      <c r="N257" s="205"/>
      <c r="O257" s="205"/>
      <c r="P257" s="205"/>
      <c r="Q257" s="205"/>
      <c r="R257" s="205"/>
      <c r="S257" s="205"/>
      <c r="DO257" s="208"/>
    </row>
    <row r="258" spans="2:119" ht="15.75" customHeight="1">
      <c r="B258" s="203"/>
      <c r="C258" s="203"/>
      <c r="D258" s="203"/>
      <c r="E258" s="203"/>
      <c r="F258" s="203"/>
      <c r="G258" s="203"/>
      <c r="H258" s="203"/>
      <c r="I258" s="203"/>
      <c r="J258" s="203"/>
      <c r="K258" s="204"/>
      <c r="L258" s="204"/>
      <c r="M258" s="205"/>
      <c r="N258" s="205"/>
      <c r="O258" s="205"/>
      <c r="P258" s="205"/>
      <c r="Q258" s="205"/>
      <c r="R258" s="205"/>
      <c r="S258" s="205"/>
      <c r="DO258" s="208"/>
    </row>
    <row r="259" spans="2:119" ht="15.75" customHeight="1">
      <c r="B259" s="203"/>
      <c r="C259" s="203"/>
      <c r="D259" s="203"/>
      <c r="E259" s="203"/>
      <c r="F259" s="203"/>
      <c r="G259" s="203"/>
      <c r="H259" s="203"/>
      <c r="I259" s="203"/>
      <c r="J259" s="203"/>
      <c r="K259" s="204"/>
      <c r="L259" s="204"/>
      <c r="M259" s="205"/>
      <c r="N259" s="205"/>
      <c r="O259" s="205"/>
      <c r="P259" s="205"/>
      <c r="Q259" s="205"/>
      <c r="R259" s="205"/>
      <c r="S259" s="205"/>
      <c r="DO259" s="208"/>
    </row>
    <row r="260" spans="2:119" ht="15.75" customHeight="1">
      <c r="B260" s="203"/>
      <c r="C260" s="203"/>
      <c r="D260" s="203"/>
      <c r="E260" s="203"/>
      <c r="F260" s="203"/>
      <c r="G260" s="203"/>
      <c r="H260" s="203"/>
      <c r="I260" s="203"/>
      <c r="J260" s="203"/>
      <c r="K260" s="204"/>
      <c r="L260" s="204"/>
      <c r="M260" s="205"/>
      <c r="N260" s="205"/>
      <c r="O260" s="205"/>
      <c r="P260" s="205"/>
      <c r="Q260" s="205"/>
      <c r="R260" s="205"/>
      <c r="S260" s="205"/>
      <c r="DO260" s="208"/>
    </row>
    <row r="261" spans="2:119" ht="15.75" customHeight="1">
      <c r="B261" s="203"/>
      <c r="C261" s="203"/>
      <c r="D261" s="203"/>
      <c r="E261" s="203"/>
      <c r="F261" s="203"/>
      <c r="G261" s="203"/>
      <c r="H261" s="203"/>
      <c r="I261" s="203"/>
      <c r="J261" s="203"/>
      <c r="K261" s="204"/>
      <c r="L261" s="204"/>
      <c r="M261" s="205"/>
      <c r="N261" s="205"/>
      <c r="O261" s="205"/>
      <c r="P261" s="205"/>
      <c r="Q261" s="205"/>
      <c r="R261" s="205"/>
      <c r="S261" s="205"/>
      <c r="DO261" s="208"/>
    </row>
    <row r="262" spans="2:119" ht="15.75" customHeight="1">
      <c r="B262" s="203"/>
      <c r="C262" s="203"/>
      <c r="D262" s="203"/>
      <c r="E262" s="203"/>
      <c r="F262" s="203"/>
      <c r="G262" s="203"/>
      <c r="H262" s="203"/>
      <c r="I262" s="203"/>
      <c r="J262" s="203"/>
      <c r="K262" s="204"/>
      <c r="L262" s="204"/>
      <c r="M262" s="205"/>
      <c r="N262" s="205"/>
      <c r="O262" s="205"/>
      <c r="P262" s="205"/>
      <c r="Q262" s="205"/>
      <c r="R262" s="205"/>
      <c r="S262" s="205"/>
      <c r="DO262" s="208"/>
    </row>
    <row r="263" spans="2:119" ht="15.75" customHeight="1">
      <c r="B263" s="203"/>
      <c r="C263" s="203"/>
      <c r="D263" s="203"/>
      <c r="E263" s="203"/>
      <c r="F263" s="203"/>
      <c r="G263" s="203"/>
      <c r="H263" s="203"/>
      <c r="I263" s="203"/>
      <c r="J263" s="203"/>
      <c r="K263" s="204"/>
      <c r="L263" s="204"/>
      <c r="M263" s="205"/>
      <c r="N263" s="205"/>
      <c r="O263" s="205"/>
      <c r="P263" s="205"/>
      <c r="Q263" s="205"/>
      <c r="R263" s="205"/>
      <c r="S263" s="205"/>
      <c r="DO263" s="208"/>
    </row>
    <row r="264" spans="2:119" ht="15.75" customHeight="1">
      <c r="B264" s="203"/>
      <c r="C264" s="203"/>
      <c r="D264" s="203"/>
      <c r="E264" s="203"/>
      <c r="F264" s="203"/>
      <c r="G264" s="203"/>
      <c r="H264" s="203"/>
      <c r="I264" s="203"/>
      <c r="J264" s="203"/>
      <c r="K264" s="204"/>
      <c r="L264" s="204"/>
      <c r="M264" s="205"/>
      <c r="N264" s="205"/>
      <c r="O264" s="205"/>
      <c r="P264" s="205"/>
      <c r="Q264" s="205"/>
      <c r="R264" s="205"/>
      <c r="S264" s="205"/>
      <c r="DO264" s="208"/>
    </row>
    <row r="265" spans="2:119" ht="15.75" customHeight="1">
      <c r="B265" s="203"/>
      <c r="C265" s="203"/>
      <c r="D265" s="203"/>
      <c r="E265" s="203"/>
      <c r="F265" s="203"/>
      <c r="G265" s="203"/>
      <c r="H265" s="203"/>
      <c r="I265" s="203"/>
      <c r="J265" s="203"/>
      <c r="K265" s="204"/>
      <c r="L265" s="204"/>
      <c r="M265" s="205"/>
      <c r="N265" s="205"/>
      <c r="O265" s="205"/>
      <c r="P265" s="205"/>
      <c r="Q265" s="205"/>
      <c r="R265" s="205"/>
      <c r="S265" s="205"/>
      <c r="DO265" s="208"/>
    </row>
    <row r="266" spans="2:119" ht="15.75" customHeight="1">
      <c r="B266" s="203"/>
      <c r="C266" s="203"/>
      <c r="D266" s="203"/>
      <c r="E266" s="203"/>
      <c r="F266" s="203"/>
      <c r="G266" s="203"/>
      <c r="H266" s="203"/>
      <c r="I266" s="203"/>
      <c r="J266" s="203"/>
      <c r="K266" s="204"/>
      <c r="L266" s="204"/>
      <c r="M266" s="205"/>
      <c r="N266" s="205"/>
      <c r="O266" s="205"/>
      <c r="P266" s="205"/>
      <c r="Q266" s="205"/>
      <c r="R266" s="205"/>
      <c r="S266" s="205"/>
      <c r="DO266" s="208"/>
    </row>
    <row r="267" spans="2:119" ht="15.75" customHeight="1">
      <c r="B267" s="203"/>
      <c r="C267" s="203"/>
      <c r="D267" s="203"/>
      <c r="E267" s="203"/>
      <c r="F267" s="203"/>
      <c r="G267" s="203"/>
      <c r="H267" s="203"/>
      <c r="I267" s="203"/>
      <c r="J267" s="203"/>
      <c r="K267" s="204"/>
      <c r="L267" s="204"/>
      <c r="M267" s="205"/>
      <c r="N267" s="205"/>
      <c r="O267" s="205"/>
      <c r="P267" s="205"/>
      <c r="Q267" s="205"/>
      <c r="R267" s="205"/>
      <c r="S267" s="205"/>
      <c r="DO267" s="208"/>
    </row>
    <row r="268" spans="2:119" ht="15.75" customHeight="1">
      <c r="B268" s="203"/>
      <c r="C268" s="203"/>
      <c r="D268" s="203"/>
      <c r="E268" s="203"/>
      <c r="F268" s="203"/>
      <c r="G268" s="203"/>
      <c r="H268" s="203"/>
      <c r="I268" s="203"/>
      <c r="J268" s="203"/>
      <c r="K268" s="204"/>
      <c r="L268" s="204"/>
      <c r="M268" s="205"/>
      <c r="N268" s="205"/>
      <c r="O268" s="205"/>
      <c r="P268" s="205"/>
      <c r="Q268" s="205"/>
      <c r="R268" s="205"/>
      <c r="S268" s="205"/>
      <c r="DO268" s="208"/>
    </row>
    <row r="269" spans="2:119" ht="15.75" customHeight="1">
      <c r="B269" s="203"/>
      <c r="C269" s="203"/>
      <c r="D269" s="203"/>
      <c r="E269" s="203"/>
      <c r="F269" s="203"/>
      <c r="G269" s="203"/>
      <c r="H269" s="203"/>
      <c r="I269" s="203"/>
      <c r="J269" s="203"/>
      <c r="K269" s="204"/>
      <c r="L269" s="204"/>
      <c r="M269" s="205"/>
      <c r="N269" s="205"/>
      <c r="O269" s="205"/>
      <c r="P269" s="205"/>
      <c r="Q269" s="205"/>
      <c r="R269" s="205"/>
      <c r="S269" s="205"/>
      <c r="DO269" s="208"/>
    </row>
    <row r="270" spans="2:119" ht="15.75" customHeight="1">
      <c r="B270" s="203"/>
      <c r="C270" s="203"/>
      <c r="D270" s="203"/>
      <c r="E270" s="203"/>
      <c r="F270" s="203"/>
      <c r="G270" s="203"/>
      <c r="H270" s="203"/>
      <c r="I270" s="203"/>
      <c r="J270" s="203"/>
      <c r="K270" s="204"/>
      <c r="L270" s="204"/>
      <c r="M270" s="205"/>
      <c r="N270" s="205"/>
      <c r="O270" s="205"/>
      <c r="P270" s="205"/>
      <c r="Q270" s="205"/>
      <c r="R270" s="205"/>
      <c r="S270" s="205"/>
      <c r="DO270" s="208"/>
    </row>
    <row r="271" spans="2:119" ht="15.75" customHeight="1">
      <c r="B271" s="203"/>
      <c r="C271" s="203"/>
      <c r="D271" s="203"/>
      <c r="E271" s="203"/>
      <c r="F271" s="203"/>
      <c r="G271" s="203"/>
      <c r="H271" s="203"/>
      <c r="I271" s="203"/>
      <c r="J271" s="203"/>
      <c r="K271" s="204"/>
      <c r="L271" s="204"/>
      <c r="M271" s="205"/>
      <c r="N271" s="205"/>
      <c r="O271" s="205"/>
      <c r="P271" s="205"/>
      <c r="Q271" s="205"/>
      <c r="R271" s="205"/>
      <c r="S271" s="205"/>
      <c r="DO271" s="208"/>
    </row>
    <row r="272" spans="2:119" ht="15.75" customHeight="1">
      <c r="B272" s="203"/>
      <c r="C272" s="203"/>
      <c r="D272" s="203"/>
      <c r="E272" s="203"/>
      <c r="F272" s="203"/>
      <c r="G272" s="203"/>
      <c r="H272" s="203"/>
      <c r="I272" s="203"/>
      <c r="J272" s="203"/>
      <c r="K272" s="204"/>
      <c r="L272" s="204"/>
      <c r="M272" s="205"/>
      <c r="N272" s="205"/>
      <c r="O272" s="205"/>
      <c r="P272" s="205"/>
      <c r="Q272" s="205"/>
      <c r="R272" s="205"/>
      <c r="S272" s="205"/>
      <c r="DO272" s="208"/>
    </row>
    <row r="273" spans="2:119" ht="15.75" customHeight="1">
      <c r="B273" s="203"/>
      <c r="C273" s="203"/>
      <c r="D273" s="203"/>
      <c r="E273" s="203"/>
      <c r="F273" s="203"/>
      <c r="G273" s="203"/>
      <c r="H273" s="203"/>
      <c r="I273" s="203"/>
      <c r="J273" s="203"/>
      <c r="K273" s="204"/>
      <c r="L273" s="204"/>
      <c r="M273" s="205"/>
      <c r="N273" s="205"/>
      <c r="O273" s="205"/>
      <c r="P273" s="205"/>
      <c r="Q273" s="205"/>
      <c r="R273" s="205"/>
      <c r="S273" s="205"/>
      <c r="DO273" s="208"/>
    </row>
    <row r="274" spans="2:119" ht="15.75" customHeight="1">
      <c r="B274" s="203"/>
      <c r="C274" s="203"/>
      <c r="D274" s="203"/>
      <c r="E274" s="203"/>
      <c r="F274" s="203"/>
      <c r="G274" s="203"/>
      <c r="H274" s="203"/>
      <c r="I274" s="203"/>
      <c r="J274" s="203"/>
      <c r="K274" s="204"/>
      <c r="L274" s="204"/>
      <c r="M274" s="205"/>
      <c r="N274" s="205"/>
      <c r="O274" s="205"/>
      <c r="P274" s="205"/>
      <c r="Q274" s="205"/>
      <c r="R274" s="205"/>
      <c r="S274" s="205"/>
      <c r="DO274" s="208"/>
    </row>
    <row r="275" spans="2:119" ht="15.75" customHeight="1">
      <c r="B275" s="203"/>
      <c r="C275" s="203"/>
      <c r="D275" s="203"/>
      <c r="E275" s="203"/>
      <c r="F275" s="203"/>
      <c r="G275" s="203"/>
      <c r="H275" s="203"/>
      <c r="I275" s="203"/>
      <c r="J275" s="203"/>
      <c r="K275" s="204"/>
      <c r="L275" s="204"/>
      <c r="M275" s="205"/>
      <c r="N275" s="205"/>
      <c r="O275" s="205"/>
      <c r="P275" s="205"/>
      <c r="Q275" s="205"/>
      <c r="R275" s="205"/>
      <c r="S275" s="205"/>
      <c r="DO275" s="208"/>
    </row>
    <row r="276" spans="2:119" ht="15.75" customHeight="1">
      <c r="B276" s="203"/>
      <c r="C276" s="203"/>
      <c r="D276" s="203"/>
      <c r="E276" s="203"/>
      <c r="F276" s="203"/>
      <c r="G276" s="203"/>
      <c r="H276" s="203"/>
      <c r="I276" s="203"/>
      <c r="J276" s="203"/>
      <c r="K276" s="204"/>
      <c r="L276" s="204"/>
      <c r="M276" s="205"/>
      <c r="N276" s="205"/>
      <c r="O276" s="205"/>
      <c r="P276" s="205"/>
      <c r="Q276" s="205"/>
      <c r="R276" s="205"/>
      <c r="S276" s="205"/>
      <c r="DO276" s="208"/>
    </row>
    <row r="277" spans="2:119" ht="15.75" customHeight="1">
      <c r="B277" s="203"/>
      <c r="C277" s="203"/>
      <c r="D277" s="203"/>
      <c r="E277" s="203"/>
      <c r="F277" s="203"/>
      <c r="G277" s="203"/>
      <c r="H277" s="203"/>
      <c r="I277" s="203"/>
      <c r="J277" s="203"/>
      <c r="K277" s="204"/>
      <c r="L277" s="204"/>
      <c r="M277" s="205"/>
      <c r="N277" s="205"/>
      <c r="O277" s="205"/>
      <c r="P277" s="205"/>
      <c r="Q277" s="205"/>
      <c r="R277" s="205"/>
      <c r="S277" s="205"/>
      <c r="DO277" s="208"/>
    </row>
    <row r="278" spans="2:119" ht="15.75" customHeight="1">
      <c r="B278" s="203"/>
      <c r="C278" s="203"/>
      <c r="D278" s="203"/>
      <c r="E278" s="203"/>
      <c r="F278" s="203"/>
      <c r="G278" s="203"/>
      <c r="H278" s="203"/>
      <c r="I278" s="203"/>
      <c r="J278" s="203"/>
      <c r="K278" s="204"/>
      <c r="L278" s="204"/>
      <c r="M278" s="205"/>
      <c r="N278" s="205"/>
      <c r="O278" s="205"/>
      <c r="P278" s="205"/>
      <c r="Q278" s="205"/>
      <c r="R278" s="205"/>
      <c r="S278" s="205"/>
      <c r="DO278" s="208"/>
    </row>
    <row r="279" spans="2:119" ht="15.75" customHeight="1">
      <c r="B279" s="203"/>
      <c r="C279" s="203"/>
      <c r="D279" s="203"/>
      <c r="E279" s="203"/>
      <c r="F279" s="203"/>
      <c r="G279" s="203"/>
      <c r="H279" s="203"/>
      <c r="I279" s="203"/>
      <c r="J279" s="203"/>
      <c r="K279" s="204"/>
      <c r="L279" s="204"/>
      <c r="M279" s="205"/>
      <c r="N279" s="205"/>
      <c r="O279" s="205"/>
      <c r="P279" s="205"/>
      <c r="Q279" s="205"/>
      <c r="R279" s="205"/>
      <c r="S279" s="205"/>
      <c r="DO279" s="208"/>
    </row>
    <row r="280" spans="2:119" ht="15.75" customHeight="1">
      <c r="B280" s="203"/>
      <c r="C280" s="203"/>
      <c r="D280" s="203"/>
      <c r="E280" s="203"/>
      <c r="F280" s="203"/>
      <c r="G280" s="203"/>
      <c r="H280" s="203"/>
      <c r="I280" s="203"/>
      <c r="J280" s="203"/>
      <c r="K280" s="204"/>
      <c r="L280" s="204"/>
      <c r="M280" s="205"/>
      <c r="N280" s="205"/>
      <c r="O280" s="205"/>
      <c r="P280" s="205"/>
      <c r="Q280" s="205"/>
      <c r="R280" s="205"/>
      <c r="S280" s="205"/>
      <c r="DO280" s="208"/>
    </row>
    <row r="281" spans="2:119" ht="15.75" customHeight="1">
      <c r="B281" s="203"/>
      <c r="C281" s="203"/>
      <c r="D281" s="203"/>
      <c r="E281" s="203"/>
      <c r="F281" s="203"/>
      <c r="G281" s="203"/>
      <c r="H281" s="203"/>
      <c r="I281" s="203"/>
      <c r="J281" s="203"/>
      <c r="K281" s="204"/>
      <c r="L281" s="204"/>
      <c r="M281" s="205"/>
      <c r="N281" s="205"/>
      <c r="O281" s="205"/>
      <c r="P281" s="205"/>
      <c r="Q281" s="205"/>
      <c r="R281" s="205"/>
      <c r="S281" s="205"/>
      <c r="DO281" s="208"/>
    </row>
    <row r="282" spans="2:119" ht="15.75" customHeight="1">
      <c r="B282" s="203"/>
      <c r="C282" s="203"/>
      <c r="D282" s="203"/>
      <c r="E282" s="203"/>
      <c r="F282" s="203"/>
      <c r="G282" s="203"/>
      <c r="H282" s="203"/>
      <c r="I282" s="203"/>
      <c r="J282" s="203"/>
      <c r="K282" s="204"/>
      <c r="L282" s="204"/>
      <c r="M282" s="205"/>
      <c r="N282" s="205"/>
      <c r="O282" s="205"/>
      <c r="P282" s="205"/>
      <c r="Q282" s="205"/>
      <c r="R282" s="205"/>
      <c r="S282" s="205"/>
      <c r="DO282" s="208"/>
    </row>
    <row r="283" spans="2:119" ht="15.75" customHeight="1">
      <c r="B283" s="203"/>
      <c r="C283" s="203"/>
      <c r="D283" s="203"/>
      <c r="E283" s="203"/>
      <c r="F283" s="203"/>
      <c r="G283" s="203"/>
      <c r="H283" s="203"/>
      <c r="I283" s="203"/>
      <c r="J283" s="203"/>
      <c r="K283" s="204"/>
      <c r="L283" s="204"/>
      <c r="M283" s="205"/>
      <c r="N283" s="205"/>
      <c r="O283" s="205"/>
      <c r="P283" s="205"/>
      <c r="Q283" s="205"/>
      <c r="R283" s="205"/>
      <c r="S283" s="205"/>
      <c r="DO283" s="208"/>
    </row>
    <row r="284" spans="2:119" ht="15.75" customHeight="1">
      <c r="B284" s="203"/>
      <c r="C284" s="203"/>
      <c r="D284" s="203"/>
      <c r="E284" s="203"/>
      <c r="F284" s="203"/>
      <c r="G284" s="203"/>
      <c r="H284" s="203"/>
      <c r="I284" s="203"/>
      <c r="J284" s="203"/>
      <c r="K284" s="204"/>
      <c r="L284" s="204"/>
      <c r="M284" s="205"/>
      <c r="N284" s="205"/>
      <c r="O284" s="205"/>
      <c r="P284" s="205"/>
      <c r="Q284" s="205"/>
      <c r="R284" s="205"/>
      <c r="S284" s="205"/>
      <c r="DO284" s="208"/>
    </row>
    <row r="285" spans="2:119" ht="15.75" customHeight="1">
      <c r="B285" s="203"/>
      <c r="C285" s="203"/>
      <c r="D285" s="203"/>
      <c r="E285" s="203"/>
      <c r="F285" s="203"/>
      <c r="G285" s="203"/>
      <c r="H285" s="203"/>
      <c r="I285" s="203"/>
      <c r="J285" s="203"/>
      <c r="K285" s="204"/>
      <c r="L285" s="204"/>
      <c r="M285" s="205"/>
      <c r="N285" s="205"/>
      <c r="O285" s="205"/>
      <c r="P285" s="205"/>
      <c r="Q285" s="205"/>
      <c r="R285" s="205"/>
      <c r="S285" s="205"/>
      <c r="DO285" s="208"/>
    </row>
    <row r="286" spans="2:119" ht="15.75" customHeight="1">
      <c r="B286" s="203"/>
      <c r="C286" s="203"/>
      <c r="D286" s="203"/>
      <c r="E286" s="203"/>
      <c r="F286" s="203"/>
      <c r="G286" s="203"/>
      <c r="H286" s="203"/>
      <c r="I286" s="203"/>
      <c r="J286" s="203"/>
      <c r="K286" s="204"/>
      <c r="L286" s="204"/>
      <c r="M286" s="205"/>
      <c r="N286" s="205"/>
      <c r="O286" s="205"/>
      <c r="P286" s="205"/>
      <c r="Q286" s="205"/>
      <c r="R286" s="205"/>
      <c r="S286" s="205"/>
      <c r="DO286" s="208"/>
    </row>
    <row r="287" spans="2:119" ht="15.75" customHeight="1">
      <c r="B287" s="203"/>
      <c r="C287" s="203"/>
      <c r="D287" s="203"/>
      <c r="E287" s="203"/>
      <c r="F287" s="203"/>
      <c r="G287" s="203"/>
      <c r="H287" s="203"/>
      <c r="I287" s="203"/>
      <c r="J287" s="203"/>
      <c r="K287" s="204"/>
      <c r="L287" s="204"/>
      <c r="M287" s="205"/>
      <c r="N287" s="205"/>
      <c r="O287" s="205"/>
      <c r="P287" s="205"/>
      <c r="Q287" s="205"/>
      <c r="R287" s="205"/>
      <c r="S287" s="205"/>
      <c r="DO287" s="208"/>
    </row>
    <row r="288" spans="2:119" ht="15.75" customHeight="1">
      <c r="B288" s="203"/>
      <c r="C288" s="203"/>
      <c r="D288" s="203"/>
      <c r="E288" s="203"/>
      <c r="F288" s="203"/>
      <c r="G288" s="203"/>
      <c r="H288" s="203"/>
      <c r="I288" s="203"/>
      <c r="J288" s="203"/>
      <c r="K288" s="204"/>
      <c r="L288" s="204"/>
      <c r="M288" s="205"/>
      <c r="N288" s="205"/>
      <c r="O288" s="205"/>
      <c r="P288" s="205"/>
      <c r="Q288" s="205"/>
      <c r="R288" s="205"/>
      <c r="S288" s="205"/>
      <c r="DO288" s="208"/>
    </row>
    <row r="289" spans="2:119" ht="15.75" customHeight="1">
      <c r="B289" s="203"/>
      <c r="C289" s="203"/>
      <c r="D289" s="203"/>
      <c r="E289" s="203"/>
      <c r="F289" s="203"/>
      <c r="G289" s="203"/>
      <c r="H289" s="203"/>
      <c r="I289" s="203"/>
      <c r="J289" s="203"/>
      <c r="K289" s="204"/>
      <c r="L289" s="204"/>
      <c r="M289" s="205"/>
      <c r="N289" s="205"/>
      <c r="O289" s="205"/>
      <c r="P289" s="205"/>
      <c r="Q289" s="205"/>
      <c r="R289" s="205"/>
      <c r="S289" s="205"/>
      <c r="DO289" s="208"/>
    </row>
    <row r="290" spans="2:119" ht="15.75" customHeight="1">
      <c r="B290" s="203"/>
      <c r="C290" s="203"/>
      <c r="D290" s="203"/>
      <c r="E290" s="203"/>
      <c r="F290" s="203"/>
      <c r="G290" s="203"/>
      <c r="H290" s="203"/>
      <c r="I290" s="203"/>
      <c r="J290" s="203"/>
      <c r="K290" s="204"/>
      <c r="L290" s="204"/>
      <c r="M290" s="205"/>
      <c r="N290" s="205"/>
      <c r="O290" s="205"/>
      <c r="P290" s="205"/>
      <c r="Q290" s="205"/>
      <c r="R290" s="205"/>
      <c r="S290" s="205"/>
      <c r="DO290" s="208"/>
    </row>
    <row r="291" spans="2:119" ht="15.75" customHeight="1">
      <c r="B291" s="203"/>
      <c r="C291" s="203"/>
      <c r="D291" s="203"/>
      <c r="E291" s="203"/>
      <c r="F291" s="203"/>
      <c r="G291" s="203"/>
      <c r="H291" s="203"/>
      <c r="I291" s="203"/>
      <c r="J291" s="203"/>
      <c r="K291" s="204"/>
      <c r="L291" s="204"/>
      <c r="M291" s="205"/>
      <c r="N291" s="205"/>
      <c r="O291" s="205"/>
      <c r="P291" s="205"/>
      <c r="Q291" s="205"/>
      <c r="R291" s="205"/>
      <c r="S291" s="205"/>
      <c r="DO291" s="208"/>
    </row>
    <row r="292" spans="2:119" ht="15" customHeight="1">
      <c r="B292" s="203"/>
      <c r="C292" s="203"/>
      <c r="D292" s="203"/>
      <c r="E292" s="203"/>
      <c r="F292" s="203"/>
      <c r="G292" s="203"/>
      <c r="H292" s="203"/>
      <c r="I292" s="203"/>
      <c r="J292" s="203"/>
      <c r="K292" s="204"/>
      <c r="L292" s="204"/>
      <c r="M292" s="205"/>
      <c r="N292" s="205"/>
      <c r="O292" s="205"/>
      <c r="P292" s="205"/>
      <c r="Q292" s="205"/>
      <c r="R292" s="205"/>
      <c r="S292" s="205"/>
      <c r="DO292" s="208"/>
    </row>
    <row r="293" spans="2:119" ht="15" customHeight="1">
      <c r="B293" s="203"/>
      <c r="C293" s="203"/>
      <c r="D293" s="203"/>
      <c r="E293" s="203"/>
      <c r="F293" s="203"/>
      <c r="G293" s="203"/>
      <c r="H293" s="203"/>
      <c r="I293" s="203"/>
      <c r="J293" s="203"/>
      <c r="K293" s="204"/>
      <c r="L293" s="204"/>
      <c r="M293" s="205"/>
      <c r="N293" s="205"/>
      <c r="O293" s="205"/>
      <c r="P293" s="205"/>
      <c r="Q293" s="205"/>
      <c r="R293" s="205"/>
      <c r="S293" s="205"/>
      <c r="DO293" s="208"/>
    </row>
    <row r="294" spans="2:119" ht="15" customHeight="1">
      <c r="B294" s="203"/>
      <c r="C294" s="203"/>
      <c r="D294" s="203"/>
      <c r="E294" s="203"/>
      <c r="F294" s="203"/>
      <c r="G294" s="203"/>
      <c r="H294" s="203"/>
      <c r="I294" s="203"/>
      <c r="J294" s="203"/>
      <c r="K294" s="204"/>
      <c r="L294" s="204"/>
      <c r="M294" s="205"/>
      <c r="N294" s="205"/>
      <c r="O294" s="205"/>
      <c r="P294" s="205"/>
      <c r="Q294" s="205"/>
      <c r="R294" s="205"/>
      <c r="S294" s="205"/>
      <c r="DO294" s="208"/>
    </row>
    <row r="295" spans="2:119" ht="15" customHeight="1">
      <c r="B295" s="203"/>
      <c r="C295" s="203"/>
      <c r="D295" s="203"/>
      <c r="E295" s="203"/>
      <c r="F295" s="203"/>
      <c r="G295" s="203"/>
      <c r="H295" s="203"/>
      <c r="I295" s="203"/>
      <c r="J295" s="203"/>
      <c r="K295" s="204"/>
      <c r="L295" s="204"/>
      <c r="M295" s="205"/>
      <c r="N295" s="205"/>
      <c r="O295" s="205"/>
      <c r="P295" s="205"/>
      <c r="Q295" s="205"/>
      <c r="R295" s="205"/>
      <c r="S295" s="205"/>
      <c r="DO295" s="208"/>
    </row>
  </sheetData>
  <mergeCells count="615">
    <mergeCell ref="CN67:CU67"/>
    <mergeCell ref="H67:H68"/>
    <mergeCell ref="CN66:CU66"/>
    <mergeCell ref="CW66:DD66"/>
    <mergeCell ref="CN68:CU68"/>
    <mergeCell ref="CW68:DD68"/>
    <mergeCell ref="DF68:DM68"/>
    <mergeCell ref="B69:C69"/>
    <mergeCell ref="D69:E69"/>
    <mergeCell ref="BD66:BK66"/>
    <mergeCell ref="BM66:BT66"/>
    <mergeCell ref="BV66:CC66"/>
    <mergeCell ref="CE66:CL66"/>
    <mergeCell ref="D67:E68"/>
    <mergeCell ref="F67:F68"/>
    <mergeCell ref="G67:G68"/>
    <mergeCell ref="K66:R66"/>
    <mergeCell ref="T66:AA66"/>
    <mergeCell ref="AC66:AJ66"/>
    <mergeCell ref="AL66:AS66"/>
    <mergeCell ref="B95:C95"/>
    <mergeCell ref="G95:J95"/>
    <mergeCell ref="CW67:DD67"/>
    <mergeCell ref="DF67:DM67"/>
    <mergeCell ref="K68:R68"/>
    <mergeCell ref="T68:AA68"/>
    <mergeCell ref="AC68:AJ68"/>
    <mergeCell ref="AL68:AS68"/>
    <mergeCell ref="BD68:BK68"/>
    <mergeCell ref="BM68:BT68"/>
    <mergeCell ref="BV68:CC68"/>
    <mergeCell ref="CE68:CL68"/>
    <mergeCell ref="AU67:BB67"/>
    <mergeCell ref="BD67:BK67"/>
    <mergeCell ref="BM67:BT67"/>
    <mergeCell ref="BV67:CC67"/>
    <mergeCell ref="CE67:CL67"/>
    <mergeCell ref="I67:I68"/>
    <mergeCell ref="K67:R67"/>
    <mergeCell ref="T67:AA67"/>
    <mergeCell ref="AC67:AJ67"/>
    <mergeCell ref="AL67:AS67"/>
    <mergeCell ref="B67:B68"/>
    <mergeCell ref="C67:C68"/>
    <mergeCell ref="CW64:DD64"/>
    <mergeCell ref="DF64:DM64"/>
    <mergeCell ref="B65:B66"/>
    <mergeCell ref="C65:C66"/>
    <mergeCell ref="D65:E66"/>
    <mergeCell ref="F65:F66"/>
    <mergeCell ref="G65:G66"/>
    <mergeCell ref="H65:H66"/>
    <mergeCell ref="I65:I66"/>
    <mergeCell ref="H63:H64"/>
    <mergeCell ref="I63:I64"/>
    <mergeCell ref="BM65:BT65"/>
    <mergeCell ref="BV65:CC65"/>
    <mergeCell ref="CE65:CL65"/>
    <mergeCell ref="CN65:CU65"/>
    <mergeCell ref="CW65:DD65"/>
    <mergeCell ref="DF65:DM65"/>
    <mergeCell ref="K65:R65"/>
    <mergeCell ref="T65:AA65"/>
    <mergeCell ref="AC65:AJ65"/>
    <mergeCell ref="AL65:AS65"/>
    <mergeCell ref="AU65:BB65"/>
    <mergeCell ref="BD65:BK65"/>
    <mergeCell ref="DF66:DM66"/>
    <mergeCell ref="BV64:CC64"/>
    <mergeCell ref="CE64:CL64"/>
    <mergeCell ref="AU63:BB63"/>
    <mergeCell ref="BD63:BK63"/>
    <mergeCell ref="BM63:BT63"/>
    <mergeCell ref="BV63:CC63"/>
    <mergeCell ref="CE63:CL63"/>
    <mergeCell ref="CN63:CU63"/>
    <mergeCell ref="K63:R63"/>
    <mergeCell ref="T63:AA63"/>
    <mergeCell ref="AC63:AJ63"/>
    <mergeCell ref="AL63:AS63"/>
    <mergeCell ref="CN64:CU64"/>
    <mergeCell ref="BV62:CC62"/>
    <mergeCell ref="CE62:CL62"/>
    <mergeCell ref="CN62:CU62"/>
    <mergeCell ref="CW62:DD62"/>
    <mergeCell ref="DF62:DM62"/>
    <mergeCell ref="B63:B64"/>
    <mergeCell ref="C63:C64"/>
    <mergeCell ref="D63:E64"/>
    <mergeCell ref="F63:F64"/>
    <mergeCell ref="G63:G64"/>
    <mergeCell ref="K62:R62"/>
    <mergeCell ref="T62:AA62"/>
    <mergeCell ref="AC62:AJ62"/>
    <mergeCell ref="AL62:AS62"/>
    <mergeCell ref="BD62:BK62"/>
    <mergeCell ref="BM62:BT62"/>
    <mergeCell ref="CW63:DD63"/>
    <mergeCell ref="DF63:DM63"/>
    <mergeCell ref="K64:R64"/>
    <mergeCell ref="T64:AA64"/>
    <mergeCell ref="AC64:AJ64"/>
    <mergeCell ref="AL64:AS64"/>
    <mergeCell ref="BD64:BK64"/>
    <mergeCell ref="BM64:BT64"/>
    <mergeCell ref="BM61:BT61"/>
    <mergeCell ref="BV61:CC61"/>
    <mergeCell ref="CE61:CL61"/>
    <mergeCell ref="CN61:CU61"/>
    <mergeCell ref="CW61:DD61"/>
    <mergeCell ref="DF61:DM61"/>
    <mergeCell ref="K61:R61"/>
    <mergeCell ref="T61:AA61"/>
    <mergeCell ref="AC61:AJ61"/>
    <mergeCell ref="AL61:AS61"/>
    <mergeCell ref="AU61:BB61"/>
    <mergeCell ref="BD61:BK61"/>
    <mergeCell ref="B61:B62"/>
    <mergeCell ref="C61:C62"/>
    <mergeCell ref="D61:E62"/>
    <mergeCell ref="F61:F62"/>
    <mergeCell ref="G61:G62"/>
    <mergeCell ref="H61:H62"/>
    <mergeCell ref="I61:I62"/>
    <mergeCell ref="H59:H60"/>
    <mergeCell ref="I59:I60"/>
    <mergeCell ref="B59:B60"/>
    <mergeCell ref="C59:C60"/>
    <mergeCell ref="D59:E60"/>
    <mergeCell ref="F59:F60"/>
    <mergeCell ref="G59:G60"/>
    <mergeCell ref="CW59:DD59"/>
    <mergeCell ref="DF59:DM59"/>
    <mergeCell ref="K60:R60"/>
    <mergeCell ref="T60:AA60"/>
    <mergeCell ref="AC60:AJ60"/>
    <mergeCell ref="AL60:AS60"/>
    <mergeCell ref="BD60:BK60"/>
    <mergeCell ref="BM60:BT60"/>
    <mergeCell ref="BV60:CC60"/>
    <mergeCell ref="CE60:CL60"/>
    <mergeCell ref="AU59:BB59"/>
    <mergeCell ref="BD59:BK59"/>
    <mergeCell ref="BM59:BT59"/>
    <mergeCell ref="BV59:CC59"/>
    <mergeCell ref="CE59:CL59"/>
    <mergeCell ref="CN59:CU59"/>
    <mergeCell ref="K59:R59"/>
    <mergeCell ref="T59:AA59"/>
    <mergeCell ref="AC59:AJ59"/>
    <mergeCell ref="AL59:AS59"/>
    <mergeCell ref="CN60:CU60"/>
    <mergeCell ref="CW60:DD60"/>
    <mergeCell ref="DF60:DM60"/>
    <mergeCell ref="DF57:DM57"/>
    <mergeCell ref="K57:R57"/>
    <mergeCell ref="T57:AA57"/>
    <mergeCell ref="AC57:AJ57"/>
    <mergeCell ref="AL57:AS57"/>
    <mergeCell ref="AU57:BB57"/>
    <mergeCell ref="BD57:BK57"/>
    <mergeCell ref="BV58:CC58"/>
    <mergeCell ref="CE58:CL58"/>
    <mergeCell ref="CN58:CU58"/>
    <mergeCell ref="CW58:DD58"/>
    <mergeCell ref="DF58:DM58"/>
    <mergeCell ref="BD58:BK58"/>
    <mergeCell ref="BM58:BT58"/>
    <mergeCell ref="CN55:CU55"/>
    <mergeCell ref="CW55:DD55"/>
    <mergeCell ref="I55:I56"/>
    <mergeCell ref="K55:R55"/>
    <mergeCell ref="T55:AA55"/>
    <mergeCell ref="AC55:AJ55"/>
    <mergeCell ref="AL55:AS55"/>
    <mergeCell ref="AU55:BB55"/>
    <mergeCell ref="BM57:BT57"/>
    <mergeCell ref="BV57:CC57"/>
    <mergeCell ref="CE57:CL57"/>
    <mergeCell ref="CN57:CU57"/>
    <mergeCell ref="CW57:DD57"/>
    <mergeCell ref="B57:B58"/>
    <mergeCell ref="C57:C58"/>
    <mergeCell ref="D57:E58"/>
    <mergeCell ref="F57:F58"/>
    <mergeCell ref="G57:G58"/>
    <mergeCell ref="H57:H58"/>
    <mergeCell ref="I57:I58"/>
    <mergeCell ref="BD55:BK55"/>
    <mergeCell ref="BM55:BT55"/>
    <mergeCell ref="K58:R58"/>
    <mergeCell ref="T58:AA58"/>
    <mergeCell ref="AC58:AJ58"/>
    <mergeCell ref="AL58:AS58"/>
    <mergeCell ref="AC51:AJ51"/>
    <mergeCell ref="AL51:AS51"/>
    <mergeCell ref="AU51:BB51"/>
    <mergeCell ref="CE53:CL53"/>
    <mergeCell ref="CN53:CU53"/>
    <mergeCell ref="CW53:DD53"/>
    <mergeCell ref="DF53:DM53"/>
    <mergeCell ref="B55:B56"/>
    <mergeCell ref="C55:C56"/>
    <mergeCell ref="D55:E56"/>
    <mergeCell ref="F55:F56"/>
    <mergeCell ref="G55:G56"/>
    <mergeCell ref="H55:H56"/>
    <mergeCell ref="AC53:AJ53"/>
    <mergeCell ref="AL53:AS53"/>
    <mergeCell ref="AU53:BB53"/>
    <mergeCell ref="BD53:BK53"/>
    <mergeCell ref="BM53:BT53"/>
    <mergeCell ref="BV53:CC53"/>
    <mergeCell ref="DF55:DM55"/>
    <mergeCell ref="K56:R56"/>
    <mergeCell ref="T56:AA56"/>
    <mergeCell ref="BV55:CC55"/>
    <mergeCell ref="CE55:CL55"/>
    <mergeCell ref="B53:B54"/>
    <mergeCell ref="C53:C54"/>
    <mergeCell ref="D53:E54"/>
    <mergeCell ref="F53:F54"/>
    <mergeCell ref="G53:G54"/>
    <mergeCell ref="H53:H54"/>
    <mergeCell ref="I53:I54"/>
    <mergeCell ref="K53:R53"/>
    <mergeCell ref="T53:AA53"/>
    <mergeCell ref="CW49:DD49"/>
    <mergeCell ref="DF49:DM49"/>
    <mergeCell ref="B51:B52"/>
    <mergeCell ref="C51:C52"/>
    <mergeCell ref="D51:E52"/>
    <mergeCell ref="F51:F52"/>
    <mergeCell ref="G51:G52"/>
    <mergeCell ref="H51:H52"/>
    <mergeCell ref="AC49:AJ49"/>
    <mergeCell ref="AL49:AS49"/>
    <mergeCell ref="AU49:BB49"/>
    <mergeCell ref="BD49:BK49"/>
    <mergeCell ref="BM49:BT49"/>
    <mergeCell ref="BV49:CC49"/>
    <mergeCell ref="DF51:DM51"/>
    <mergeCell ref="BD51:BK51"/>
    <mergeCell ref="BM51:BT51"/>
    <mergeCell ref="BV51:CC51"/>
    <mergeCell ref="CE51:CL51"/>
    <mergeCell ref="CN51:CU51"/>
    <mergeCell ref="CW51:DD51"/>
    <mergeCell ref="I51:I52"/>
    <mergeCell ref="K51:R51"/>
    <mergeCell ref="T51:AA51"/>
    <mergeCell ref="DF47:DM47"/>
    <mergeCell ref="B49:B50"/>
    <mergeCell ref="C49:C50"/>
    <mergeCell ref="D49:E50"/>
    <mergeCell ref="F49:F50"/>
    <mergeCell ref="G49:G50"/>
    <mergeCell ref="H49:H50"/>
    <mergeCell ref="I49:I50"/>
    <mergeCell ref="K49:R49"/>
    <mergeCell ref="T49:AA49"/>
    <mergeCell ref="BD47:BK47"/>
    <mergeCell ref="BM47:BT47"/>
    <mergeCell ref="BV47:CC47"/>
    <mergeCell ref="CE47:CL47"/>
    <mergeCell ref="CN47:CU47"/>
    <mergeCell ref="CW47:DD47"/>
    <mergeCell ref="I47:I48"/>
    <mergeCell ref="K47:R47"/>
    <mergeCell ref="T47:AA47"/>
    <mergeCell ref="AC47:AJ47"/>
    <mergeCell ref="AL47:AS47"/>
    <mergeCell ref="AU47:BB47"/>
    <mergeCell ref="CE49:CL49"/>
    <mergeCell ref="CN49:CU49"/>
    <mergeCell ref="B47:B48"/>
    <mergeCell ref="C47:C48"/>
    <mergeCell ref="D47:E48"/>
    <mergeCell ref="F47:F48"/>
    <mergeCell ref="G47:G48"/>
    <mergeCell ref="H47:H48"/>
    <mergeCell ref="AC45:AJ45"/>
    <mergeCell ref="AL45:AS45"/>
    <mergeCell ref="AU45:BB45"/>
    <mergeCell ref="B45:B46"/>
    <mergeCell ref="C45:C46"/>
    <mergeCell ref="D45:E46"/>
    <mergeCell ref="F45:F46"/>
    <mergeCell ref="G45:G46"/>
    <mergeCell ref="H45:H46"/>
    <mergeCell ref="I45:I46"/>
    <mergeCell ref="K43:R43"/>
    <mergeCell ref="T43:AA43"/>
    <mergeCell ref="AC43:AJ43"/>
    <mergeCell ref="AL43:AS43"/>
    <mergeCell ref="AU43:BB43"/>
    <mergeCell ref="CE45:CL45"/>
    <mergeCell ref="CN45:CU45"/>
    <mergeCell ref="CW45:DD45"/>
    <mergeCell ref="DF45:DM45"/>
    <mergeCell ref="BD45:BK45"/>
    <mergeCell ref="BM45:BT45"/>
    <mergeCell ref="BV45:CC45"/>
    <mergeCell ref="K45:R45"/>
    <mergeCell ref="T45:AA45"/>
    <mergeCell ref="CE41:CL41"/>
    <mergeCell ref="CN41:CU41"/>
    <mergeCell ref="CW41:DD41"/>
    <mergeCell ref="DF41:DM41"/>
    <mergeCell ref="B43:B44"/>
    <mergeCell ref="C43:C44"/>
    <mergeCell ref="D43:E44"/>
    <mergeCell ref="F43:F44"/>
    <mergeCell ref="G43:G44"/>
    <mergeCell ref="H43:H44"/>
    <mergeCell ref="AC41:AJ41"/>
    <mergeCell ref="AL41:AS41"/>
    <mergeCell ref="AU41:BB41"/>
    <mergeCell ref="BD41:BK41"/>
    <mergeCell ref="BM41:BT41"/>
    <mergeCell ref="BV41:CC41"/>
    <mergeCell ref="DF43:DM43"/>
    <mergeCell ref="BD43:BK43"/>
    <mergeCell ref="BM43:BT43"/>
    <mergeCell ref="BV43:CC43"/>
    <mergeCell ref="CE43:CL43"/>
    <mergeCell ref="CN43:CU43"/>
    <mergeCell ref="CW43:DD43"/>
    <mergeCell ref="I43:I44"/>
    <mergeCell ref="DF39:DM39"/>
    <mergeCell ref="B41:B42"/>
    <mergeCell ref="C41:C42"/>
    <mergeCell ref="D41:E42"/>
    <mergeCell ref="F41:F42"/>
    <mergeCell ref="G41:G42"/>
    <mergeCell ref="H41:H42"/>
    <mergeCell ref="I41:I42"/>
    <mergeCell ref="K41:R41"/>
    <mergeCell ref="T41:AA41"/>
    <mergeCell ref="BD39:BK39"/>
    <mergeCell ref="BM39:BT39"/>
    <mergeCell ref="BV39:CC39"/>
    <mergeCell ref="CE39:CL39"/>
    <mergeCell ref="CN39:CU39"/>
    <mergeCell ref="CW39:DD39"/>
    <mergeCell ref="I39:I40"/>
    <mergeCell ref="K39:R39"/>
    <mergeCell ref="T39:AA39"/>
    <mergeCell ref="AC39:AJ39"/>
    <mergeCell ref="AL39:AS39"/>
    <mergeCell ref="AU39:BB39"/>
    <mergeCell ref="B39:B40"/>
    <mergeCell ref="C39:C40"/>
    <mergeCell ref="D39:E40"/>
    <mergeCell ref="F39:F40"/>
    <mergeCell ref="G39:G40"/>
    <mergeCell ref="H39:H40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CN35:CU35"/>
    <mergeCell ref="CW35:DD35"/>
    <mergeCell ref="DF35:DM35"/>
    <mergeCell ref="BD35:BK35"/>
    <mergeCell ref="BM35:BT35"/>
    <mergeCell ref="BV35:CC35"/>
    <mergeCell ref="CE35:CL35"/>
    <mergeCell ref="B37:B38"/>
    <mergeCell ref="C37:C38"/>
    <mergeCell ref="D37:E38"/>
    <mergeCell ref="F37:F38"/>
    <mergeCell ref="G37:G38"/>
    <mergeCell ref="H37:H38"/>
    <mergeCell ref="I37:I38"/>
    <mergeCell ref="AL35:AS35"/>
    <mergeCell ref="AU35:BB35"/>
    <mergeCell ref="BD31:BK31"/>
    <mergeCell ref="BM31:BT31"/>
    <mergeCell ref="DF33:DM33"/>
    <mergeCell ref="B35:B36"/>
    <mergeCell ref="C35:C36"/>
    <mergeCell ref="D35:E36"/>
    <mergeCell ref="F35:F36"/>
    <mergeCell ref="G35:G36"/>
    <mergeCell ref="H35:H36"/>
    <mergeCell ref="I35:I36"/>
    <mergeCell ref="T35:AA35"/>
    <mergeCell ref="AC35:AJ35"/>
    <mergeCell ref="BD33:BK33"/>
    <mergeCell ref="BM33:BT33"/>
    <mergeCell ref="BV33:CC33"/>
    <mergeCell ref="CE33:CL33"/>
    <mergeCell ref="CN33:CU33"/>
    <mergeCell ref="CW33:DD33"/>
    <mergeCell ref="H33:H34"/>
    <mergeCell ref="I33:I34"/>
    <mergeCell ref="T33:AA33"/>
    <mergeCell ref="AC33:AJ33"/>
    <mergeCell ref="AL33:AS33"/>
    <mergeCell ref="AU33:BB33"/>
    <mergeCell ref="B33:B34"/>
    <mergeCell ref="C33:C34"/>
    <mergeCell ref="D33:E34"/>
    <mergeCell ref="F33:F34"/>
    <mergeCell ref="G33:G34"/>
    <mergeCell ref="T31:AA31"/>
    <mergeCell ref="AC31:AJ31"/>
    <mergeCell ref="AL31:AS31"/>
    <mergeCell ref="AU31:BB31"/>
    <mergeCell ref="AC27:AJ27"/>
    <mergeCell ref="AL27:AS27"/>
    <mergeCell ref="AU27:BB27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I31:I32"/>
    <mergeCell ref="AL29:AS29"/>
    <mergeCell ref="AU29:BB29"/>
    <mergeCell ref="BD29:BK29"/>
    <mergeCell ref="BM29:BT29"/>
    <mergeCell ref="BV29:CC29"/>
    <mergeCell ref="CE29:CL29"/>
    <mergeCell ref="BV31:CC31"/>
    <mergeCell ref="CE31:CL31"/>
    <mergeCell ref="CN31:CU31"/>
    <mergeCell ref="CW31:DD31"/>
    <mergeCell ref="DF31:DM31"/>
    <mergeCell ref="B29:B30"/>
    <mergeCell ref="C29:C30"/>
    <mergeCell ref="D29:E30"/>
    <mergeCell ref="F29:F30"/>
    <mergeCell ref="G29:G30"/>
    <mergeCell ref="H29:H30"/>
    <mergeCell ref="I29:I30"/>
    <mergeCell ref="T29:AA29"/>
    <mergeCell ref="AC29:AJ29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21:B22"/>
    <mergeCell ref="C21:C22"/>
    <mergeCell ref="D21:E22"/>
    <mergeCell ref="F21:F22"/>
    <mergeCell ref="G21:G22"/>
    <mergeCell ref="H21:H22"/>
    <mergeCell ref="I21:I22"/>
    <mergeCell ref="K19:R19"/>
    <mergeCell ref="T19:AA19"/>
    <mergeCell ref="AC19:AJ19"/>
    <mergeCell ref="AL19:AS19"/>
    <mergeCell ref="AU19:BB19"/>
    <mergeCell ref="CE21:CL21"/>
    <mergeCell ref="CN21:CU21"/>
    <mergeCell ref="CW21:DD21"/>
    <mergeCell ref="DF21:DM21"/>
    <mergeCell ref="BD21:BK21"/>
    <mergeCell ref="BM21:BT21"/>
    <mergeCell ref="BV21:CC21"/>
    <mergeCell ref="K21:R21"/>
    <mergeCell ref="T21:AA21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CW11:DE13"/>
    <mergeCell ref="I11:I14"/>
    <mergeCell ref="K11:S13"/>
    <mergeCell ref="T11:AB13"/>
    <mergeCell ref="AC11:AK13"/>
    <mergeCell ref="AL11:AT13"/>
    <mergeCell ref="AU11:BC13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K15:R15"/>
    <mergeCell ref="T15:AA15"/>
    <mergeCell ref="AC15:AJ15"/>
    <mergeCell ref="AL15:AS15"/>
    <mergeCell ref="AU15:BB15"/>
    <mergeCell ref="B2:DP3"/>
    <mergeCell ref="B4:E4"/>
    <mergeCell ref="B5:E5"/>
    <mergeCell ref="G5:G8"/>
    <mergeCell ref="B6:E6"/>
    <mergeCell ref="B7:E7"/>
    <mergeCell ref="H7:H8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" footer="0"/>
  <pageSetup paperSize="5" orientation="landscape" r:id="rId1"/>
  <headerFooter>
    <oddFooter>&amp;RF-PEM-07-00  DIF Guadalajara Pág. &amp;P de</oddFooter>
  </headerFooter>
  <rowBreaks count="2" manualBreakCount="2">
    <brk id="60" man="1"/>
    <brk id="28" man="1"/>
  </rowBreaks>
  <colBreaks count="1" manualBreakCount="1">
    <brk id="12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Q1000"/>
  <sheetViews>
    <sheetView topLeftCell="H1" zoomScale="17" zoomScaleNormal="17" workbookViewId="0">
      <selection activeCell="BF35" sqref="BF35"/>
    </sheetView>
  </sheetViews>
  <sheetFormatPr baseColWidth="10" defaultColWidth="14.42578125" defaultRowHeight="15" customHeight="1"/>
  <cols>
    <col min="1" max="1" width="10.7109375" style="77" customWidth="1"/>
    <col min="2" max="2" width="159.28515625" style="77" customWidth="1"/>
    <col min="3" max="3" width="90.28515625" style="77" customWidth="1"/>
    <col min="4" max="4" width="90.42578125" style="122" customWidth="1"/>
    <col min="5" max="5" width="3" style="77" customWidth="1"/>
    <col min="6" max="10" width="80.5703125" style="77" customWidth="1"/>
    <col min="11" max="55" width="30.5703125" style="77" hidden="1" customWidth="1"/>
    <col min="56" max="64" width="30.5703125" style="77" customWidth="1"/>
    <col min="65" max="118" width="30.5703125" style="77" hidden="1" customWidth="1"/>
    <col min="119" max="119" width="60" style="77" customWidth="1"/>
    <col min="120" max="120" width="89.28515625" style="77" customWidth="1"/>
    <col min="121" max="121" width="100.42578125" style="77" customWidth="1"/>
    <col min="122" max="16384" width="14.42578125" style="77"/>
  </cols>
  <sheetData>
    <row r="1" spans="2:121" ht="14.25">
      <c r="B1" s="596" t="s">
        <v>151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7"/>
      <c r="AI1" s="597"/>
      <c r="AJ1" s="597"/>
      <c r="AK1" s="597"/>
      <c r="AL1" s="597"/>
      <c r="AM1" s="597"/>
      <c r="AN1" s="597"/>
      <c r="AO1" s="597"/>
      <c r="AP1" s="597"/>
      <c r="AQ1" s="597"/>
      <c r="AR1" s="597"/>
      <c r="AS1" s="597"/>
      <c r="AT1" s="597"/>
      <c r="AU1" s="597"/>
      <c r="AV1" s="597"/>
      <c r="AW1" s="597"/>
      <c r="AX1" s="597"/>
      <c r="AY1" s="597"/>
      <c r="AZ1" s="597"/>
      <c r="BA1" s="597"/>
      <c r="BB1" s="597"/>
      <c r="BC1" s="597"/>
      <c r="BD1" s="597"/>
      <c r="BE1" s="597"/>
      <c r="BF1" s="597"/>
      <c r="BG1" s="597"/>
      <c r="BH1" s="597"/>
      <c r="BI1" s="597"/>
      <c r="BJ1" s="597"/>
      <c r="BK1" s="597"/>
      <c r="BL1" s="597"/>
      <c r="BM1" s="597"/>
      <c r="BN1" s="597"/>
      <c r="BO1" s="597"/>
      <c r="BP1" s="597"/>
      <c r="BQ1" s="597"/>
      <c r="BR1" s="597"/>
      <c r="BS1" s="597"/>
      <c r="BT1" s="597"/>
      <c r="BU1" s="597"/>
      <c r="BV1" s="597"/>
      <c r="BW1" s="597"/>
      <c r="BX1" s="597"/>
      <c r="BY1" s="597"/>
      <c r="BZ1" s="597"/>
      <c r="CA1" s="597"/>
      <c r="CB1" s="597"/>
      <c r="CC1" s="597"/>
      <c r="CD1" s="597"/>
      <c r="CE1" s="597"/>
      <c r="CF1" s="597"/>
      <c r="CG1" s="597"/>
      <c r="CH1" s="597"/>
      <c r="CI1" s="597"/>
      <c r="CJ1" s="597"/>
      <c r="CK1" s="597"/>
      <c r="CL1" s="597"/>
      <c r="CM1" s="597"/>
      <c r="CN1" s="597"/>
      <c r="CO1" s="597"/>
      <c r="CP1" s="597"/>
      <c r="CQ1" s="597"/>
      <c r="CR1" s="597"/>
      <c r="CS1" s="597"/>
      <c r="CT1" s="597"/>
      <c r="CU1" s="597"/>
      <c r="CV1" s="597"/>
      <c r="CW1" s="597"/>
      <c r="CX1" s="597"/>
      <c r="CY1" s="597"/>
      <c r="CZ1" s="597"/>
      <c r="DA1" s="597"/>
      <c r="DB1" s="597"/>
      <c r="DC1" s="597"/>
      <c r="DD1" s="597"/>
      <c r="DE1" s="597"/>
      <c r="DF1" s="597"/>
      <c r="DG1" s="597"/>
      <c r="DH1" s="597"/>
      <c r="DI1" s="597"/>
      <c r="DJ1" s="597"/>
      <c r="DK1" s="597"/>
      <c r="DL1" s="597"/>
      <c r="DM1" s="597"/>
      <c r="DN1" s="597"/>
      <c r="DO1" s="597"/>
      <c r="DP1" s="597"/>
    </row>
    <row r="2" spans="2:121" ht="102.75" customHeight="1"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  <c r="AL2" s="597"/>
      <c r="AM2" s="597"/>
      <c r="AN2" s="597"/>
      <c r="AO2" s="597"/>
      <c r="AP2" s="597"/>
      <c r="AQ2" s="597"/>
      <c r="AR2" s="597"/>
      <c r="AS2" s="597"/>
      <c r="AT2" s="597"/>
      <c r="AU2" s="597"/>
      <c r="AV2" s="597"/>
      <c r="AW2" s="597"/>
      <c r="AX2" s="597"/>
      <c r="AY2" s="597"/>
      <c r="AZ2" s="597"/>
      <c r="BA2" s="597"/>
      <c r="BB2" s="597"/>
      <c r="BC2" s="597"/>
      <c r="BD2" s="597"/>
      <c r="BE2" s="597"/>
      <c r="BF2" s="597"/>
      <c r="BG2" s="597"/>
      <c r="BH2" s="597"/>
      <c r="BI2" s="597"/>
      <c r="BJ2" s="597"/>
      <c r="BK2" s="597"/>
      <c r="BL2" s="597"/>
      <c r="BM2" s="597"/>
      <c r="BN2" s="597"/>
      <c r="BO2" s="597"/>
      <c r="BP2" s="597"/>
      <c r="BQ2" s="597"/>
      <c r="BR2" s="597"/>
      <c r="BS2" s="597"/>
      <c r="BT2" s="597"/>
      <c r="BU2" s="597"/>
      <c r="BV2" s="597"/>
      <c r="BW2" s="597"/>
      <c r="BX2" s="597"/>
      <c r="BY2" s="597"/>
      <c r="BZ2" s="597"/>
      <c r="CA2" s="597"/>
      <c r="CB2" s="597"/>
      <c r="CC2" s="597"/>
      <c r="CD2" s="597"/>
      <c r="CE2" s="597"/>
      <c r="CF2" s="597"/>
      <c r="CG2" s="597"/>
      <c r="CH2" s="597"/>
      <c r="CI2" s="597"/>
      <c r="CJ2" s="597"/>
      <c r="CK2" s="597"/>
      <c r="CL2" s="597"/>
      <c r="CM2" s="597"/>
      <c r="CN2" s="597"/>
      <c r="CO2" s="597"/>
      <c r="CP2" s="597"/>
      <c r="CQ2" s="597"/>
      <c r="CR2" s="597"/>
      <c r="CS2" s="597"/>
      <c r="CT2" s="597"/>
      <c r="CU2" s="597"/>
      <c r="CV2" s="597"/>
      <c r="CW2" s="597"/>
      <c r="CX2" s="597"/>
      <c r="CY2" s="597"/>
      <c r="CZ2" s="597"/>
      <c r="DA2" s="597"/>
      <c r="DB2" s="597"/>
      <c r="DC2" s="597"/>
      <c r="DD2" s="597"/>
      <c r="DE2" s="597"/>
      <c r="DF2" s="597"/>
      <c r="DG2" s="597"/>
      <c r="DH2" s="597"/>
      <c r="DI2" s="597"/>
      <c r="DJ2" s="597"/>
      <c r="DK2" s="597"/>
      <c r="DL2" s="597"/>
      <c r="DM2" s="597"/>
      <c r="DN2" s="597"/>
      <c r="DO2" s="597"/>
      <c r="DP2" s="597"/>
    </row>
    <row r="3" spans="2:121" ht="135.75" customHeight="1">
      <c r="B3" s="598" t="s">
        <v>152</v>
      </c>
      <c r="C3" s="599"/>
      <c r="D3" s="599"/>
      <c r="E3" s="599"/>
      <c r="F3" s="78"/>
      <c r="G3" s="79"/>
      <c r="H3" s="79"/>
      <c r="I3" s="79"/>
      <c r="J3" s="79"/>
      <c r="K3" s="80"/>
      <c r="L3" s="80"/>
      <c r="M3" s="81"/>
      <c r="N3" s="81"/>
      <c r="O3" s="81"/>
      <c r="P3" s="81"/>
      <c r="Q3" s="81"/>
      <c r="R3" s="81"/>
      <c r="S3" s="81"/>
    </row>
    <row r="4" spans="2:121" ht="112.5" customHeight="1">
      <c r="B4" s="600" t="s">
        <v>30</v>
      </c>
      <c r="C4" s="601"/>
      <c r="D4" s="601"/>
      <c r="E4" s="601"/>
      <c r="F4" s="82"/>
      <c r="G4" s="602" t="s">
        <v>23</v>
      </c>
      <c r="H4" s="604" t="s">
        <v>26</v>
      </c>
      <c r="I4" s="79"/>
      <c r="J4" s="83"/>
      <c r="K4" s="84"/>
      <c r="L4" s="84"/>
      <c r="M4" s="81"/>
      <c r="N4" s="81"/>
      <c r="O4" s="81"/>
      <c r="P4" s="85"/>
      <c r="Q4" s="85"/>
      <c r="R4" s="85"/>
      <c r="S4" s="85"/>
      <c r="T4" s="86"/>
      <c r="U4" s="86"/>
    </row>
    <row r="5" spans="2:121" ht="120.75" customHeight="1">
      <c r="B5" s="606" t="s">
        <v>18</v>
      </c>
      <c r="C5" s="607"/>
      <c r="D5" s="607"/>
      <c r="E5" s="607"/>
      <c r="F5" s="78"/>
      <c r="G5" s="603"/>
      <c r="H5" s="605"/>
      <c r="I5" s="79"/>
      <c r="J5" s="84"/>
      <c r="K5" s="80"/>
      <c r="L5" s="80"/>
      <c r="M5" s="81"/>
      <c r="N5" s="81"/>
      <c r="O5" s="81"/>
      <c r="P5" s="85"/>
      <c r="Q5" s="85"/>
      <c r="R5" s="85"/>
      <c r="S5" s="85"/>
      <c r="T5" s="87"/>
      <c r="U5" s="87"/>
    </row>
    <row r="6" spans="2:121" ht="93.75" customHeight="1">
      <c r="B6" s="600" t="s">
        <v>31</v>
      </c>
      <c r="C6" s="601"/>
      <c r="D6" s="601"/>
      <c r="E6" s="601"/>
      <c r="F6" s="82"/>
      <c r="G6" s="79"/>
      <c r="H6" s="79"/>
      <c r="I6" s="79"/>
      <c r="J6" s="79"/>
      <c r="K6" s="80"/>
      <c r="L6" s="80"/>
      <c r="M6" s="81"/>
      <c r="N6" s="81"/>
      <c r="O6" s="81"/>
      <c r="P6" s="85"/>
      <c r="Q6" s="85"/>
      <c r="R6" s="85"/>
      <c r="S6" s="85"/>
      <c r="T6" s="86"/>
      <c r="U6" s="86"/>
    </row>
    <row r="7" spans="2:121" ht="98.25" customHeight="1">
      <c r="B7" s="606" t="s">
        <v>32</v>
      </c>
      <c r="C7" s="607"/>
      <c r="D7" s="607"/>
      <c r="E7" s="607"/>
      <c r="F7" s="78"/>
      <c r="G7" s="79"/>
      <c r="H7" s="79"/>
      <c r="I7" s="79"/>
      <c r="J7" s="79"/>
      <c r="K7" s="80"/>
      <c r="L7" s="80"/>
      <c r="M7" s="81"/>
      <c r="N7" s="81"/>
      <c r="O7" s="81"/>
      <c r="P7" s="85"/>
      <c r="Q7" s="85"/>
      <c r="R7" s="85"/>
      <c r="S7" s="85"/>
      <c r="T7" s="86"/>
      <c r="U7" s="86"/>
    </row>
    <row r="8" spans="2:121" ht="150" customHeight="1">
      <c r="B8" s="600" t="s">
        <v>33</v>
      </c>
      <c r="C8" s="601"/>
      <c r="D8" s="601"/>
      <c r="E8" s="601"/>
      <c r="F8" s="82"/>
      <c r="G8" s="79"/>
      <c r="H8" s="79"/>
      <c r="I8" s="79"/>
      <c r="J8" s="79"/>
      <c r="K8" s="608" t="s">
        <v>96</v>
      </c>
      <c r="L8" s="609"/>
      <c r="M8" s="609"/>
      <c r="N8" s="609"/>
      <c r="O8" s="609"/>
      <c r="P8" s="609"/>
      <c r="Q8" s="609"/>
      <c r="R8" s="609"/>
      <c r="S8" s="609"/>
      <c r="T8" s="609"/>
      <c r="U8" s="609"/>
      <c r="V8" s="609"/>
      <c r="W8" s="609"/>
      <c r="X8" s="609"/>
      <c r="Y8" s="609"/>
      <c r="Z8" s="609"/>
      <c r="AA8" s="609"/>
      <c r="AB8" s="609"/>
      <c r="AC8" s="609"/>
      <c r="AD8" s="609"/>
      <c r="AE8" s="609"/>
      <c r="AF8" s="609"/>
      <c r="AG8" s="609"/>
      <c r="AH8" s="609"/>
      <c r="AI8" s="609"/>
      <c r="AJ8" s="609"/>
      <c r="AK8" s="609"/>
      <c r="AL8" s="609"/>
      <c r="AM8" s="609"/>
      <c r="AN8" s="609"/>
      <c r="AO8" s="609"/>
      <c r="AP8" s="609"/>
      <c r="AQ8" s="609"/>
      <c r="AR8" s="609"/>
      <c r="AS8" s="609"/>
      <c r="AT8" s="609"/>
      <c r="AU8" s="609"/>
      <c r="AV8" s="609"/>
      <c r="AW8" s="609"/>
      <c r="AX8" s="609"/>
      <c r="AY8" s="609"/>
      <c r="AZ8" s="609"/>
      <c r="BA8" s="609"/>
      <c r="BB8" s="609"/>
      <c r="BC8" s="609"/>
      <c r="BD8" s="609"/>
      <c r="BE8" s="609"/>
      <c r="BF8" s="609"/>
      <c r="BG8" s="609"/>
      <c r="BH8" s="609"/>
      <c r="BI8" s="609"/>
      <c r="BJ8" s="609"/>
      <c r="BK8" s="609"/>
      <c r="BL8" s="609"/>
      <c r="BM8" s="609"/>
      <c r="BN8" s="609"/>
      <c r="BO8" s="609"/>
      <c r="BP8" s="609"/>
      <c r="BQ8" s="609"/>
      <c r="BR8" s="609"/>
      <c r="BS8" s="609"/>
      <c r="BT8" s="609"/>
      <c r="BU8" s="609"/>
      <c r="BV8" s="609"/>
      <c r="BW8" s="609"/>
      <c r="BX8" s="609"/>
      <c r="BY8" s="609"/>
      <c r="BZ8" s="609"/>
      <c r="CA8" s="609"/>
      <c r="CB8" s="609"/>
      <c r="CC8" s="609"/>
      <c r="CD8" s="609"/>
      <c r="CE8" s="609"/>
      <c r="CF8" s="609"/>
      <c r="CG8" s="609"/>
      <c r="CH8" s="609"/>
      <c r="CI8" s="609"/>
      <c r="CJ8" s="609"/>
      <c r="CK8" s="609"/>
      <c r="CL8" s="609"/>
      <c r="CM8" s="609"/>
      <c r="CN8" s="609"/>
      <c r="CO8" s="609"/>
      <c r="CP8" s="609"/>
      <c r="CQ8" s="609"/>
      <c r="CR8" s="609"/>
      <c r="CS8" s="609"/>
      <c r="CT8" s="609"/>
      <c r="CU8" s="609"/>
      <c r="CV8" s="609"/>
      <c r="CW8" s="609"/>
      <c r="CX8" s="609"/>
      <c r="CY8" s="609"/>
      <c r="CZ8" s="609"/>
      <c r="DA8" s="609"/>
      <c r="DB8" s="609"/>
      <c r="DC8" s="609"/>
      <c r="DD8" s="609"/>
      <c r="DE8" s="609"/>
      <c r="DF8" s="609"/>
      <c r="DG8" s="609"/>
      <c r="DH8" s="609"/>
      <c r="DI8" s="609"/>
      <c r="DJ8" s="609"/>
      <c r="DK8" s="609"/>
      <c r="DL8" s="609"/>
      <c r="DM8" s="609"/>
      <c r="DN8" s="609"/>
      <c r="DO8" s="609"/>
      <c r="DP8" s="609"/>
    </row>
    <row r="9" spans="2:121" ht="115.5" customHeight="1">
      <c r="B9" s="326" t="s">
        <v>35</v>
      </c>
      <c r="C9" s="326" t="s">
        <v>36</v>
      </c>
      <c r="D9" s="328" t="s">
        <v>37</v>
      </c>
      <c r="E9" s="329"/>
      <c r="F9" s="326" t="s">
        <v>38</v>
      </c>
      <c r="G9" s="326" t="s">
        <v>39</v>
      </c>
      <c r="H9" s="334" t="s">
        <v>40</v>
      </c>
      <c r="I9" s="335"/>
      <c r="J9" s="326" t="s">
        <v>41</v>
      </c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  <c r="BI9" s="591"/>
      <c r="BJ9" s="591"/>
      <c r="BK9" s="591"/>
      <c r="BL9" s="591"/>
      <c r="BM9" s="591"/>
      <c r="BN9" s="591"/>
      <c r="BO9" s="591"/>
      <c r="BP9" s="591"/>
      <c r="BQ9" s="591"/>
      <c r="BR9" s="591"/>
      <c r="BS9" s="591"/>
      <c r="BT9" s="591"/>
      <c r="BU9" s="591"/>
      <c r="BV9" s="591"/>
      <c r="BW9" s="591"/>
      <c r="BX9" s="591"/>
      <c r="BY9" s="591"/>
      <c r="BZ9" s="591"/>
      <c r="CA9" s="591"/>
      <c r="CB9" s="591"/>
      <c r="CC9" s="591"/>
      <c r="CD9" s="591"/>
      <c r="CE9" s="591"/>
      <c r="CF9" s="591"/>
      <c r="CG9" s="591"/>
      <c r="CH9" s="591"/>
      <c r="CI9" s="591"/>
      <c r="CJ9" s="591"/>
      <c r="CK9" s="591"/>
      <c r="CL9" s="591"/>
      <c r="CM9" s="591"/>
      <c r="CN9" s="591"/>
      <c r="CO9" s="591"/>
      <c r="CP9" s="591"/>
      <c r="CQ9" s="591"/>
      <c r="CR9" s="591"/>
      <c r="CS9" s="591"/>
      <c r="CT9" s="591"/>
      <c r="CU9" s="591"/>
      <c r="CV9" s="591"/>
      <c r="CW9" s="591"/>
      <c r="CX9" s="591"/>
      <c r="CY9" s="591"/>
      <c r="CZ9" s="591"/>
      <c r="DA9" s="591"/>
      <c r="DB9" s="591"/>
      <c r="DC9" s="591"/>
      <c r="DD9" s="591"/>
      <c r="DE9" s="591"/>
      <c r="DF9" s="591"/>
      <c r="DG9" s="591"/>
      <c r="DH9" s="591"/>
      <c r="DI9" s="591"/>
      <c r="DJ9" s="591"/>
      <c r="DK9" s="591"/>
      <c r="DL9" s="591"/>
      <c r="DM9" s="591"/>
      <c r="DN9" s="591"/>
      <c r="DO9" s="591"/>
      <c r="DP9" s="591"/>
    </row>
    <row r="10" spans="2:121" ht="61.5" customHeight="1">
      <c r="B10" s="327"/>
      <c r="C10" s="327"/>
      <c r="D10" s="330"/>
      <c r="E10" s="331"/>
      <c r="F10" s="327"/>
      <c r="G10" s="327"/>
      <c r="H10" s="326" t="s">
        <v>42</v>
      </c>
      <c r="I10" s="326" t="s">
        <v>43</v>
      </c>
      <c r="J10" s="327"/>
      <c r="K10" s="584" t="s">
        <v>44</v>
      </c>
      <c r="L10" s="585"/>
      <c r="M10" s="585"/>
      <c r="N10" s="585"/>
      <c r="O10" s="585"/>
      <c r="P10" s="585"/>
      <c r="Q10" s="585"/>
      <c r="R10" s="585"/>
      <c r="S10" s="586"/>
      <c r="T10" s="584" t="s">
        <v>45</v>
      </c>
      <c r="U10" s="585"/>
      <c r="V10" s="585"/>
      <c r="W10" s="585"/>
      <c r="X10" s="585"/>
      <c r="Y10" s="585"/>
      <c r="Z10" s="585"/>
      <c r="AA10" s="585"/>
      <c r="AB10" s="586"/>
      <c r="AC10" s="584" t="s">
        <v>46</v>
      </c>
      <c r="AD10" s="585"/>
      <c r="AE10" s="585"/>
      <c r="AF10" s="585"/>
      <c r="AG10" s="585"/>
      <c r="AH10" s="585"/>
      <c r="AI10" s="585"/>
      <c r="AJ10" s="585"/>
      <c r="AK10" s="586"/>
      <c r="AL10" s="584" t="s">
        <v>47</v>
      </c>
      <c r="AM10" s="585"/>
      <c r="AN10" s="585"/>
      <c r="AO10" s="585"/>
      <c r="AP10" s="585"/>
      <c r="AQ10" s="585"/>
      <c r="AR10" s="585"/>
      <c r="AS10" s="585"/>
      <c r="AT10" s="586"/>
      <c r="AU10" s="584" t="s">
        <v>48</v>
      </c>
      <c r="AV10" s="585"/>
      <c r="AW10" s="585"/>
      <c r="AX10" s="585"/>
      <c r="AY10" s="585"/>
      <c r="AZ10" s="585"/>
      <c r="BA10" s="585"/>
      <c r="BB10" s="585"/>
      <c r="BC10" s="586"/>
      <c r="BD10" s="584" t="s">
        <v>49</v>
      </c>
      <c r="BE10" s="585"/>
      <c r="BF10" s="585"/>
      <c r="BG10" s="585"/>
      <c r="BH10" s="585"/>
      <c r="BI10" s="585"/>
      <c r="BJ10" s="585"/>
      <c r="BK10" s="585"/>
      <c r="BL10" s="586"/>
      <c r="BM10" s="584" t="s">
        <v>50</v>
      </c>
      <c r="BN10" s="585"/>
      <c r="BO10" s="585"/>
      <c r="BP10" s="585"/>
      <c r="BQ10" s="585"/>
      <c r="BR10" s="585"/>
      <c r="BS10" s="585"/>
      <c r="BT10" s="585"/>
      <c r="BU10" s="586"/>
      <c r="BV10" s="584" t="s">
        <v>51</v>
      </c>
      <c r="BW10" s="585"/>
      <c r="BX10" s="585"/>
      <c r="BY10" s="585"/>
      <c r="BZ10" s="585"/>
      <c r="CA10" s="585"/>
      <c r="CB10" s="585"/>
      <c r="CC10" s="585"/>
      <c r="CD10" s="586"/>
      <c r="CE10" s="584" t="s">
        <v>52</v>
      </c>
      <c r="CF10" s="585"/>
      <c r="CG10" s="585"/>
      <c r="CH10" s="585"/>
      <c r="CI10" s="585"/>
      <c r="CJ10" s="585"/>
      <c r="CK10" s="585"/>
      <c r="CL10" s="585"/>
      <c r="CM10" s="586"/>
      <c r="CN10" s="584" t="s">
        <v>53</v>
      </c>
      <c r="CO10" s="585"/>
      <c r="CP10" s="585"/>
      <c r="CQ10" s="585"/>
      <c r="CR10" s="585"/>
      <c r="CS10" s="585"/>
      <c r="CT10" s="585"/>
      <c r="CU10" s="585"/>
      <c r="CV10" s="586"/>
      <c r="CW10" s="584" t="s">
        <v>54</v>
      </c>
      <c r="CX10" s="585"/>
      <c r="CY10" s="585"/>
      <c r="CZ10" s="585"/>
      <c r="DA10" s="585"/>
      <c r="DB10" s="585"/>
      <c r="DC10" s="585"/>
      <c r="DD10" s="585"/>
      <c r="DE10" s="586"/>
      <c r="DF10" s="584" t="s">
        <v>55</v>
      </c>
      <c r="DG10" s="585"/>
      <c r="DH10" s="585"/>
      <c r="DI10" s="585"/>
      <c r="DJ10" s="585"/>
      <c r="DK10" s="585"/>
      <c r="DL10" s="585"/>
      <c r="DM10" s="585"/>
      <c r="DN10" s="586"/>
      <c r="DO10" s="610" t="s">
        <v>153</v>
      </c>
      <c r="DP10" s="445" t="s">
        <v>57</v>
      </c>
    </row>
    <row r="11" spans="2:121" ht="61.5" customHeight="1">
      <c r="B11" s="327"/>
      <c r="C11" s="327"/>
      <c r="D11" s="330"/>
      <c r="E11" s="331"/>
      <c r="F11" s="327"/>
      <c r="G11" s="327"/>
      <c r="H11" s="327"/>
      <c r="I11" s="327"/>
      <c r="J11" s="327"/>
      <c r="K11" s="587"/>
      <c r="L11" s="588"/>
      <c r="M11" s="588"/>
      <c r="N11" s="588"/>
      <c r="O11" s="588"/>
      <c r="P11" s="588"/>
      <c r="Q11" s="588"/>
      <c r="R11" s="588"/>
      <c r="S11" s="589"/>
      <c r="T11" s="587"/>
      <c r="U11" s="588"/>
      <c r="V11" s="588"/>
      <c r="W11" s="588"/>
      <c r="X11" s="588"/>
      <c r="Y11" s="588"/>
      <c r="Z11" s="588"/>
      <c r="AA11" s="588"/>
      <c r="AB11" s="589"/>
      <c r="AC11" s="587"/>
      <c r="AD11" s="588"/>
      <c r="AE11" s="588"/>
      <c r="AF11" s="588"/>
      <c r="AG11" s="588"/>
      <c r="AH11" s="588"/>
      <c r="AI11" s="588"/>
      <c r="AJ11" s="588"/>
      <c r="AK11" s="589"/>
      <c r="AL11" s="587"/>
      <c r="AM11" s="588"/>
      <c r="AN11" s="588"/>
      <c r="AO11" s="588"/>
      <c r="AP11" s="588"/>
      <c r="AQ11" s="588"/>
      <c r="AR11" s="588"/>
      <c r="AS11" s="588"/>
      <c r="AT11" s="589"/>
      <c r="AU11" s="587"/>
      <c r="AV11" s="588"/>
      <c r="AW11" s="588"/>
      <c r="AX11" s="588"/>
      <c r="AY11" s="588"/>
      <c r="AZ11" s="588"/>
      <c r="BA11" s="588"/>
      <c r="BB11" s="588"/>
      <c r="BC11" s="589"/>
      <c r="BD11" s="587"/>
      <c r="BE11" s="588"/>
      <c r="BF11" s="588"/>
      <c r="BG11" s="588"/>
      <c r="BH11" s="588"/>
      <c r="BI11" s="588"/>
      <c r="BJ11" s="588"/>
      <c r="BK11" s="588"/>
      <c r="BL11" s="589"/>
      <c r="BM11" s="587"/>
      <c r="BN11" s="588"/>
      <c r="BO11" s="588"/>
      <c r="BP11" s="588"/>
      <c r="BQ11" s="588"/>
      <c r="BR11" s="588"/>
      <c r="BS11" s="588"/>
      <c r="BT11" s="588"/>
      <c r="BU11" s="589"/>
      <c r="BV11" s="587"/>
      <c r="BW11" s="588"/>
      <c r="BX11" s="588"/>
      <c r="BY11" s="588"/>
      <c r="BZ11" s="588"/>
      <c r="CA11" s="588"/>
      <c r="CB11" s="588"/>
      <c r="CC11" s="588"/>
      <c r="CD11" s="589"/>
      <c r="CE11" s="587"/>
      <c r="CF11" s="588"/>
      <c r="CG11" s="588"/>
      <c r="CH11" s="588"/>
      <c r="CI11" s="588"/>
      <c r="CJ11" s="588"/>
      <c r="CK11" s="588"/>
      <c r="CL11" s="588"/>
      <c r="CM11" s="589"/>
      <c r="CN11" s="587"/>
      <c r="CO11" s="588"/>
      <c r="CP11" s="588"/>
      <c r="CQ11" s="588"/>
      <c r="CR11" s="588"/>
      <c r="CS11" s="588"/>
      <c r="CT11" s="588"/>
      <c r="CU11" s="588"/>
      <c r="CV11" s="589"/>
      <c r="CW11" s="587"/>
      <c r="CX11" s="588"/>
      <c r="CY11" s="588"/>
      <c r="CZ11" s="588"/>
      <c r="DA11" s="588"/>
      <c r="DB11" s="588"/>
      <c r="DC11" s="588"/>
      <c r="DD11" s="588"/>
      <c r="DE11" s="589"/>
      <c r="DF11" s="587"/>
      <c r="DG11" s="588"/>
      <c r="DH11" s="588"/>
      <c r="DI11" s="588"/>
      <c r="DJ11" s="588"/>
      <c r="DK11" s="588"/>
      <c r="DL11" s="588"/>
      <c r="DM11" s="588"/>
      <c r="DN11" s="589"/>
      <c r="DO11" s="611"/>
      <c r="DP11" s="446"/>
    </row>
    <row r="12" spans="2:121" ht="51.75" customHeight="1">
      <c r="B12" s="327"/>
      <c r="C12" s="327"/>
      <c r="D12" s="330"/>
      <c r="E12" s="331"/>
      <c r="F12" s="327"/>
      <c r="G12" s="327"/>
      <c r="H12" s="327"/>
      <c r="I12" s="327"/>
      <c r="J12" s="445" t="s">
        <v>58</v>
      </c>
      <c r="K12" s="590"/>
      <c r="L12" s="591"/>
      <c r="M12" s="591"/>
      <c r="N12" s="591"/>
      <c r="O12" s="591"/>
      <c r="P12" s="591"/>
      <c r="Q12" s="591"/>
      <c r="R12" s="591"/>
      <c r="S12" s="592"/>
      <c r="T12" s="590"/>
      <c r="U12" s="591"/>
      <c r="V12" s="591"/>
      <c r="W12" s="591"/>
      <c r="X12" s="591"/>
      <c r="Y12" s="591"/>
      <c r="Z12" s="591"/>
      <c r="AA12" s="591"/>
      <c r="AB12" s="592"/>
      <c r="AC12" s="590"/>
      <c r="AD12" s="591"/>
      <c r="AE12" s="591"/>
      <c r="AF12" s="591"/>
      <c r="AG12" s="591"/>
      <c r="AH12" s="591"/>
      <c r="AI12" s="591"/>
      <c r="AJ12" s="591"/>
      <c r="AK12" s="592"/>
      <c r="AL12" s="590"/>
      <c r="AM12" s="591"/>
      <c r="AN12" s="591"/>
      <c r="AO12" s="591"/>
      <c r="AP12" s="591"/>
      <c r="AQ12" s="591"/>
      <c r="AR12" s="591"/>
      <c r="AS12" s="591"/>
      <c r="AT12" s="592"/>
      <c r="AU12" s="590"/>
      <c r="AV12" s="591"/>
      <c r="AW12" s="591"/>
      <c r="AX12" s="591"/>
      <c r="AY12" s="591"/>
      <c r="AZ12" s="591"/>
      <c r="BA12" s="591"/>
      <c r="BB12" s="591"/>
      <c r="BC12" s="592"/>
      <c r="BD12" s="590"/>
      <c r="BE12" s="591"/>
      <c r="BF12" s="591"/>
      <c r="BG12" s="591"/>
      <c r="BH12" s="591"/>
      <c r="BI12" s="591"/>
      <c r="BJ12" s="591"/>
      <c r="BK12" s="591"/>
      <c r="BL12" s="592"/>
      <c r="BM12" s="590"/>
      <c r="BN12" s="591"/>
      <c r="BO12" s="591"/>
      <c r="BP12" s="591"/>
      <c r="BQ12" s="591"/>
      <c r="BR12" s="591"/>
      <c r="BS12" s="591"/>
      <c r="BT12" s="591"/>
      <c r="BU12" s="592"/>
      <c r="BV12" s="590"/>
      <c r="BW12" s="591"/>
      <c r="BX12" s="591"/>
      <c r="BY12" s="591"/>
      <c r="BZ12" s="591"/>
      <c r="CA12" s="591"/>
      <c r="CB12" s="591"/>
      <c r="CC12" s="591"/>
      <c r="CD12" s="592"/>
      <c r="CE12" s="590"/>
      <c r="CF12" s="591"/>
      <c r="CG12" s="591"/>
      <c r="CH12" s="591"/>
      <c r="CI12" s="591"/>
      <c r="CJ12" s="591"/>
      <c r="CK12" s="591"/>
      <c r="CL12" s="591"/>
      <c r="CM12" s="592"/>
      <c r="CN12" s="590"/>
      <c r="CO12" s="591"/>
      <c r="CP12" s="591"/>
      <c r="CQ12" s="591"/>
      <c r="CR12" s="591"/>
      <c r="CS12" s="591"/>
      <c r="CT12" s="591"/>
      <c r="CU12" s="591"/>
      <c r="CV12" s="592"/>
      <c r="CW12" s="590"/>
      <c r="CX12" s="591"/>
      <c r="CY12" s="591"/>
      <c r="CZ12" s="591"/>
      <c r="DA12" s="591"/>
      <c r="DB12" s="591"/>
      <c r="DC12" s="591"/>
      <c r="DD12" s="591"/>
      <c r="DE12" s="592"/>
      <c r="DF12" s="590"/>
      <c r="DG12" s="591"/>
      <c r="DH12" s="591"/>
      <c r="DI12" s="591"/>
      <c r="DJ12" s="591"/>
      <c r="DK12" s="591"/>
      <c r="DL12" s="591"/>
      <c r="DM12" s="591"/>
      <c r="DN12" s="592"/>
      <c r="DO12" s="611"/>
      <c r="DP12" s="446"/>
    </row>
    <row r="13" spans="2:121" ht="93">
      <c r="B13" s="327"/>
      <c r="C13" s="327"/>
      <c r="D13" s="330"/>
      <c r="E13" s="331"/>
      <c r="F13" s="327"/>
      <c r="G13" s="327"/>
      <c r="H13" s="327"/>
      <c r="I13" s="327"/>
      <c r="J13" s="446"/>
      <c r="K13" s="88" t="s">
        <v>59</v>
      </c>
      <c r="L13" s="88" t="s">
        <v>60</v>
      </c>
      <c r="M13" s="88" t="s">
        <v>61</v>
      </c>
      <c r="N13" s="88" t="s">
        <v>62</v>
      </c>
      <c r="O13" s="88" t="s">
        <v>63</v>
      </c>
      <c r="P13" s="88" t="s">
        <v>64</v>
      </c>
      <c r="Q13" s="88" t="s">
        <v>65</v>
      </c>
      <c r="R13" s="88" t="s">
        <v>66</v>
      </c>
      <c r="S13" s="88" t="s">
        <v>67</v>
      </c>
      <c r="T13" s="88" t="s">
        <v>59</v>
      </c>
      <c r="U13" s="88" t="s">
        <v>60</v>
      </c>
      <c r="V13" s="88" t="s">
        <v>61</v>
      </c>
      <c r="W13" s="88" t="s">
        <v>62</v>
      </c>
      <c r="X13" s="88" t="s">
        <v>63</v>
      </c>
      <c r="Y13" s="88" t="s">
        <v>64</v>
      </c>
      <c r="Z13" s="88" t="s">
        <v>65</v>
      </c>
      <c r="AA13" s="88" t="s">
        <v>66</v>
      </c>
      <c r="AB13" s="88" t="s">
        <v>67</v>
      </c>
      <c r="AC13" s="88" t="s">
        <v>59</v>
      </c>
      <c r="AD13" s="88" t="s">
        <v>60</v>
      </c>
      <c r="AE13" s="88" t="s">
        <v>61</v>
      </c>
      <c r="AF13" s="88" t="s">
        <v>62</v>
      </c>
      <c r="AG13" s="88" t="s">
        <v>63</v>
      </c>
      <c r="AH13" s="88" t="s">
        <v>64</v>
      </c>
      <c r="AI13" s="88" t="s">
        <v>65</v>
      </c>
      <c r="AJ13" s="88" t="s">
        <v>66</v>
      </c>
      <c r="AK13" s="88" t="s">
        <v>67</v>
      </c>
      <c r="AL13" s="88" t="s">
        <v>59</v>
      </c>
      <c r="AM13" s="88" t="s">
        <v>60</v>
      </c>
      <c r="AN13" s="88" t="s">
        <v>61</v>
      </c>
      <c r="AO13" s="88" t="s">
        <v>62</v>
      </c>
      <c r="AP13" s="88" t="s">
        <v>63</v>
      </c>
      <c r="AQ13" s="88" t="s">
        <v>64</v>
      </c>
      <c r="AR13" s="88" t="s">
        <v>65</v>
      </c>
      <c r="AS13" s="88" t="s">
        <v>66</v>
      </c>
      <c r="AT13" s="88" t="s">
        <v>67</v>
      </c>
      <c r="AU13" s="88" t="s">
        <v>59</v>
      </c>
      <c r="AV13" s="88" t="s">
        <v>60</v>
      </c>
      <c r="AW13" s="88" t="s">
        <v>61</v>
      </c>
      <c r="AX13" s="88" t="s">
        <v>62</v>
      </c>
      <c r="AY13" s="88" t="s">
        <v>63</v>
      </c>
      <c r="AZ13" s="88" t="s">
        <v>64</v>
      </c>
      <c r="BA13" s="88" t="s">
        <v>65</v>
      </c>
      <c r="BB13" s="88" t="s">
        <v>66</v>
      </c>
      <c r="BC13" s="88" t="s">
        <v>67</v>
      </c>
      <c r="BD13" s="88" t="s">
        <v>59</v>
      </c>
      <c r="BE13" s="88" t="s">
        <v>60</v>
      </c>
      <c r="BF13" s="88" t="s">
        <v>61</v>
      </c>
      <c r="BG13" s="88" t="s">
        <v>62</v>
      </c>
      <c r="BH13" s="88" t="s">
        <v>63</v>
      </c>
      <c r="BI13" s="88" t="s">
        <v>64</v>
      </c>
      <c r="BJ13" s="88" t="s">
        <v>65</v>
      </c>
      <c r="BK13" s="88" t="s">
        <v>66</v>
      </c>
      <c r="BL13" s="88" t="s">
        <v>67</v>
      </c>
      <c r="BM13" s="88" t="s">
        <v>59</v>
      </c>
      <c r="BN13" s="88" t="s">
        <v>60</v>
      </c>
      <c r="BO13" s="88" t="s">
        <v>61</v>
      </c>
      <c r="BP13" s="88" t="s">
        <v>62</v>
      </c>
      <c r="BQ13" s="88" t="s">
        <v>63</v>
      </c>
      <c r="BR13" s="88" t="s">
        <v>64</v>
      </c>
      <c r="BS13" s="88" t="s">
        <v>65</v>
      </c>
      <c r="BT13" s="88" t="s">
        <v>66</v>
      </c>
      <c r="BU13" s="88" t="s">
        <v>67</v>
      </c>
      <c r="BV13" s="88" t="s">
        <v>59</v>
      </c>
      <c r="BW13" s="88" t="s">
        <v>60</v>
      </c>
      <c r="BX13" s="88" t="s">
        <v>61</v>
      </c>
      <c r="BY13" s="88" t="s">
        <v>62</v>
      </c>
      <c r="BZ13" s="88" t="s">
        <v>63</v>
      </c>
      <c r="CA13" s="88" t="s">
        <v>64</v>
      </c>
      <c r="CB13" s="88" t="s">
        <v>65</v>
      </c>
      <c r="CC13" s="88" t="s">
        <v>66</v>
      </c>
      <c r="CD13" s="88" t="s">
        <v>67</v>
      </c>
      <c r="CE13" s="88" t="s">
        <v>59</v>
      </c>
      <c r="CF13" s="88" t="s">
        <v>60</v>
      </c>
      <c r="CG13" s="88" t="s">
        <v>61</v>
      </c>
      <c r="CH13" s="88" t="s">
        <v>62</v>
      </c>
      <c r="CI13" s="88" t="s">
        <v>63</v>
      </c>
      <c r="CJ13" s="88" t="s">
        <v>64</v>
      </c>
      <c r="CK13" s="88" t="s">
        <v>65</v>
      </c>
      <c r="CL13" s="88" t="s">
        <v>66</v>
      </c>
      <c r="CM13" s="88" t="s">
        <v>67</v>
      </c>
      <c r="CN13" s="88" t="s">
        <v>59</v>
      </c>
      <c r="CO13" s="88" t="s">
        <v>60</v>
      </c>
      <c r="CP13" s="88" t="s">
        <v>61</v>
      </c>
      <c r="CQ13" s="88" t="s">
        <v>62</v>
      </c>
      <c r="CR13" s="88" t="s">
        <v>63</v>
      </c>
      <c r="CS13" s="88" t="s">
        <v>64</v>
      </c>
      <c r="CT13" s="88" t="s">
        <v>65</v>
      </c>
      <c r="CU13" s="88" t="s">
        <v>66</v>
      </c>
      <c r="CV13" s="88" t="s">
        <v>67</v>
      </c>
      <c r="CW13" s="88" t="s">
        <v>59</v>
      </c>
      <c r="CX13" s="88" t="s">
        <v>60</v>
      </c>
      <c r="CY13" s="88" t="s">
        <v>61</v>
      </c>
      <c r="CZ13" s="88" t="s">
        <v>62</v>
      </c>
      <c r="DA13" s="88" t="s">
        <v>63</v>
      </c>
      <c r="DB13" s="88" t="s">
        <v>64</v>
      </c>
      <c r="DC13" s="88" t="s">
        <v>65</v>
      </c>
      <c r="DD13" s="88" t="s">
        <v>66</v>
      </c>
      <c r="DE13" s="88" t="s">
        <v>67</v>
      </c>
      <c r="DF13" s="88" t="s">
        <v>59</v>
      </c>
      <c r="DG13" s="88" t="s">
        <v>60</v>
      </c>
      <c r="DH13" s="88" t="s">
        <v>61</v>
      </c>
      <c r="DI13" s="88" t="s">
        <v>62</v>
      </c>
      <c r="DJ13" s="88" t="s">
        <v>63</v>
      </c>
      <c r="DK13" s="88" t="s">
        <v>64</v>
      </c>
      <c r="DL13" s="88" t="s">
        <v>65</v>
      </c>
      <c r="DM13" s="88" t="s">
        <v>66</v>
      </c>
      <c r="DN13" s="88" t="s">
        <v>67</v>
      </c>
      <c r="DO13" s="611"/>
      <c r="DP13" s="447"/>
    </row>
    <row r="14" spans="2:121" ht="192" hidden="1" customHeight="1">
      <c r="B14" s="612" t="s">
        <v>74</v>
      </c>
      <c r="C14" s="612" t="s">
        <v>107</v>
      </c>
      <c r="D14" s="612" t="s">
        <v>70</v>
      </c>
      <c r="E14" s="621"/>
      <c r="F14" s="622" t="s">
        <v>13</v>
      </c>
      <c r="G14" s="612">
        <v>1937</v>
      </c>
      <c r="H14" s="624" t="s">
        <v>154</v>
      </c>
      <c r="I14" s="612">
        <v>2625</v>
      </c>
      <c r="J14" s="89" t="s">
        <v>72</v>
      </c>
      <c r="K14" s="614">
        <v>145</v>
      </c>
      <c r="L14" s="594"/>
      <c r="M14" s="594"/>
      <c r="N14" s="594"/>
      <c r="O14" s="594"/>
      <c r="P14" s="594"/>
      <c r="Q14" s="594"/>
      <c r="R14" s="595"/>
      <c r="S14" s="90">
        <f>SUM(K14)</f>
        <v>145</v>
      </c>
      <c r="T14" s="615">
        <v>150</v>
      </c>
      <c r="U14" s="616"/>
      <c r="V14" s="616"/>
      <c r="W14" s="616"/>
      <c r="X14" s="616"/>
      <c r="Y14" s="616"/>
      <c r="Z14" s="616"/>
      <c r="AA14" s="617"/>
      <c r="AB14" s="90">
        <f>SUM(T14:AA14)</f>
        <v>150</v>
      </c>
      <c r="AC14" s="593">
        <v>300</v>
      </c>
      <c r="AD14" s="594"/>
      <c r="AE14" s="594"/>
      <c r="AF14" s="594"/>
      <c r="AG14" s="594"/>
      <c r="AH14" s="594"/>
      <c r="AI14" s="594"/>
      <c r="AJ14" s="595"/>
      <c r="AK14" s="90">
        <v>300</v>
      </c>
      <c r="AL14" s="618">
        <v>200</v>
      </c>
      <c r="AM14" s="619"/>
      <c r="AN14" s="619"/>
      <c r="AO14" s="619"/>
      <c r="AP14" s="619"/>
      <c r="AQ14" s="619"/>
      <c r="AR14" s="619"/>
      <c r="AS14" s="620"/>
      <c r="AT14" s="91">
        <f>SUM(AL14:AS14)</f>
        <v>200</v>
      </c>
      <c r="AU14" s="593">
        <v>200</v>
      </c>
      <c r="AV14" s="594"/>
      <c r="AW14" s="594"/>
      <c r="AX14" s="594"/>
      <c r="AY14" s="594"/>
      <c r="AZ14" s="594"/>
      <c r="BA14" s="594"/>
      <c r="BB14" s="595"/>
      <c r="BC14" s="90">
        <f t="shared" ref="BC14:BC37" si="0">SUM(AU14:BB14)</f>
        <v>200</v>
      </c>
      <c r="BD14" s="593">
        <v>260</v>
      </c>
      <c r="BE14" s="594"/>
      <c r="BF14" s="594"/>
      <c r="BG14" s="594"/>
      <c r="BH14" s="594"/>
      <c r="BI14" s="594"/>
      <c r="BJ14" s="594"/>
      <c r="BK14" s="595"/>
      <c r="BL14" s="90">
        <f>SUM(BD14)</f>
        <v>260</v>
      </c>
      <c r="BM14" s="593">
        <v>200</v>
      </c>
      <c r="BN14" s="594"/>
      <c r="BO14" s="594"/>
      <c r="BP14" s="594"/>
      <c r="BQ14" s="594"/>
      <c r="BR14" s="594"/>
      <c r="BS14" s="594"/>
      <c r="BT14" s="595"/>
      <c r="BU14" s="90">
        <v>200</v>
      </c>
      <c r="BV14" s="593">
        <v>200</v>
      </c>
      <c r="BW14" s="594"/>
      <c r="BX14" s="594"/>
      <c r="BY14" s="594"/>
      <c r="BZ14" s="594"/>
      <c r="CA14" s="594"/>
      <c r="CB14" s="594"/>
      <c r="CC14" s="595"/>
      <c r="CD14" s="90">
        <f t="shared" ref="CD14:CD37" si="1">SUM(BV14:CC14)</f>
        <v>200</v>
      </c>
      <c r="CE14" s="593">
        <v>150</v>
      </c>
      <c r="CF14" s="594"/>
      <c r="CG14" s="594"/>
      <c r="CH14" s="594"/>
      <c r="CI14" s="594"/>
      <c r="CJ14" s="594"/>
      <c r="CK14" s="594"/>
      <c r="CL14" s="595"/>
      <c r="CM14" s="90">
        <f t="shared" ref="CM14:CM37" si="2">SUM(CE14:CL14)</f>
        <v>150</v>
      </c>
      <c r="CN14" s="593">
        <v>200</v>
      </c>
      <c r="CO14" s="594"/>
      <c r="CP14" s="594"/>
      <c r="CQ14" s="594"/>
      <c r="CR14" s="594"/>
      <c r="CS14" s="594"/>
      <c r="CT14" s="594"/>
      <c r="CU14" s="595"/>
      <c r="CV14" s="90">
        <f t="shared" ref="CV14:CV37" si="3">SUM(CN14:CU14)</f>
        <v>200</v>
      </c>
      <c r="CW14" s="593">
        <v>320</v>
      </c>
      <c r="CX14" s="594"/>
      <c r="CY14" s="594"/>
      <c r="CZ14" s="594"/>
      <c r="DA14" s="594"/>
      <c r="DB14" s="594"/>
      <c r="DC14" s="594"/>
      <c r="DD14" s="595"/>
      <c r="DE14" s="90">
        <f t="shared" ref="DE14:DE37" si="4">SUM(CW14:DD14)</f>
        <v>320</v>
      </c>
      <c r="DF14" s="593">
        <v>300</v>
      </c>
      <c r="DG14" s="594"/>
      <c r="DH14" s="594"/>
      <c r="DI14" s="594"/>
      <c r="DJ14" s="594"/>
      <c r="DK14" s="594"/>
      <c r="DL14" s="594"/>
      <c r="DM14" s="595"/>
      <c r="DN14" s="92">
        <f t="shared" ref="DN14:DN37" si="5">SUM(DF14:DM14)</f>
        <v>300</v>
      </c>
      <c r="DO14" s="93">
        <f>SUM(DN14,DE14,CV14,CM14,CD14,BU14,BL14,BC14,AT14,AK14,AB14,S14)</f>
        <v>2625</v>
      </c>
      <c r="DP14" s="92"/>
      <c r="DQ14" s="94"/>
    </row>
    <row r="15" spans="2:121" ht="157.5" customHeight="1">
      <c r="B15" s="621"/>
      <c r="C15" s="621"/>
      <c r="D15" s="621"/>
      <c r="E15" s="621"/>
      <c r="F15" s="623"/>
      <c r="G15" s="621"/>
      <c r="H15" s="625"/>
      <c r="I15" s="613"/>
      <c r="J15" s="95" t="s">
        <v>73</v>
      </c>
      <c r="K15" s="92">
        <v>33</v>
      </c>
      <c r="L15" s="92">
        <v>22</v>
      </c>
      <c r="M15" s="92">
        <v>17</v>
      </c>
      <c r="N15" s="92">
        <v>12</v>
      </c>
      <c r="O15" s="92">
        <v>50</v>
      </c>
      <c r="P15" s="92">
        <v>41</v>
      </c>
      <c r="Q15" s="92">
        <v>14</v>
      </c>
      <c r="R15" s="92">
        <v>11</v>
      </c>
      <c r="S15" s="90">
        <f>SUM(K15:R15)</f>
        <v>200</v>
      </c>
      <c r="T15" s="96">
        <f>7+6+2+2+2+5+2</f>
        <v>26</v>
      </c>
      <c r="U15" s="90">
        <f>10+2+7+3+1+2+1</f>
        <v>26</v>
      </c>
      <c r="V15" s="90">
        <f>2+2+1+1</f>
        <v>6</v>
      </c>
      <c r="W15" s="90">
        <f>2+1</f>
        <v>3</v>
      </c>
      <c r="X15" s="90">
        <f>1+4+2+5+2</f>
        <v>14</v>
      </c>
      <c r="Y15" s="90">
        <f>3+2</f>
        <v>5</v>
      </c>
      <c r="Z15" s="90">
        <f>2+1+4+4</f>
        <v>11</v>
      </c>
      <c r="AA15" s="90">
        <f>1+1+2</f>
        <v>4</v>
      </c>
      <c r="AB15" s="90">
        <f>SUM(T15:AA15)</f>
        <v>95</v>
      </c>
      <c r="AC15" s="90">
        <f>3+4+13+10</f>
        <v>30</v>
      </c>
      <c r="AD15" s="90">
        <f>1+3+7+10</f>
        <v>21</v>
      </c>
      <c r="AE15" s="90">
        <f>1+6</f>
        <v>7</v>
      </c>
      <c r="AF15" s="90">
        <v>5</v>
      </c>
      <c r="AG15" s="90">
        <f>6+28+30</f>
        <v>64</v>
      </c>
      <c r="AH15" s="90">
        <v>15</v>
      </c>
      <c r="AI15" s="90">
        <v>25</v>
      </c>
      <c r="AJ15" s="90">
        <v>21</v>
      </c>
      <c r="AK15" s="90">
        <f t="shared" ref="AK15:AK37" si="6">SUM(AC15:AJ15)</f>
        <v>188</v>
      </c>
      <c r="AL15" s="91">
        <v>16</v>
      </c>
      <c r="AM15" s="91">
        <v>18</v>
      </c>
      <c r="AN15" s="91">
        <v>9</v>
      </c>
      <c r="AO15" s="91">
        <v>7</v>
      </c>
      <c r="AP15" s="91">
        <v>46</v>
      </c>
      <c r="AQ15" s="91">
        <v>19</v>
      </c>
      <c r="AR15" s="91">
        <v>23</v>
      </c>
      <c r="AS15" s="91">
        <v>17</v>
      </c>
      <c r="AT15" s="91">
        <f t="shared" ref="AT15:AT37" si="7">SUM(AL15:AS15)</f>
        <v>155</v>
      </c>
      <c r="AU15" s="90">
        <f>5+6+5+7+4+16</f>
        <v>43</v>
      </c>
      <c r="AV15" s="90">
        <f>7+10+5+9+15</f>
        <v>46</v>
      </c>
      <c r="AW15" s="90">
        <f>3+2+5+8</f>
        <v>18</v>
      </c>
      <c r="AX15" s="90">
        <f>2+3+1</f>
        <v>6</v>
      </c>
      <c r="AY15" s="90">
        <f>11+6+3+20+15</f>
        <v>55</v>
      </c>
      <c r="AZ15" s="90">
        <f>10</f>
        <v>10</v>
      </c>
      <c r="BA15" s="90">
        <f>8+8+10+7</f>
        <v>33</v>
      </c>
      <c r="BB15" s="90">
        <f>1+4+1+5+2</f>
        <v>13</v>
      </c>
      <c r="BC15" s="90">
        <f>SUM(AU15:BB15)</f>
        <v>224</v>
      </c>
      <c r="BD15" s="90">
        <v>45</v>
      </c>
      <c r="BE15" s="90">
        <v>34</v>
      </c>
      <c r="BF15" s="90">
        <f>4+8+1+3+7</f>
        <v>23</v>
      </c>
      <c r="BG15" s="90">
        <f>3+4+10</f>
        <v>17</v>
      </c>
      <c r="BH15" s="90">
        <v>65</v>
      </c>
      <c r="BI15" s="90">
        <v>41</v>
      </c>
      <c r="BJ15" s="90">
        <f>1+5+4+5+5</f>
        <v>20</v>
      </c>
      <c r="BK15" s="90">
        <f>1+2+2+2+4</f>
        <v>11</v>
      </c>
      <c r="BL15" s="90">
        <f>SUM(BD15:BK15)</f>
        <v>256</v>
      </c>
      <c r="BM15" s="90"/>
      <c r="BN15" s="90"/>
      <c r="BO15" s="90"/>
      <c r="BP15" s="90"/>
      <c r="BQ15" s="90"/>
      <c r="BR15" s="90"/>
      <c r="BS15" s="90"/>
      <c r="BT15" s="90"/>
      <c r="BU15" s="90">
        <f t="shared" ref="BU15:BU37" si="8">SUM(BM15:BT15)</f>
        <v>0</v>
      </c>
      <c r="BV15" s="90"/>
      <c r="BW15" s="90"/>
      <c r="BX15" s="90"/>
      <c r="BY15" s="90"/>
      <c r="BZ15" s="90"/>
      <c r="CA15" s="90"/>
      <c r="CB15" s="90"/>
      <c r="CC15" s="90"/>
      <c r="CD15" s="90">
        <f t="shared" si="1"/>
        <v>0</v>
      </c>
      <c r="CE15" s="90"/>
      <c r="CF15" s="90"/>
      <c r="CG15" s="90"/>
      <c r="CH15" s="90"/>
      <c r="CI15" s="90"/>
      <c r="CJ15" s="90"/>
      <c r="CK15" s="90"/>
      <c r="CL15" s="90"/>
      <c r="CM15" s="90">
        <f t="shared" si="2"/>
        <v>0</v>
      </c>
      <c r="CN15" s="90"/>
      <c r="CO15" s="90"/>
      <c r="CP15" s="90"/>
      <c r="CQ15" s="90"/>
      <c r="CR15" s="90"/>
      <c r="CS15" s="90"/>
      <c r="CT15" s="90"/>
      <c r="CU15" s="90"/>
      <c r="CV15" s="90">
        <f t="shared" si="3"/>
        <v>0</v>
      </c>
      <c r="CW15" s="90"/>
      <c r="CX15" s="90"/>
      <c r="CY15" s="90"/>
      <c r="CZ15" s="90"/>
      <c r="DA15" s="90"/>
      <c r="DB15" s="90"/>
      <c r="DC15" s="90"/>
      <c r="DD15" s="90"/>
      <c r="DE15" s="90">
        <f t="shared" si="4"/>
        <v>0</v>
      </c>
      <c r="DF15" s="92"/>
      <c r="DG15" s="92"/>
      <c r="DH15" s="92"/>
      <c r="DI15" s="92"/>
      <c r="DJ15" s="92"/>
      <c r="DK15" s="92"/>
      <c r="DL15" s="92"/>
      <c r="DM15" s="92"/>
      <c r="DN15" s="92">
        <f t="shared" si="5"/>
        <v>0</v>
      </c>
      <c r="DO15" s="93">
        <f t="shared" ref="DO15:DO37" si="9">SUM(DN15,DE15,CV15,CM15,CD15,BU15,BL15,BC15,AT15,AK15,AB15,S15)</f>
        <v>1118</v>
      </c>
      <c r="DP15" s="92"/>
      <c r="DQ15" s="94"/>
    </row>
    <row r="16" spans="2:121" ht="165" hidden="1" customHeight="1">
      <c r="B16" s="612" t="s">
        <v>74</v>
      </c>
      <c r="C16" s="612" t="s">
        <v>107</v>
      </c>
      <c r="D16" s="612" t="s">
        <v>70</v>
      </c>
      <c r="E16" s="621"/>
      <c r="F16" s="622" t="s">
        <v>13</v>
      </c>
      <c r="G16" s="612">
        <v>242</v>
      </c>
      <c r="H16" s="624" t="s">
        <v>155</v>
      </c>
      <c r="I16" s="612">
        <v>53</v>
      </c>
      <c r="J16" s="89" t="s">
        <v>72</v>
      </c>
      <c r="K16" s="614">
        <v>1</v>
      </c>
      <c r="L16" s="594"/>
      <c r="M16" s="594"/>
      <c r="N16" s="594"/>
      <c r="O16" s="594"/>
      <c r="P16" s="594"/>
      <c r="Q16" s="594"/>
      <c r="R16" s="595"/>
      <c r="S16" s="90">
        <f>SUM(K16:R16)</f>
        <v>1</v>
      </c>
      <c r="T16" s="593">
        <v>2</v>
      </c>
      <c r="U16" s="594"/>
      <c r="V16" s="594"/>
      <c r="W16" s="594"/>
      <c r="X16" s="594"/>
      <c r="Y16" s="594"/>
      <c r="Z16" s="594"/>
      <c r="AA16" s="595"/>
      <c r="AB16" s="90">
        <f t="shared" ref="AB16:AB18" si="10">SUM(T16:AA16)</f>
        <v>2</v>
      </c>
      <c r="AC16" s="593">
        <v>5</v>
      </c>
      <c r="AD16" s="594"/>
      <c r="AE16" s="594"/>
      <c r="AF16" s="594"/>
      <c r="AG16" s="594"/>
      <c r="AH16" s="594"/>
      <c r="AI16" s="594"/>
      <c r="AJ16" s="595"/>
      <c r="AK16" s="90">
        <f t="shared" si="6"/>
        <v>5</v>
      </c>
      <c r="AL16" s="618">
        <v>5</v>
      </c>
      <c r="AM16" s="619"/>
      <c r="AN16" s="619"/>
      <c r="AO16" s="619"/>
      <c r="AP16" s="619"/>
      <c r="AQ16" s="619"/>
      <c r="AR16" s="619"/>
      <c r="AS16" s="620"/>
      <c r="AT16" s="91">
        <f t="shared" si="7"/>
        <v>5</v>
      </c>
      <c r="AU16" s="593">
        <v>5</v>
      </c>
      <c r="AV16" s="594"/>
      <c r="AW16" s="594"/>
      <c r="AX16" s="594"/>
      <c r="AY16" s="594"/>
      <c r="AZ16" s="594"/>
      <c r="BA16" s="594"/>
      <c r="BB16" s="595"/>
      <c r="BC16" s="90">
        <f>SUM(AU16:BB16)</f>
        <v>5</v>
      </c>
      <c r="BD16" s="593">
        <v>5</v>
      </c>
      <c r="BE16" s="594"/>
      <c r="BF16" s="594"/>
      <c r="BG16" s="594"/>
      <c r="BH16" s="594"/>
      <c r="BI16" s="594"/>
      <c r="BJ16" s="594"/>
      <c r="BK16" s="595"/>
      <c r="BL16" s="90">
        <f t="shared" ref="BL16:BL37" si="11">SUM(BD16:BK16)</f>
        <v>5</v>
      </c>
      <c r="BM16" s="593">
        <v>5</v>
      </c>
      <c r="BN16" s="594"/>
      <c r="BO16" s="594"/>
      <c r="BP16" s="594"/>
      <c r="BQ16" s="594"/>
      <c r="BR16" s="594"/>
      <c r="BS16" s="594"/>
      <c r="BT16" s="595"/>
      <c r="BU16" s="90">
        <f>SUM(BM16:BT16)</f>
        <v>5</v>
      </c>
      <c r="BV16" s="593">
        <v>5</v>
      </c>
      <c r="BW16" s="594"/>
      <c r="BX16" s="594"/>
      <c r="BY16" s="594"/>
      <c r="BZ16" s="594"/>
      <c r="CA16" s="594"/>
      <c r="CB16" s="594"/>
      <c r="CC16" s="595"/>
      <c r="CD16" s="90">
        <f>SUM(BV16:CC16)</f>
        <v>5</v>
      </c>
      <c r="CE16" s="593">
        <v>5</v>
      </c>
      <c r="CF16" s="594"/>
      <c r="CG16" s="594"/>
      <c r="CH16" s="594"/>
      <c r="CI16" s="594"/>
      <c r="CJ16" s="594"/>
      <c r="CK16" s="594"/>
      <c r="CL16" s="595"/>
      <c r="CM16" s="90">
        <f>SUM(CE16:CL16)</f>
        <v>5</v>
      </c>
      <c r="CN16" s="593">
        <v>5</v>
      </c>
      <c r="CO16" s="594"/>
      <c r="CP16" s="594"/>
      <c r="CQ16" s="594"/>
      <c r="CR16" s="594"/>
      <c r="CS16" s="594"/>
      <c r="CT16" s="594"/>
      <c r="CU16" s="595"/>
      <c r="CV16" s="90">
        <f>SUM(CN16:CU16)</f>
        <v>5</v>
      </c>
      <c r="CW16" s="593">
        <v>5</v>
      </c>
      <c r="CX16" s="594"/>
      <c r="CY16" s="594"/>
      <c r="CZ16" s="594"/>
      <c r="DA16" s="594"/>
      <c r="DB16" s="594"/>
      <c r="DC16" s="594"/>
      <c r="DD16" s="595"/>
      <c r="DE16" s="90">
        <f>SUM(CW16:DD16)</f>
        <v>5</v>
      </c>
      <c r="DF16" s="593">
        <v>5</v>
      </c>
      <c r="DG16" s="594"/>
      <c r="DH16" s="594"/>
      <c r="DI16" s="594"/>
      <c r="DJ16" s="594"/>
      <c r="DK16" s="594"/>
      <c r="DL16" s="594"/>
      <c r="DM16" s="595"/>
      <c r="DN16" s="92">
        <f>SUM(DF16:DM16)</f>
        <v>5</v>
      </c>
      <c r="DO16" s="93">
        <f t="shared" si="9"/>
        <v>53</v>
      </c>
      <c r="DP16" s="92"/>
      <c r="DQ16" s="94"/>
    </row>
    <row r="17" spans="2:121" ht="204.75" customHeight="1">
      <c r="B17" s="621"/>
      <c r="C17" s="621"/>
      <c r="D17" s="621"/>
      <c r="E17" s="621"/>
      <c r="F17" s="623"/>
      <c r="G17" s="621"/>
      <c r="H17" s="625"/>
      <c r="I17" s="613"/>
      <c r="J17" s="95" t="s">
        <v>73</v>
      </c>
      <c r="K17" s="96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12</v>
      </c>
      <c r="R17" s="90">
        <v>8</v>
      </c>
      <c r="S17" s="90">
        <f>SUM(K17:R17)</f>
        <v>20</v>
      </c>
      <c r="T17" s="96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f>12+4+2</f>
        <v>18</v>
      </c>
      <c r="AA17" s="90">
        <f>8+1+1</f>
        <v>10</v>
      </c>
      <c r="AB17" s="90">
        <f t="shared" si="10"/>
        <v>28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0">
        <v>0</v>
      </c>
      <c r="AI17" s="90">
        <v>18</v>
      </c>
      <c r="AJ17" s="90">
        <v>15</v>
      </c>
      <c r="AK17" s="90">
        <f t="shared" si="6"/>
        <v>33</v>
      </c>
      <c r="AL17" s="91">
        <v>0</v>
      </c>
      <c r="AM17" s="91">
        <v>0</v>
      </c>
      <c r="AN17" s="91">
        <v>0</v>
      </c>
      <c r="AO17" s="91">
        <v>0</v>
      </c>
      <c r="AP17" s="91">
        <v>0</v>
      </c>
      <c r="AQ17" s="91">
        <v>0</v>
      </c>
      <c r="AR17" s="91">
        <v>18</v>
      </c>
      <c r="AS17" s="91">
        <v>13</v>
      </c>
      <c r="AT17" s="91">
        <f t="shared" si="7"/>
        <v>31</v>
      </c>
      <c r="AU17" s="90">
        <v>0</v>
      </c>
      <c r="AV17" s="90">
        <v>0</v>
      </c>
      <c r="AW17" s="90">
        <v>0</v>
      </c>
      <c r="AX17" s="90">
        <v>0</v>
      </c>
      <c r="AY17" s="90">
        <v>0</v>
      </c>
      <c r="AZ17" s="90">
        <v>0</v>
      </c>
      <c r="BA17" s="90">
        <v>12</v>
      </c>
      <c r="BB17" s="90">
        <v>5</v>
      </c>
      <c r="BC17" s="90">
        <f>SUM(AU17:BB17)</f>
        <v>17</v>
      </c>
      <c r="BD17" s="90">
        <v>0</v>
      </c>
      <c r="BE17" s="90">
        <v>0</v>
      </c>
      <c r="BF17" s="90">
        <v>0</v>
      </c>
      <c r="BG17" s="90">
        <v>0</v>
      </c>
      <c r="BH17" s="90">
        <v>0</v>
      </c>
      <c r="BI17" s="90">
        <v>0</v>
      </c>
      <c r="BJ17" s="90">
        <v>8</v>
      </c>
      <c r="BK17" s="90">
        <v>5</v>
      </c>
      <c r="BL17" s="90">
        <f t="shared" si="11"/>
        <v>13</v>
      </c>
      <c r="BM17" s="90"/>
      <c r="BN17" s="90"/>
      <c r="BO17" s="90"/>
      <c r="BP17" s="90"/>
      <c r="BQ17" s="90"/>
      <c r="BR17" s="90"/>
      <c r="BS17" s="90"/>
      <c r="BT17" s="90"/>
      <c r="BU17" s="90">
        <f>SUM(BM17:BT17)</f>
        <v>0</v>
      </c>
      <c r="BV17" s="90"/>
      <c r="BW17" s="90"/>
      <c r="BX17" s="90"/>
      <c r="BY17" s="90"/>
      <c r="BZ17" s="90"/>
      <c r="CA17" s="90"/>
      <c r="CB17" s="90"/>
      <c r="CC17" s="90"/>
      <c r="CD17" s="90">
        <f>SUM(BV17:CC17)</f>
        <v>0</v>
      </c>
      <c r="CE17" s="90"/>
      <c r="CF17" s="90"/>
      <c r="CG17" s="90"/>
      <c r="CH17" s="90"/>
      <c r="CI17" s="90"/>
      <c r="CJ17" s="90"/>
      <c r="CK17" s="90"/>
      <c r="CL17" s="90"/>
      <c r="CM17" s="90">
        <f>SUM(CE17:CL17)</f>
        <v>0</v>
      </c>
      <c r="CN17" s="90"/>
      <c r="CO17" s="90"/>
      <c r="CP17" s="90"/>
      <c r="CQ17" s="90"/>
      <c r="CR17" s="90"/>
      <c r="CS17" s="90"/>
      <c r="CT17" s="90"/>
      <c r="CU17" s="90"/>
      <c r="CV17" s="90">
        <f>SUM(CN17:CU17)</f>
        <v>0</v>
      </c>
      <c r="CW17" s="90"/>
      <c r="CX17" s="90"/>
      <c r="CY17" s="90"/>
      <c r="CZ17" s="90"/>
      <c r="DA17" s="90"/>
      <c r="DB17" s="90"/>
      <c r="DC17" s="90"/>
      <c r="DD17" s="90"/>
      <c r="DE17" s="90">
        <f>SUM(CW17:DD17)</f>
        <v>0</v>
      </c>
      <c r="DF17" s="92"/>
      <c r="DG17" s="92"/>
      <c r="DH17" s="92"/>
      <c r="DI17" s="92"/>
      <c r="DJ17" s="92"/>
      <c r="DK17" s="92"/>
      <c r="DL17" s="92"/>
      <c r="DM17" s="92"/>
      <c r="DN17" s="92">
        <f>SUM(DF17:DM17)</f>
        <v>0</v>
      </c>
      <c r="DO17" s="93">
        <f t="shared" si="9"/>
        <v>142</v>
      </c>
      <c r="DP17" s="92"/>
      <c r="DQ17" s="94"/>
    </row>
    <row r="18" spans="2:121" ht="212.25" hidden="1" customHeight="1">
      <c r="B18" s="612" t="s">
        <v>74</v>
      </c>
      <c r="C18" s="612" t="s">
        <v>75</v>
      </c>
      <c r="D18" s="612" t="s">
        <v>80</v>
      </c>
      <c r="E18" s="621"/>
      <c r="F18" s="622" t="s">
        <v>156</v>
      </c>
      <c r="G18" s="612">
        <v>3532</v>
      </c>
      <c r="H18" s="624" t="s">
        <v>157</v>
      </c>
      <c r="I18" s="627">
        <v>2075</v>
      </c>
      <c r="J18" s="97" t="s">
        <v>72</v>
      </c>
      <c r="K18" s="614">
        <v>100</v>
      </c>
      <c r="L18" s="594"/>
      <c r="M18" s="594"/>
      <c r="N18" s="594"/>
      <c r="O18" s="594"/>
      <c r="P18" s="594"/>
      <c r="Q18" s="594"/>
      <c r="R18" s="595"/>
      <c r="S18" s="90">
        <f>SUM(K18:R18)</f>
        <v>100</v>
      </c>
      <c r="T18" s="614">
        <v>100</v>
      </c>
      <c r="U18" s="594"/>
      <c r="V18" s="594"/>
      <c r="W18" s="594"/>
      <c r="X18" s="594"/>
      <c r="Y18" s="594"/>
      <c r="Z18" s="594"/>
      <c r="AA18" s="595"/>
      <c r="AB18" s="90">
        <f t="shared" si="10"/>
        <v>100</v>
      </c>
      <c r="AC18" s="626">
        <v>200</v>
      </c>
      <c r="AD18" s="616"/>
      <c r="AE18" s="616"/>
      <c r="AF18" s="616"/>
      <c r="AG18" s="616"/>
      <c r="AH18" s="616"/>
      <c r="AI18" s="616"/>
      <c r="AJ18" s="617"/>
      <c r="AK18" s="90">
        <f t="shared" si="6"/>
        <v>200</v>
      </c>
      <c r="AL18" s="626">
        <v>200</v>
      </c>
      <c r="AM18" s="616"/>
      <c r="AN18" s="616"/>
      <c r="AO18" s="616"/>
      <c r="AP18" s="616"/>
      <c r="AQ18" s="616"/>
      <c r="AR18" s="616"/>
      <c r="AS18" s="617"/>
      <c r="AT18" s="91">
        <f t="shared" si="7"/>
        <v>200</v>
      </c>
      <c r="AU18" s="626">
        <v>150</v>
      </c>
      <c r="AV18" s="616"/>
      <c r="AW18" s="616"/>
      <c r="AX18" s="616"/>
      <c r="AY18" s="616"/>
      <c r="AZ18" s="616"/>
      <c r="BA18" s="616"/>
      <c r="BB18" s="617"/>
      <c r="BC18" s="90">
        <f t="shared" si="0"/>
        <v>150</v>
      </c>
      <c r="BD18" s="626">
        <v>200</v>
      </c>
      <c r="BE18" s="616"/>
      <c r="BF18" s="616"/>
      <c r="BG18" s="616"/>
      <c r="BH18" s="616"/>
      <c r="BI18" s="616"/>
      <c r="BJ18" s="616"/>
      <c r="BK18" s="617"/>
      <c r="BL18" s="90">
        <f t="shared" si="11"/>
        <v>200</v>
      </c>
      <c r="BM18" s="626">
        <v>200</v>
      </c>
      <c r="BN18" s="616"/>
      <c r="BO18" s="616"/>
      <c r="BP18" s="616"/>
      <c r="BQ18" s="616"/>
      <c r="BR18" s="616"/>
      <c r="BS18" s="616"/>
      <c r="BT18" s="617"/>
      <c r="BU18" s="90">
        <f t="shared" si="8"/>
        <v>200</v>
      </c>
      <c r="BV18" s="626">
        <v>200</v>
      </c>
      <c r="BW18" s="616"/>
      <c r="BX18" s="616"/>
      <c r="BY18" s="616"/>
      <c r="BZ18" s="616"/>
      <c r="CA18" s="616"/>
      <c r="CB18" s="616"/>
      <c r="CC18" s="617"/>
      <c r="CD18" s="90">
        <f t="shared" si="1"/>
        <v>200</v>
      </c>
      <c r="CE18" s="626">
        <v>200</v>
      </c>
      <c r="CF18" s="616"/>
      <c r="CG18" s="616"/>
      <c r="CH18" s="616"/>
      <c r="CI18" s="616"/>
      <c r="CJ18" s="616"/>
      <c r="CK18" s="616"/>
      <c r="CL18" s="617"/>
      <c r="CM18" s="90">
        <f t="shared" si="2"/>
        <v>200</v>
      </c>
      <c r="CN18" s="626">
        <v>200</v>
      </c>
      <c r="CO18" s="616"/>
      <c r="CP18" s="616"/>
      <c r="CQ18" s="616"/>
      <c r="CR18" s="616"/>
      <c r="CS18" s="616"/>
      <c r="CT18" s="616"/>
      <c r="CU18" s="617"/>
      <c r="CV18" s="90">
        <f t="shared" si="3"/>
        <v>200</v>
      </c>
      <c r="CW18" s="626">
        <v>200</v>
      </c>
      <c r="CX18" s="616"/>
      <c r="CY18" s="616"/>
      <c r="CZ18" s="616"/>
      <c r="DA18" s="616"/>
      <c r="DB18" s="616"/>
      <c r="DC18" s="616"/>
      <c r="DD18" s="617"/>
      <c r="DE18" s="90">
        <f t="shared" si="4"/>
        <v>200</v>
      </c>
      <c r="DF18" s="626">
        <v>125</v>
      </c>
      <c r="DG18" s="616"/>
      <c r="DH18" s="616"/>
      <c r="DI18" s="616"/>
      <c r="DJ18" s="616"/>
      <c r="DK18" s="616"/>
      <c r="DL18" s="616"/>
      <c r="DM18" s="617"/>
      <c r="DN18" s="92">
        <f t="shared" si="5"/>
        <v>125</v>
      </c>
      <c r="DO18" s="93">
        <f t="shared" si="9"/>
        <v>2075</v>
      </c>
      <c r="DP18" s="92"/>
      <c r="DQ18" s="94"/>
    </row>
    <row r="19" spans="2:121" ht="232.5" customHeight="1">
      <c r="B19" s="621"/>
      <c r="C19" s="621"/>
      <c r="D19" s="621"/>
      <c r="E19" s="621"/>
      <c r="F19" s="623"/>
      <c r="G19" s="621"/>
      <c r="H19" s="625"/>
      <c r="I19" s="613"/>
      <c r="J19" s="95" t="s">
        <v>73</v>
      </c>
      <c r="K19" s="96">
        <v>46</v>
      </c>
      <c r="L19" s="90">
        <v>32</v>
      </c>
      <c r="M19" s="90">
        <v>25</v>
      </c>
      <c r="N19" s="90">
        <v>23</v>
      </c>
      <c r="O19" s="90">
        <v>88</v>
      </c>
      <c r="P19" s="90">
        <v>46</v>
      </c>
      <c r="Q19" s="90">
        <v>15</v>
      </c>
      <c r="R19" s="90">
        <v>14</v>
      </c>
      <c r="S19" s="90">
        <f>SUM(K19:R19)</f>
        <v>289</v>
      </c>
      <c r="T19" s="96">
        <f>14+50+10+11+5</f>
        <v>90</v>
      </c>
      <c r="U19" s="90">
        <f>20+16+9+18+2</f>
        <v>65</v>
      </c>
      <c r="V19" s="90">
        <f>4+18+3+6</f>
        <v>31</v>
      </c>
      <c r="W19" s="90">
        <f>17+2+2</f>
        <v>21</v>
      </c>
      <c r="X19" s="90">
        <f>2+8+33+6+7</f>
        <v>56</v>
      </c>
      <c r="Y19" s="90">
        <f>7+4+4+1</f>
        <v>16</v>
      </c>
      <c r="Z19" s="90">
        <f>12+3+19</f>
        <v>34</v>
      </c>
      <c r="AA19" s="90">
        <f>8+4+2</f>
        <v>14</v>
      </c>
      <c r="AB19" s="90">
        <f>SUM(T19:AA19)</f>
        <v>327</v>
      </c>
      <c r="AC19" s="90">
        <v>105</v>
      </c>
      <c r="AD19" s="90">
        <v>89</v>
      </c>
      <c r="AE19" s="90">
        <v>16</v>
      </c>
      <c r="AF19" s="90">
        <v>5</v>
      </c>
      <c r="AG19" s="90">
        <v>120</v>
      </c>
      <c r="AH19" s="90">
        <v>59</v>
      </c>
      <c r="AI19" s="90">
        <f>16+11+10+8+12</f>
        <v>57</v>
      </c>
      <c r="AJ19" s="90">
        <f>5+5+4+2+2</f>
        <v>18</v>
      </c>
      <c r="AK19" s="90">
        <f t="shared" si="6"/>
        <v>469</v>
      </c>
      <c r="AL19" s="91">
        <v>89</v>
      </c>
      <c r="AM19" s="91">
        <v>66</v>
      </c>
      <c r="AN19" s="91">
        <v>37</v>
      </c>
      <c r="AO19" s="91">
        <v>29</v>
      </c>
      <c r="AP19" s="91">
        <v>95</v>
      </c>
      <c r="AQ19" s="91">
        <v>64</v>
      </c>
      <c r="AR19" s="91">
        <v>65</v>
      </c>
      <c r="AS19" s="91">
        <v>48</v>
      </c>
      <c r="AT19" s="91">
        <f t="shared" si="7"/>
        <v>493</v>
      </c>
      <c r="AU19" s="90">
        <f>9+12+25+26+10+23</f>
        <v>105</v>
      </c>
      <c r="AV19" s="90">
        <f>15+20+21+40+3+20</f>
        <v>119</v>
      </c>
      <c r="AW19" s="90">
        <f>11+4+4+5+2</f>
        <v>26</v>
      </c>
      <c r="AX19" s="90">
        <f>2</f>
        <v>2</v>
      </c>
      <c r="AY19" s="90">
        <f>14+23+25+14+22+13+10</f>
        <v>121</v>
      </c>
      <c r="AZ19" s="90">
        <f>10+3+19</f>
        <v>32</v>
      </c>
      <c r="BA19" s="90">
        <f>14+16+18+16</f>
        <v>64</v>
      </c>
      <c r="BB19" s="90">
        <f>3+7+9+7+8</f>
        <v>34</v>
      </c>
      <c r="BC19" s="90">
        <f t="shared" si="0"/>
        <v>503</v>
      </c>
      <c r="BD19" s="90">
        <f>22+12+12+20+25+9</f>
        <v>100</v>
      </c>
      <c r="BE19" s="90">
        <f>23+7+8+15+21+5</f>
        <v>79</v>
      </c>
      <c r="BF19" s="90">
        <f>5+10+4+8+5</f>
        <v>32</v>
      </c>
      <c r="BG19" s="90">
        <f>2+2+2+2+4</f>
        <v>12</v>
      </c>
      <c r="BH19" s="90">
        <f>12+15+4+18+25+20</f>
        <v>94</v>
      </c>
      <c r="BI19" s="90">
        <f>5+7+4+5+17</f>
        <v>38</v>
      </c>
      <c r="BJ19" s="90">
        <f>10+10+16+12+2+27</f>
        <v>77</v>
      </c>
      <c r="BK19" s="90">
        <f>2+4+8+10+16</f>
        <v>40</v>
      </c>
      <c r="BL19" s="90">
        <f t="shared" si="11"/>
        <v>472</v>
      </c>
      <c r="BM19" s="90"/>
      <c r="BN19" s="90"/>
      <c r="BO19" s="90"/>
      <c r="BP19" s="90"/>
      <c r="BQ19" s="90"/>
      <c r="BR19" s="90"/>
      <c r="BS19" s="90"/>
      <c r="BT19" s="90"/>
      <c r="BU19" s="90">
        <f t="shared" si="8"/>
        <v>0</v>
      </c>
      <c r="BV19" s="90"/>
      <c r="BW19" s="90"/>
      <c r="BX19" s="90"/>
      <c r="BY19" s="90"/>
      <c r="BZ19" s="90"/>
      <c r="CA19" s="90"/>
      <c r="CB19" s="90"/>
      <c r="CC19" s="90"/>
      <c r="CD19" s="90">
        <f t="shared" si="1"/>
        <v>0</v>
      </c>
      <c r="CE19" s="90"/>
      <c r="CF19" s="90"/>
      <c r="CG19" s="90"/>
      <c r="CH19" s="90"/>
      <c r="CI19" s="90"/>
      <c r="CJ19" s="90"/>
      <c r="CK19" s="90"/>
      <c r="CL19" s="90"/>
      <c r="CM19" s="90">
        <f t="shared" si="2"/>
        <v>0</v>
      </c>
      <c r="CN19" s="90"/>
      <c r="CO19" s="90"/>
      <c r="CP19" s="90"/>
      <c r="CQ19" s="90"/>
      <c r="CR19" s="90"/>
      <c r="CS19" s="90"/>
      <c r="CT19" s="90"/>
      <c r="CU19" s="90"/>
      <c r="CV19" s="90">
        <f t="shared" si="3"/>
        <v>0</v>
      </c>
      <c r="CW19" s="90"/>
      <c r="CX19" s="90"/>
      <c r="CY19" s="90"/>
      <c r="CZ19" s="90"/>
      <c r="DA19" s="90"/>
      <c r="DB19" s="90"/>
      <c r="DC19" s="90"/>
      <c r="DD19" s="90"/>
      <c r="DE19" s="90">
        <f t="shared" si="4"/>
        <v>0</v>
      </c>
      <c r="DF19" s="92"/>
      <c r="DG19" s="92"/>
      <c r="DH19" s="92"/>
      <c r="DI19" s="92"/>
      <c r="DJ19" s="92"/>
      <c r="DK19" s="92"/>
      <c r="DL19" s="92"/>
      <c r="DM19" s="92"/>
      <c r="DN19" s="92">
        <f t="shared" si="5"/>
        <v>0</v>
      </c>
      <c r="DO19" s="93">
        <f t="shared" si="9"/>
        <v>2553</v>
      </c>
      <c r="DP19" s="92"/>
      <c r="DQ19" s="94"/>
    </row>
    <row r="20" spans="2:121" ht="172.5" hidden="1" customHeight="1">
      <c r="B20" s="612" t="s">
        <v>74</v>
      </c>
      <c r="C20" s="612" t="s">
        <v>75</v>
      </c>
      <c r="D20" s="612" t="s">
        <v>80</v>
      </c>
      <c r="E20" s="621"/>
      <c r="F20" s="622" t="s">
        <v>156</v>
      </c>
      <c r="G20" s="612">
        <v>2771</v>
      </c>
      <c r="H20" s="624" t="s">
        <v>158</v>
      </c>
      <c r="I20" s="612">
        <v>1303</v>
      </c>
      <c r="J20" s="97" t="s">
        <v>72</v>
      </c>
      <c r="K20" s="614">
        <v>100</v>
      </c>
      <c r="L20" s="594"/>
      <c r="M20" s="594"/>
      <c r="N20" s="594"/>
      <c r="O20" s="594"/>
      <c r="P20" s="594"/>
      <c r="Q20" s="594"/>
      <c r="R20" s="595"/>
      <c r="S20" s="90">
        <f t="shared" ref="S20:S30" si="12">SUM(K20:R20)</f>
        <v>100</v>
      </c>
      <c r="T20" s="98">
        <v>100</v>
      </c>
      <c r="U20" s="99"/>
      <c r="V20" s="99"/>
      <c r="W20" s="99"/>
      <c r="X20" s="99"/>
      <c r="Y20" s="99"/>
      <c r="Z20" s="99"/>
      <c r="AA20" s="100"/>
      <c r="AB20" s="90">
        <f t="shared" ref="AB20:AB37" si="13">SUM(T20:AA20)</f>
        <v>100</v>
      </c>
      <c r="AC20" s="626">
        <v>118</v>
      </c>
      <c r="AD20" s="616"/>
      <c r="AE20" s="616"/>
      <c r="AF20" s="616"/>
      <c r="AG20" s="616"/>
      <c r="AH20" s="616"/>
      <c r="AI20" s="616"/>
      <c r="AJ20" s="617"/>
      <c r="AK20" s="90">
        <f t="shared" si="6"/>
        <v>118</v>
      </c>
      <c r="AL20" s="626">
        <v>100</v>
      </c>
      <c r="AM20" s="616"/>
      <c r="AN20" s="616"/>
      <c r="AO20" s="616"/>
      <c r="AP20" s="616"/>
      <c r="AQ20" s="616"/>
      <c r="AR20" s="616"/>
      <c r="AS20" s="617"/>
      <c r="AT20" s="91">
        <f t="shared" si="7"/>
        <v>100</v>
      </c>
      <c r="AU20" s="626">
        <v>185</v>
      </c>
      <c r="AV20" s="616"/>
      <c r="AW20" s="616"/>
      <c r="AX20" s="616"/>
      <c r="AY20" s="616"/>
      <c r="AZ20" s="616"/>
      <c r="BA20" s="616"/>
      <c r="BB20" s="617"/>
      <c r="BC20" s="90">
        <f t="shared" si="0"/>
        <v>185</v>
      </c>
      <c r="BD20" s="626">
        <v>100</v>
      </c>
      <c r="BE20" s="616"/>
      <c r="BF20" s="616"/>
      <c r="BG20" s="616"/>
      <c r="BH20" s="616"/>
      <c r="BI20" s="616"/>
      <c r="BJ20" s="616"/>
      <c r="BK20" s="617"/>
      <c r="BL20" s="90">
        <f t="shared" si="11"/>
        <v>100</v>
      </c>
      <c r="BM20" s="626">
        <v>100</v>
      </c>
      <c r="BN20" s="616"/>
      <c r="BO20" s="616"/>
      <c r="BP20" s="616"/>
      <c r="BQ20" s="616"/>
      <c r="BR20" s="616"/>
      <c r="BS20" s="616"/>
      <c r="BT20" s="617"/>
      <c r="BU20" s="90">
        <f t="shared" si="8"/>
        <v>100</v>
      </c>
      <c r="BV20" s="626">
        <v>100</v>
      </c>
      <c r="BW20" s="616"/>
      <c r="BX20" s="616"/>
      <c r="BY20" s="616"/>
      <c r="BZ20" s="616"/>
      <c r="CA20" s="616"/>
      <c r="CB20" s="616"/>
      <c r="CC20" s="617"/>
      <c r="CD20" s="90">
        <f t="shared" si="1"/>
        <v>100</v>
      </c>
      <c r="CE20" s="626">
        <v>100</v>
      </c>
      <c r="CF20" s="616"/>
      <c r="CG20" s="616"/>
      <c r="CH20" s="616"/>
      <c r="CI20" s="616"/>
      <c r="CJ20" s="616"/>
      <c r="CK20" s="616"/>
      <c r="CL20" s="617"/>
      <c r="CM20" s="90">
        <f t="shared" si="2"/>
        <v>100</v>
      </c>
      <c r="CN20" s="626">
        <v>100</v>
      </c>
      <c r="CO20" s="616"/>
      <c r="CP20" s="616"/>
      <c r="CQ20" s="616"/>
      <c r="CR20" s="616"/>
      <c r="CS20" s="616"/>
      <c r="CT20" s="616"/>
      <c r="CU20" s="617"/>
      <c r="CV20" s="90">
        <f t="shared" si="3"/>
        <v>100</v>
      </c>
      <c r="CW20" s="626">
        <v>100</v>
      </c>
      <c r="CX20" s="616"/>
      <c r="CY20" s="616"/>
      <c r="CZ20" s="616"/>
      <c r="DA20" s="616"/>
      <c r="DB20" s="616"/>
      <c r="DC20" s="616"/>
      <c r="DD20" s="617"/>
      <c r="DE20" s="90">
        <f t="shared" si="4"/>
        <v>100</v>
      </c>
      <c r="DF20" s="626">
        <v>100</v>
      </c>
      <c r="DG20" s="616"/>
      <c r="DH20" s="616"/>
      <c r="DI20" s="616"/>
      <c r="DJ20" s="616"/>
      <c r="DK20" s="616"/>
      <c r="DL20" s="616"/>
      <c r="DM20" s="617"/>
      <c r="DN20" s="92">
        <f t="shared" si="5"/>
        <v>100</v>
      </c>
      <c r="DO20" s="93">
        <f t="shared" si="9"/>
        <v>1303</v>
      </c>
      <c r="DP20" s="92"/>
      <c r="DQ20" s="94"/>
    </row>
    <row r="21" spans="2:121" ht="177" customHeight="1">
      <c r="B21" s="621"/>
      <c r="C21" s="621"/>
      <c r="D21" s="621"/>
      <c r="E21" s="621"/>
      <c r="F21" s="623"/>
      <c r="G21" s="621"/>
      <c r="H21" s="625"/>
      <c r="I21" s="613"/>
      <c r="J21" s="95" t="s">
        <v>73</v>
      </c>
      <c r="K21" s="96">
        <v>35</v>
      </c>
      <c r="L21" s="90">
        <v>28</v>
      </c>
      <c r="M21" s="90">
        <v>13</v>
      </c>
      <c r="N21" s="90">
        <v>9</v>
      </c>
      <c r="O21" s="90">
        <v>46</v>
      </c>
      <c r="P21" s="90">
        <v>34</v>
      </c>
      <c r="Q21" s="90">
        <v>20</v>
      </c>
      <c r="R21" s="90">
        <v>13</v>
      </c>
      <c r="S21" s="90">
        <f t="shared" si="12"/>
        <v>198</v>
      </c>
      <c r="T21" s="96">
        <f>18+8</f>
        <v>26</v>
      </c>
      <c r="U21" s="90">
        <f>16+9</f>
        <v>25</v>
      </c>
      <c r="V21" s="90">
        <f>9</f>
        <v>9</v>
      </c>
      <c r="W21" s="90">
        <f>8+1</f>
        <v>9</v>
      </c>
      <c r="X21" s="90">
        <f>12+20+14</f>
        <v>46</v>
      </c>
      <c r="Y21" s="90">
        <f>6+5+8</f>
        <v>19</v>
      </c>
      <c r="Z21" s="90">
        <f>9+1+10</f>
        <v>20</v>
      </c>
      <c r="AA21" s="90">
        <f>13+3</f>
        <v>16</v>
      </c>
      <c r="AB21" s="90">
        <f t="shared" si="13"/>
        <v>170</v>
      </c>
      <c r="AC21" s="90">
        <f>16+13</f>
        <v>29</v>
      </c>
      <c r="AD21" s="90">
        <f>29+10</f>
        <v>39</v>
      </c>
      <c r="AE21" s="90">
        <f>6+1</f>
        <v>7</v>
      </c>
      <c r="AF21" s="90">
        <f>7+4</f>
        <v>11</v>
      </c>
      <c r="AG21" s="90">
        <f>15+42+19</f>
        <v>76</v>
      </c>
      <c r="AH21" s="90">
        <f>8+7</f>
        <v>15</v>
      </c>
      <c r="AI21" s="90">
        <f>12+8</f>
        <v>20</v>
      </c>
      <c r="AJ21" s="90">
        <f>12+9</f>
        <v>21</v>
      </c>
      <c r="AK21" s="90">
        <f t="shared" si="6"/>
        <v>218</v>
      </c>
      <c r="AL21" s="91">
        <v>48</v>
      </c>
      <c r="AM21" s="91">
        <v>34</v>
      </c>
      <c r="AN21" s="91">
        <v>36</v>
      </c>
      <c r="AO21" s="91">
        <v>20</v>
      </c>
      <c r="AP21" s="91">
        <v>36</v>
      </c>
      <c r="AQ21" s="91">
        <v>24</v>
      </c>
      <c r="AR21" s="91">
        <v>28</v>
      </c>
      <c r="AS21" s="91">
        <v>24</v>
      </c>
      <c r="AT21" s="91">
        <f t="shared" si="7"/>
        <v>250</v>
      </c>
      <c r="AU21" s="90">
        <f>26+12</f>
        <v>38</v>
      </c>
      <c r="AV21" s="90">
        <f>28+9</f>
        <v>37</v>
      </c>
      <c r="AW21" s="90">
        <f>16+1</f>
        <v>17</v>
      </c>
      <c r="AX21" s="90">
        <f>19+1</f>
        <v>20</v>
      </c>
      <c r="AY21" s="90">
        <f>26+31+32</f>
        <v>89</v>
      </c>
      <c r="AZ21" s="90">
        <f>19+23</f>
        <v>42</v>
      </c>
      <c r="BA21" s="90">
        <f>20+14</f>
        <v>34</v>
      </c>
      <c r="BB21" s="90">
        <f>24+8</f>
        <v>32</v>
      </c>
      <c r="BC21" s="90">
        <f t="shared" si="0"/>
        <v>309</v>
      </c>
      <c r="BD21" s="90">
        <f>35+6</f>
        <v>41</v>
      </c>
      <c r="BE21" s="90">
        <f>26+3</f>
        <v>29</v>
      </c>
      <c r="BF21" s="90">
        <f>13+2</f>
        <v>15</v>
      </c>
      <c r="BG21" s="90">
        <v>17</v>
      </c>
      <c r="BH21" s="90">
        <f>26+59+23+15</f>
        <v>123</v>
      </c>
      <c r="BI21" s="90">
        <f>19+9+19</f>
        <v>47</v>
      </c>
      <c r="BJ21" s="90">
        <f>15+10</f>
        <v>25</v>
      </c>
      <c r="BK21" s="90">
        <f>11+13</f>
        <v>24</v>
      </c>
      <c r="BL21" s="90">
        <f t="shared" si="11"/>
        <v>321</v>
      </c>
      <c r="BM21" s="90"/>
      <c r="BN21" s="90"/>
      <c r="BO21" s="90"/>
      <c r="BP21" s="90"/>
      <c r="BQ21" s="90"/>
      <c r="BR21" s="90"/>
      <c r="BS21" s="90"/>
      <c r="BT21" s="90"/>
      <c r="BU21" s="90">
        <f t="shared" si="8"/>
        <v>0</v>
      </c>
      <c r="BV21" s="90"/>
      <c r="BW21" s="90"/>
      <c r="BX21" s="90"/>
      <c r="BY21" s="90"/>
      <c r="BZ21" s="90"/>
      <c r="CA21" s="90"/>
      <c r="CB21" s="90"/>
      <c r="CC21" s="90"/>
      <c r="CD21" s="90">
        <f t="shared" si="1"/>
        <v>0</v>
      </c>
      <c r="CE21" s="90"/>
      <c r="CF21" s="90"/>
      <c r="CG21" s="90"/>
      <c r="CH21" s="90"/>
      <c r="CI21" s="90"/>
      <c r="CJ21" s="90"/>
      <c r="CK21" s="90"/>
      <c r="CL21" s="90"/>
      <c r="CM21" s="90">
        <f t="shared" si="2"/>
        <v>0</v>
      </c>
      <c r="CN21" s="90"/>
      <c r="CO21" s="90"/>
      <c r="CP21" s="90"/>
      <c r="CQ21" s="90"/>
      <c r="CR21" s="90"/>
      <c r="CS21" s="90"/>
      <c r="CT21" s="90"/>
      <c r="CU21" s="90"/>
      <c r="CV21" s="90">
        <f t="shared" si="3"/>
        <v>0</v>
      </c>
      <c r="CW21" s="90"/>
      <c r="CX21" s="90"/>
      <c r="CY21" s="90"/>
      <c r="CZ21" s="90"/>
      <c r="DA21" s="90"/>
      <c r="DB21" s="90"/>
      <c r="DC21" s="90"/>
      <c r="DD21" s="90"/>
      <c r="DE21" s="90">
        <f t="shared" si="4"/>
        <v>0</v>
      </c>
      <c r="DF21" s="92"/>
      <c r="DG21" s="92"/>
      <c r="DH21" s="92"/>
      <c r="DI21" s="92"/>
      <c r="DJ21" s="92"/>
      <c r="DK21" s="92"/>
      <c r="DL21" s="92"/>
      <c r="DM21" s="92"/>
      <c r="DN21" s="92">
        <f t="shared" si="5"/>
        <v>0</v>
      </c>
      <c r="DO21" s="93">
        <f t="shared" si="9"/>
        <v>1466</v>
      </c>
      <c r="DP21" s="92"/>
      <c r="DQ21" s="94"/>
    </row>
    <row r="22" spans="2:121" ht="187.5" hidden="1" customHeight="1">
      <c r="B22" s="612" t="s">
        <v>74</v>
      </c>
      <c r="C22" s="612" t="s">
        <v>75</v>
      </c>
      <c r="D22" s="612" t="s">
        <v>80</v>
      </c>
      <c r="E22" s="621"/>
      <c r="F22" s="622" t="s">
        <v>156</v>
      </c>
      <c r="G22" s="612">
        <v>360</v>
      </c>
      <c r="H22" s="624" t="s">
        <v>159</v>
      </c>
      <c r="I22" s="612">
        <v>265</v>
      </c>
      <c r="J22" s="97" t="s">
        <v>72</v>
      </c>
      <c r="K22" s="614">
        <v>20</v>
      </c>
      <c r="L22" s="594"/>
      <c r="M22" s="594"/>
      <c r="N22" s="594"/>
      <c r="O22" s="594"/>
      <c r="P22" s="594"/>
      <c r="Q22" s="594"/>
      <c r="R22" s="595"/>
      <c r="S22" s="90">
        <f>SUM(K22:R22)</f>
        <v>20</v>
      </c>
      <c r="T22" s="98">
        <v>10</v>
      </c>
      <c r="U22" s="99"/>
      <c r="V22" s="99"/>
      <c r="W22" s="99"/>
      <c r="X22" s="99"/>
      <c r="Y22" s="99"/>
      <c r="Z22" s="99"/>
      <c r="AA22" s="100"/>
      <c r="AB22" s="90">
        <f t="shared" si="13"/>
        <v>10</v>
      </c>
      <c r="AC22" s="626">
        <v>20</v>
      </c>
      <c r="AD22" s="616"/>
      <c r="AE22" s="616"/>
      <c r="AF22" s="616"/>
      <c r="AG22" s="616"/>
      <c r="AH22" s="616"/>
      <c r="AI22" s="616"/>
      <c r="AJ22" s="617"/>
      <c r="AK22" s="90">
        <f t="shared" si="6"/>
        <v>20</v>
      </c>
      <c r="AL22" s="626">
        <v>40</v>
      </c>
      <c r="AM22" s="616"/>
      <c r="AN22" s="616"/>
      <c r="AO22" s="616"/>
      <c r="AP22" s="616"/>
      <c r="AQ22" s="616"/>
      <c r="AR22" s="616"/>
      <c r="AS22" s="617"/>
      <c r="AT22" s="91">
        <f t="shared" si="7"/>
        <v>40</v>
      </c>
      <c r="AU22" s="626">
        <v>25</v>
      </c>
      <c r="AV22" s="616"/>
      <c r="AW22" s="616"/>
      <c r="AX22" s="616"/>
      <c r="AY22" s="616"/>
      <c r="AZ22" s="616"/>
      <c r="BA22" s="616"/>
      <c r="BB22" s="617"/>
      <c r="BC22" s="90">
        <f t="shared" si="0"/>
        <v>25</v>
      </c>
      <c r="BD22" s="626">
        <v>40</v>
      </c>
      <c r="BE22" s="616"/>
      <c r="BF22" s="616"/>
      <c r="BG22" s="616"/>
      <c r="BH22" s="616"/>
      <c r="BI22" s="616"/>
      <c r="BJ22" s="616"/>
      <c r="BK22" s="617"/>
      <c r="BL22" s="90">
        <f t="shared" si="11"/>
        <v>40</v>
      </c>
      <c r="BM22" s="626">
        <v>30</v>
      </c>
      <c r="BN22" s="616"/>
      <c r="BO22" s="616"/>
      <c r="BP22" s="616"/>
      <c r="BQ22" s="616"/>
      <c r="BR22" s="616"/>
      <c r="BS22" s="616"/>
      <c r="BT22" s="617"/>
      <c r="BU22" s="90">
        <f t="shared" si="8"/>
        <v>30</v>
      </c>
      <c r="BV22" s="626">
        <v>30</v>
      </c>
      <c r="BW22" s="616"/>
      <c r="BX22" s="616"/>
      <c r="BY22" s="616"/>
      <c r="BZ22" s="616"/>
      <c r="CA22" s="616"/>
      <c r="CB22" s="616"/>
      <c r="CC22" s="617"/>
      <c r="CD22" s="90">
        <f>SUM(BV22:CC22)</f>
        <v>30</v>
      </c>
      <c r="CE22" s="626">
        <v>10</v>
      </c>
      <c r="CF22" s="616"/>
      <c r="CG22" s="616"/>
      <c r="CH22" s="616"/>
      <c r="CI22" s="616"/>
      <c r="CJ22" s="616"/>
      <c r="CK22" s="616"/>
      <c r="CL22" s="617"/>
      <c r="CM22" s="90">
        <f t="shared" si="2"/>
        <v>10</v>
      </c>
      <c r="CN22" s="626">
        <v>10</v>
      </c>
      <c r="CO22" s="616"/>
      <c r="CP22" s="616"/>
      <c r="CQ22" s="616"/>
      <c r="CR22" s="616"/>
      <c r="CS22" s="616"/>
      <c r="CT22" s="616"/>
      <c r="CU22" s="617"/>
      <c r="CV22" s="90">
        <f>SUM(CN22:CU22)</f>
        <v>10</v>
      </c>
      <c r="CW22" s="626">
        <v>10</v>
      </c>
      <c r="CX22" s="616"/>
      <c r="CY22" s="616"/>
      <c r="CZ22" s="616"/>
      <c r="DA22" s="616"/>
      <c r="DB22" s="616"/>
      <c r="DC22" s="616"/>
      <c r="DD22" s="617"/>
      <c r="DE22" s="90">
        <f t="shared" si="4"/>
        <v>10</v>
      </c>
      <c r="DF22" s="626">
        <v>10</v>
      </c>
      <c r="DG22" s="616"/>
      <c r="DH22" s="616"/>
      <c r="DI22" s="616"/>
      <c r="DJ22" s="616"/>
      <c r="DK22" s="616"/>
      <c r="DL22" s="616"/>
      <c r="DM22" s="617"/>
      <c r="DN22" s="101">
        <v>20</v>
      </c>
      <c r="DO22" s="93">
        <f t="shared" si="9"/>
        <v>265</v>
      </c>
      <c r="DP22" s="102"/>
      <c r="DQ22" s="94"/>
    </row>
    <row r="23" spans="2:121" ht="174.75" customHeight="1">
      <c r="B23" s="621"/>
      <c r="C23" s="621"/>
      <c r="D23" s="621"/>
      <c r="E23" s="621"/>
      <c r="F23" s="623"/>
      <c r="G23" s="621"/>
      <c r="H23" s="625"/>
      <c r="I23" s="613"/>
      <c r="J23" s="95" t="s">
        <v>73</v>
      </c>
      <c r="K23" s="103">
        <v>14</v>
      </c>
      <c r="L23" s="103">
        <v>9</v>
      </c>
      <c r="M23" s="103">
        <v>0</v>
      </c>
      <c r="N23" s="103">
        <v>1</v>
      </c>
      <c r="O23" s="103">
        <v>22</v>
      </c>
      <c r="P23" s="103">
        <v>15</v>
      </c>
      <c r="Q23" s="103">
        <v>5</v>
      </c>
      <c r="R23" s="103">
        <v>1</v>
      </c>
      <c r="S23" s="90">
        <f t="shared" si="12"/>
        <v>67</v>
      </c>
      <c r="T23" s="96">
        <v>20</v>
      </c>
      <c r="U23" s="90">
        <v>21</v>
      </c>
      <c r="V23" s="90">
        <v>2</v>
      </c>
      <c r="W23" s="90">
        <v>1</v>
      </c>
      <c r="X23" s="90">
        <v>16</v>
      </c>
      <c r="Y23" s="90">
        <v>8</v>
      </c>
      <c r="Z23" s="90">
        <v>5</v>
      </c>
      <c r="AA23" s="90">
        <v>2</v>
      </c>
      <c r="AB23" s="90">
        <f t="shared" si="13"/>
        <v>75</v>
      </c>
      <c r="AC23" s="92">
        <v>0</v>
      </c>
      <c r="AD23" s="92">
        <v>0</v>
      </c>
      <c r="AE23" s="92">
        <v>0</v>
      </c>
      <c r="AF23" s="92">
        <v>0</v>
      </c>
      <c r="AG23" s="92">
        <v>33</v>
      </c>
      <c r="AH23" s="92">
        <v>20</v>
      </c>
      <c r="AI23" s="92">
        <v>18</v>
      </c>
      <c r="AJ23" s="92">
        <v>21</v>
      </c>
      <c r="AK23" s="90">
        <f t="shared" si="6"/>
        <v>92</v>
      </c>
      <c r="AL23" s="104">
        <v>0</v>
      </c>
      <c r="AM23" s="104">
        <v>0</v>
      </c>
      <c r="AN23" s="104">
        <v>0</v>
      </c>
      <c r="AO23" s="104">
        <v>0</v>
      </c>
      <c r="AP23" s="104">
        <v>18</v>
      </c>
      <c r="AQ23" s="104">
        <v>9</v>
      </c>
      <c r="AR23" s="104">
        <v>0</v>
      </c>
      <c r="AS23" s="104">
        <v>0</v>
      </c>
      <c r="AT23" s="91">
        <f t="shared" si="7"/>
        <v>27</v>
      </c>
      <c r="AU23" s="103">
        <v>0</v>
      </c>
      <c r="AV23" s="103">
        <v>0</v>
      </c>
      <c r="AW23" s="103">
        <v>0</v>
      </c>
      <c r="AX23" s="103">
        <v>0</v>
      </c>
      <c r="AY23" s="103">
        <v>0</v>
      </c>
      <c r="AZ23" s="103">
        <v>0</v>
      </c>
      <c r="BA23" s="103">
        <v>13</v>
      </c>
      <c r="BB23" s="103">
        <v>5</v>
      </c>
      <c r="BC23" s="90">
        <f t="shared" si="0"/>
        <v>18</v>
      </c>
      <c r="BD23" s="103">
        <v>0</v>
      </c>
      <c r="BE23" s="103">
        <v>0</v>
      </c>
      <c r="BF23" s="103">
        <v>0</v>
      </c>
      <c r="BG23" s="103">
        <v>0</v>
      </c>
      <c r="BH23" s="103">
        <v>15</v>
      </c>
      <c r="BI23" s="103">
        <v>8</v>
      </c>
      <c r="BJ23" s="103">
        <v>4</v>
      </c>
      <c r="BK23" s="103">
        <v>5</v>
      </c>
      <c r="BL23" s="90">
        <f t="shared" si="11"/>
        <v>32</v>
      </c>
      <c r="BM23" s="103"/>
      <c r="BN23" s="103"/>
      <c r="BO23" s="103"/>
      <c r="BP23" s="103"/>
      <c r="BQ23" s="103"/>
      <c r="BR23" s="103"/>
      <c r="BS23" s="103"/>
      <c r="BT23" s="103"/>
      <c r="BU23" s="90">
        <f t="shared" si="8"/>
        <v>0</v>
      </c>
      <c r="BV23" s="103"/>
      <c r="BW23" s="103"/>
      <c r="BX23" s="103"/>
      <c r="BY23" s="103"/>
      <c r="BZ23" s="103"/>
      <c r="CA23" s="103"/>
      <c r="CB23" s="103"/>
      <c r="CC23" s="103"/>
      <c r="CD23" s="90">
        <f>SUM(BV23:CC23)</f>
        <v>0</v>
      </c>
      <c r="CE23" s="103"/>
      <c r="CF23" s="103"/>
      <c r="CG23" s="103"/>
      <c r="CH23" s="103"/>
      <c r="CI23" s="103"/>
      <c r="CJ23" s="103"/>
      <c r="CK23" s="103"/>
      <c r="CL23" s="103"/>
      <c r="CM23" s="90">
        <f t="shared" si="2"/>
        <v>0</v>
      </c>
      <c r="CN23" s="103"/>
      <c r="CO23" s="103"/>
      <c r="CP23" s="103"/>
      <c r="CQ23" s="103"/>
      <c r="CR23" s="103"/>
      <c r="CS23" s="103"/>
      <c r="CT23" s="103"/>
      <c r="CU23" s="103"/>
      <c r="CV23" s="90">
        <f>SUM(CN23:CU23)</f>
        <v>0</v>
      </c>
      <c r="CW23" s="103"/>
      <c r="CX23" s="103"/>
      <c r="CY23" s="103"/>
      <c r="CZ23" s="103"/>
      <c r="DA23" s="103"/>
      <c r="DB23" s="103"/>
      <c r="DC23" s="103"/>
      <c r="DD23" s="103"/>
      <c r="DE23" s="90">
        <f t="shared" si="4"/>
        <v>0</v>
      </c>
      <c r="DF23" s="103"/>
      <c r="DG23" s="103"/>
      <c r="DH23" s="103"/>
      <c r="DI23" s="103"/>
      <c r="DJ23" s="103"/>
      <c r="DK23" s="103"/>
      <c r="DL23" s="103"/>
      <c r="DM23" s="103"/>
      <c r="DN23" s="92">
        <f>SUM(DF23:DM23)</f>
        <v>0</v>
      </c>
      <c r="DO23" s="93">
        <f t="shared" si="9"/>
        <v>311</v>
      </c>
      <c r="DP23" s="102"/>
      <c r="DQ23" s="94"/>
    </row>
    <row r="24" spans="2:121" ht="197.25" hidden="1" customHeight="1">
      <c r="B24" s="612" t="s">
        <v>74</v>
      </c>
      <c r="C24" s="612" t="s">
        <v>75</v>
      </c>
      <c r="D24" s="612" t="s">
        <v>80</v>
      </c>
      <c r="E24" s="621"/>
      <c r="F24" s="622" t="s">
        <v>156</v>
      </c>
      <c r="G24" s="612">
        <v>3451</v>
      </c>
      <c r="H24" s="624" t="s">
        <v>131</v>
      </c>
      <c r="I24" s="627">
        <v>1785</v>
      </c>
      <c r="J24" s="105" t="s">
        <v>72</v>
      </c>
      <c r="K24" s="614">
        <v>100</v>
      </c>
      <c r="L24" s="594"/>
      <c r="M24" s="594"/>
      <c r="N24" s="594"/>
      <c r="O24" s="594"/>
      <c r="P24" s="594"/>
      <c r="Q24" s="594"/>
      <c r="R24" s="595"/>
      <c r="S24" s="90">
        <f>SUM(K24:R24)</f>
        <v>100</v>
      </c>
      <c r="T24" s="98">
        <v>100</v>
      </c>
      <c r="U24" s="99"/>
      <c r="V24" s="99"/>
      <c r="W24" s="99"/>
      <c r="X24" s="99"/>
      <c r="Y24" s="99"/>
      <c r="Z24" s="99"/>
      <c r="AA24" s="100"/>
      <c r="AB24" s="90">
        <f t="shared" si="13"/>
        <v>100</v>
      </c>
      <c r="AC24" s="626">
        <v>160</v>
      </c>
      <c r="AD24" s="616"/>
      <c r="AE24" s="616"/>
      <c r="AF24" s="616"/>
      <c r="AG24" s="616"/>
      <c r="AH24" s="616"/>
      <c r="AI24" s="616"/>
      <c r="AJ24" s="617"/>
      <c r="AK24" s="90">
        <f t="shared" si="6"/>
        <v>160</v>
      </c>
      <c r="AL24" s="626">
        <v>100</v>
      </c>
      <c r="AM24" s="616"/>
      <c r="AN24" s="616"/>
      <c r="AO24" s="616"/>
      <c r="AP24" s="616"/>
      <c r="AQ24" s="616"/>
      <c r="AR24" s="616"/>
      <c r="AS24" s="617"/>
      <c r="AT24" s="91">
        <f t="shared" si="7"/>
        <v>100</v>
      </c>
      <c r="AU24" s="626">
        <v>100</v>
      </c>
      <c r="AV24" s="616"/>
      <c r="AW24" s="616"/>
      <c r="AX24" s="616"/>
      <c r="AY24" s="616"/>
      <c r="AZ24" s="616"/>
      <c r="BA24" s="616"/>
      <c r="BB24" s="617"/>
      <c r="BC24" s="90">
        <f t="shared" si="0"/>
        <v>100</v>
      </c>
      <c r="BD24" s="626">
        <v>100</v>
      </c>
      <c r="BE24" s="616"/>
      <c r="BF24" s="616"/>
      <c r="BG24" s="616"/>
      <c r="BH24" s="616"/>
      <c r="BI24" s="616"/>
      <c r="BJ24" s="616"/>
      <c r="BK24" s="617"/>
      <c r="BL24" s="90">
        <f t="shared" si="11"/>
        <v>100</v>
      </c>
      <c r="BM24" s="626">
        <v>160</v>
      </c>
      <c r="BN24" s="616"/>
      <c r="BO24" s="616"/>
      <c r="BP24" s="616"/>
      <c r="BQ24" s="616"/>
      <c r="BR24" s="616"/>
      <c r="BS24" s="616"/>
      <c r="BT24" s="617"/>
      <c r="BU24" s="90">
        <f t="shared" si="8"/>
        <v>160</v>
      </c>
      <c r="BV24" s="626">
        <v>300</v>
      </c>
      <c r="BW24" s="616"/>
      <c r="BX24" s="616"/>
      <c r="BY24" s="616"/>
      <c r="BZ24" s="616"/>
      <c r="CA24" s="616"/>
      <c r="CB24" s="616"/>
      <c r="CC24" s="617"/>
      <c r="CD24" s="90">
        <f t="shared" si="1"/>
        <v>300</v>
      </c>
      <c r="CE24" s="626">
        <v>100</v>
      </c>
      <c r="CF24" s="616"/>
      <c r="CG24" s="616"/>
      <c r="CH24" s="616"/>
      <c r="CI24" s="616"/>
      <c r="CJ24" s="616"/>
      <c r="CK24" s="616"/>
      <c r="CL24" s="617"/>
      <c r="CM24" s="90">
        <f t="shared" si="2"/>
        <v>100</v>
      </c>
      <c r="CN24" s="626">
        <v>230</v>
      </c>
      <c r="CO24" s="616"/>
      <c r="CP24" s="616"/>
      <c r="CQ24" s="616"/>
      <c r="CR24" s="616"/>
      <c r="CS24" s="616"/>
      <c r="CT24" s="616"/>
      <c r="CU24" s="617"/>
      <c r="CV24" s="90">
        <f t="shared" si="3"/>
        <v>230</v>
      </c>
      <c r="CW24" s="626">
        <v>200</v>
      </c>
      <c r="CX24" s="616"/>
      <c r="CY24" s="616"/>
      <c r="CZ24" s="616"/>
      <c r="DA24" s="616"/>
      <c r="DB24" s="616"/>
      <c r="DC24" s="616"/>
      <c r="DD24" s="617"/>
      <c r="DE24" s="90">
        <f t="shared" si="4"/>
        <v>200</v>
      </c>
      <c r="DF24" s="626">
        <v>135</v>
      </c>
      <c r="DG24" s="616"/>
      <c r="DH24" s="616"/>
      <c r="DI24" s="616"/>
      <c r="DJ24" s="616"/>
      <c r="DK24" s="616"/>
      <c r="DL24" s="616"/>
      <c r="DM24" s="617"/>
      <c r="DN24" s="92">
        <f t="shared" si="5"/>
        <v>135</v>
      </c>
      <c r="DO24" s="93">
        <f t="shared" si="9"/>
        <v>1785</v>
      </c>
      <c r="DP24" s="102"/>
      <c r="DQ24" s="94"/>
    </row>
    <row r="25" spans="2:121" ht="199.5" customHeight="1">
      <c r="B25" s="621"/>
      <c r="C25" s="621"/>
      <c r="D25" s="621"/>
      <c r="E25" s="621"/>
      <c r="F25" s="623"/>
      <c r="G25" s="621"/>
      <c r="H25" s="625"/>
      <c r="I25" s="613"/>
      <c r="J25" s="106" t="s">
        <v>73</v>
      </c>
      <c r="K25" s="96">
        <v>38</v>
      </c>
      <c r="L25" s="90">
        <v>29</v>
      </c>
      <c r="M25" s="90">
        <v>13</v>
      </c>
      <c r="N25" s="90">
        <v>12</v>
      </c>
      <c r="O25" s="96">
        <v>52</v>
      </c>
      <c r="P25" s="90">
        <v>32</v>
      </c>
      <c r="Q25" s="90">
        <v>9</v>
      </c>
      <c r="R25" s="90">
        <v>4</v>
      </c>
      <c r="S25" s="90">
        <f t="shared" si="12"/>
        <v>189</v>
      </c>
      <c r="T25" s="96">
        <f>2+4+1</f>
        <v>7</v>
      </c>
      <c r="U25" s="90">
        <f>4+1+5</f>
        <v>10</v>
      </c>
      <c r="V25" s="90">
        <v>12</v>
      </c>
      <c r="W25" s="90">
        <v>10</v>
      </c>
      <c r="X25" s="90">
        <f>6+55+95+93</f>
        <v>249</v>
      </c>
      <c r="Y25" s="90">
        <f>2+26+39+22</f>
        <v>89</v>
      </c>
      <c r="Z25" s="90">
        <v>30</v>
      </c>
      <c r="AA25" s="90">
        <v>6</v>
      </c>
      <c r="AB25" s="90">
        <f t="shared" si="13"/>
        <v>413</v>
      </c>
      <c r="AC25" s="90">
        <v>72</v>
      </c>
      <c r="AD25" s="90">
        <v>51</v>
      </c>
      <c r="AE25" s="90">
        <v>8</v>
      </c>
      <c r="AF25" s="90">
        <v>3</v>
      </c>
      <c r="AG25" s="90">
        <f>205+79+59+26</f>
        <v>369</v>
      </c>
      <c r="AH25" s="90">
        <f>74+3+26+5</f>
        <v>108</v>
      </c>
      <c r="AI25" s="90">
        <f>16+9+12</f>
        <v>37</v>
      </c>
      <c r="AJ25" s="90">
        <f>6+2+6</f>
        <v>14</v>
      </c>
      <c r="AK25" s="90">
        <f t="shared" si="6"/>
        <v>662</v>
      </c>
      <c r="AL25" s="91">
        <v>51</v>
      </c>
      <c r="AM25" s="91">
        <v>36</v>
      </c>
      <c r="AN25" s="91">
        <v>22</v>
      </c>
      <c r="AO25" s="91">
        <v>18</v>
      </c>
      <c r="AP25" s="91">
        <v>145</v>
      </c>
      <c r="AQ25" s="91">
        <v>72</v>
      </c>
      <c r="AR25" s="91">
        <v>29</v>
      </c>
      <c r="AS25" s="91">
        <v>17</v>
      </c>
      <c r="AT25" s="91">
        <f t="shared" si="7"/>
        <v>390</v>
      </c>
      <c r="AU25" s="107">
        <f>4+13+12+25</f>
        <v>54</v>
      </c>
      <c r="AV25" s="107">
        <f>6+15+2+26</f>
        <v>49</v>
      </c>
      <c r="AW25" s="107">
        <f>1+1+10</f>
        <v>12</v>
      </c>
      <c r="AX25" s="107">
        <f>1+5</f>
        <v>6</v>
      </c>
      <c r="AY25" s="107">
        <f>61+129+138</f>
        <v>328</v>
      </c>
      <c r="AZ25" s="107">
        <f>2+51+49</f>
        <v>102</v>
      </c>
      <c r="BA25" s="107">
        <f>6+13+16</f>
        <v>35</v>
      </c>
      <c r="BB25" s="107">
        <f>2+8+6</f>
        <v>16</v>
      </c>
      <c r="BC25" s="90">
        <f t="shared" si="0"/>
        <v>602</v>
      </c>
      <c r="BD25" s="107">
        <f>12+45</f>
        <v>57</v>
      </c>
      <c r="BE25" s="107">
        <f>11+38</f>
        <v>49</v>
      </c>
      <c r="BF25" s="107">
        <f>8+12</f>
        <v>20</v>
      </c>
      <c r="BG25" s="107">
        <f>5+5</f>
        <v>10</v>
      </c>
      <c r="BH25" s="107">
        <f>61+34+77+49</f>
        <v>221</v>
      </c>
      <c r="BI25" s="107">
        <f>27+5+21+27+23</f>
        <v>103</v>
      </c>
      <c r="BJ25" s="107">
        <f>5+7+16</f>
        <v>28</v>
      </c>
      <c r="BK25" s="107">
        <f>2+5+5</f>
        <v>12</v>
      </c>
      <c r="BL25" s="90">
        <f t="shared" si="11"/>
        <v>500</v>
      </c>
      <c r="BM25" s="107"/>
      <c r="BN25" s="107"/>
      <c r="BO25" s="107"/>
      <c r="BP25" s="107"/>
      <c r="BQ25" s="107"/>
      <c r="BR25" s="107"/>
      <c r="BS25" s="107"/>
      <c r="BT25" s="107"/>
      <c r="BU25" s="90">
        <f t="shared" si="8"/>
        <v>0</v>
      </c>
      <c r="BV25" s="107"/>
      <c r="BW25" s="107"/>
      <c r="BX25" s="107"/>
      <c r="BY25" s="107"/>
      <c r="BZ25" s="107"/>
      <c r="CA25" s="107"/>
      <c r="CB25" s="107"/>
      <c r="CC25" s="107"/>
      <c r="CD25" s="90">
        <f t="shared" si="1"/>
        <v>0</v>
      </c>
      <c r="CE25" s="107"/>
      <c r="CF25" s="107"/>
      <c r="CG25" s="107"/>
      <c r="CH25" s="107"/>
      <c r="CI25" s="107"/>
      <c r="CJ25" s="107"/>
      <c r="CK25" s="107"/>
      <c r="CL25" s="107"/>
      <c r="CM25" s="90">
        <f t="shared" si="2"/>
        <v>0</v>
      </c>
      <c r="CN25" s="107"/>
      <c r="CO25" s="107"/>
      <c r="CP25" s="107"/>
      <c r="CQ25" s="107"/>
      <c r="CR25" s="107"/>
      <c r="CS25" s="107"/>
      <c r="CT25" s="107"/>
      <c r="CU25" s="107"/>
      <c r="CV25" s="90">
        <f t="shared" si="3"/>
        <v>0</v>
      </c>
      <c r="CW25" s="107"/>
      <c r="CX25" s="107"/>
      <c r="CY25" s="107"/>
      <c r="CZ25" s="107"/>
      <c r="DA25" s="107"/>
      <c r="DB25" s="107"/>
      <c r="DC25" s="107"/>
      <c r="DD25" s="107"/>
      <c r="DE25" s="90">
        <f t="shared" si="4"/>
        <v>0</v>
      </c>
      <c r="DF25" s="107"/>
      <c r="DG25" s="107"/>
      <c r="DH25" s="107"/>
      <c r="DI25" s="107"/>
      <c r="DJ25" s="107"/>
      <c r="DK25" s="107"/>
      <c r="DL25" s="107"/>
      <c r="DM25" s="107"/>
      <c r="DN25" s="90">
        <f t="shared" si="5"/>
        <v>0</v>
      </c>
      <c r="DO25" s="108">
        <f t="shared" si="9"/>
        <v>2756</v>
      </c>
      <c r="DP25" s="109"/>
      <c r="DQ25" s="94"/>
    </row>
    <row r="26" spans="2:121" ht="219.75" hidden="1" customHeight="1">
      <c r="B26" s="612" t="s">
        <v>74</v>
      </c>
      <c r="C26" s="612" t="s">
        <v>75</v>
      </c>
      <c r="D26" s="612" t="s">
        <v>80</v>
      </c>
      <c r="E26" s="621"/>
      <c r="F26" s="622" t="s">
        <v>156</v>
      </c>
      <c r="G26" s="612">
        <v>282</v>
      </c>
      <c r="H26" s="624" t="s">
        <v>160</v>
      </c>
      <c r="I26" s="612">
        <v>58</v>
      </c>
      <c r="J26" s="110" t="s">
        <v>72</v>
      </c>
      <c r="K26" s="628">
        <v>0</v>
      </c>
      <c r="L26" s="628"/>
      <c r="M26" s="628"/>
      <c r="N26" s="628"/>
      <c r="O26" s="628"/>
      <c r="P26" s="628"/>
      <c r="Q26" s="628"/>
      <c r="R26" s="628"/>
      <c r="S26" s="111">
        <f>SUM(K26:R26)</f>
        <v>0</v>
      </c>
      <c r="T26" s="112">
        <v>0</v>
      </c>
      <c r="U26" s="112"/>
      <c r="V26" s="112"/>
      <c r="W26" s="112"/>
      <c r="X26" s="112"/>
      <c r="Y26" s="112"/>
      <c r="Z26" s="112"/>
      <c r="AA26" s="112"/>
      <c r="AB26" s="111">
        <f t="shared" si="13"/>
        <v>0</v>
      </c>
      <c r="AC26" s="629">
        <v>13</v>
      </c>
      <c r="AD26" s="629"/>
      <c r="AE26" s="629"/>
      <c r="AF26" s="629"/>
      <c r="AG26" s="629"/>
      <c r="AH26" s="629"/>
      <c r="AI26" s="629"/>
      <c r="AJ26" s="629"/>
      <c r="AK26" s="111">
        <f t="shared" si="6"/>
        <v>13</v>
      </c>
      <c r="AL26" s="629">
        <v>5</v>
      </c>
      <c r="AM26" s="629"/>
      <c r="AN26" s="629"/>
      <c r="AO26" s="629"/>
      <c r="AP26" s="629"/>
      <c r="AQ26" s="629"/>
      <c r="AR26" s="629"/>
      <c r="AS26" s="629"/>
      <c r="AT26" s="113">
        <f t="shared" si="7"/>
        <v>5</v>
      </c>
      <c r="AU26" s="629">
        <v>5</v>
      </c>
      <c r="AV26" s="629"/>
      <c r="AW26" s="629"/>
      <c r="AX26" s="629"/>
      <c r="AY26" s="629"/>
      <c r="AZ26" s="629"/>
      <c r="BA26" s="629"/>
      <c r="BB26" s="629"/>
      <c r="BC26" s="111">
        <f t="shared" si="0"/>
        <v>5</v>
      </c>
      <c r="BD26" s="629">
        <v>5</v>
      </c>
      <c r="BE26" s="629"/>
      <c r="BF26" s="629"/>
      <c r="BG26" s="629"/>
      <c r="BH26" s="629"/>
      <c r="BI26" s="629"/>
      <c r="BJ26" s="629"/>
      <c r="BK26" s="629"/>
      <c r="BL26" s="90">
        <f t="shared" si="11"/>
        <v>5</v>
      </c>
      <c r="BM26" s="629">
        <v>5</v>
      </c>
      <c r="BN26" s="629"/>
      <c r="BO26" s="629"/>
      <c r="BP26" s="629"/>
      <c r="BQ26" s="629"/>
      <c r="BR26" s="629"/>
      <c r="BS26" s="629"/>
      <c r="BT26" s="629"/>
      <c r="BU26" s="111">
        <f t="shared" si="8"/>
        <v>5</v>
      </c>
      <c r="BV26" s="629">
        <v>5</v>
      </c>
      <c r="BW26" s="629"/>
      <c r="BX26" s="629"/>
      <c r="BY26" s="629"/>
      <c r="BZ26" s="629"/>
      <c r="CA26" s="629"/>
      <c r="CB26" s="629"/>
      <c r="CC26" s="629"/>
      <c r="CD26" s="111">
        <f t="shared" si="1"/>
        <v>5</v>
      </c>
      <c r="CE26" s="629">
        <v>5</v>
      </c>
      <c r="CF26" s="629"/>
      <c r="CG26" s="629"/>
      <c r="CH26" s="629"/>
      <c r="CI26" s="629"/>
      <c r="CJ26" s="629"/>
      <c r="CK26" s="629"/>
      <c r="CL26" s="629"/>
      <c r="CM26" s="111">
        <f t="shared" si="2"/>
        <v>5</v>
      </c>
      <c r="CN26" s="629">
        <v>5</v>
      </c>
      <c r="CO26" s="629"/>
      <c r="CP26" s="629"/>
      <c r="CQ26" s="629"/>
      <c r="CR26" s="629"/>
      <c r="CS26" s="629"/>
      <c r="CT26" s="629"/>
      <c r="CU26" s="629"/>
      <c r="CV26" s="111">
        <f t="shared" si="3"/>
        <v>5</v>
      </c>
      <c r="CW26" s="629">
        <v>5</v>
      </c>
      <c r="CX26" s="629"/>
      <c r="CY26" s="629"/>
      <c r="CZ26" s="629"/>
      <c r="DA26" s="629"/>
      <c r="DB26" s="629"/>
      <c r="DC26" s="629"/>
      <c r="DD26" s="629"/>
      <c r="DE26" s="111">
        <f t="shared" si="4"/>
        <v>5</v>
      </c>
      <c r="DF26" s="629">
        <v>5</v>
      </c>
      <c r="DG26" s="629"/>
      <c r="DH26" s="629"/>
      <c r="DI26" s="629"/>
      <c r="DJ26" s="629"/>
      <c r="DK26" s="629"/>
      <c r="DL26" s="629"/>
      <c r="DM26" s="629"/>
      <c r="DN26" s="111">
        <f t="shared" si="5"/>
        <v>5</v>
      </c>
      <c r="DO26" s="114">
        <f>SUM(DN26,DE26,CV26,CM26,CD26,BU26,BL26,BC26,AT26,AK26,AB26,S26)</f>
        <v>58</v>
      </c>
      <c r="DP26" s="115"/>
      <c r="DQ26" s="94"/>
    </row>
    <row r="27" spans="2:121" ht="210" customHeight="1">
      <c r="B27" s="621"/>
      <c r="C27" s="621"/>
      <c r="D27" s="621"/>
      <c r="E27" s="621"/>
      <c r="F27" s="623"/>
      <c r="G27" s="621"/>
      <c r="H27" s="625"/>
      <c r="I27" s="613"/>
      <c r="J27" s="116" t="s">
        <v>73</v>
      </c>
      <c r="K27" s="111">
        <v>0</v>
      </c>
      <c r="L27" s="111">
        <v>0</v>
      </c>
      <c r="M27" s="111">
        <v>0</v>
      </c>
      <c r="N27" s="111">
        <v>0</v>
      </c>
      <c r="O27" s="111">
        <v>2</v>
      </c>
      <c r="P27" s="111">
        <v>1</v>
      </c>
      <c r="Q27" s="111">
        <v>2</v>
      </c>
      <c r="R27" s="111">
        <v>0</v>
      </c>
      <c r="S27" s="111">
        <f t="shared" si="12"/>
        <v>5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1">
        <v>0</v>
      </c>
      <c r="AA27" s="111">
        <v>0</v>
      </c>
      <c r="AB27" s="111">
        <f t="shared" si="13"/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42</v>
      </c>
      <c r="AI27" s="111">
        <v>0</v>
      </c>
      <c r="AJ27" s="111">
        <v>0</v>
      </c>
      <c r="AK27" s="111">
        <f t="shared" si="6"/>
        <v>42</v>
      </c>
      <c r="AL27" s="113">
        <v>0</v>
      </c>
      <c r="AM27" s="113">
        <v>0</v>
      </c>
      <c r="AN27" s="113">
        <v>0</v>
      </c>
      <c r="AO27" s="113">
        <v>0</v>
      </c>
      <c r="AP27" s="113">
        <v>39</v>
      </c>
      <c r="AQ27" s="113">
        <v>12</v>
      </c>
      <c r="AR27" s="113">
        <v>0</v>
      </c>
      <c r="AS27" s="113">
        <v>0</v>
      </c>
      <c r="AT27" s="113">
        <f t="shared" si="7"/>
        <v>51</v>
      </c>
      <c r="AU27" s="117"/>
      <c r="AV27" s="117"/>
      <c r="AW27" s="117">
        <f>57</f>
        <v>57</v>
      </c>
      <c r="AX27" s="117">
        <f>60</f>
        <v>60</v>
      </c>
      <c r="AY27" s="117">
        <v>70</v>
      </c>
      <c r="AZ27" s="117"/>
      <c r="BA27" s="117"/>
      <c r="BB27" s="117"/>
      <c r="BC27" s="111">
        <f t="shared" si="0"/>
        <v>187</v>
      </c>
      <c r="BD27" s="117">
        <v>0</v>
      </c>
      <c r="BE27" s="117">
        <v>0</v>
      </c>
      <c r="BF27" s="117">
        <v>0</v>
      </c>
      <c r="BG27" s="117">
        <v>0</v>
      </c>
      <c r="BH27" s="117">
        <v>70</v>
      </c>
      <c r="BI27" s="117">
        <v>10</v>
      </c>
      <c r="BJ27" s="117">
        <v>0</v>
      </c>
      <c r="BK27" s="117">
        <v>0</v>
      </c>
      <c r="BL27" s="90">
        <f t="shared" si="11"/>
        <v>80</v>
      </c>
      <c r="BM27" s="117"/>
      <c r="BN27" s="117"/>
      <c r="BO27" s="117"/>
      <c r="BP27" s="117"/>
      <c r="BQ27" s="117"/>
      <c r="BR27" s="117"/>
      <c r="BS27" s="117"/>
      <c r="BT27" s="117"/>
      <c r="BU27" s="111">
        <f t="shared" si="8"/>
        <v>0</v>
      </c>
      <c r="BV27" s="117"/>
      <c r="BW27" s="117"/>
      <c r="BX27" s="117"/>
      <c r="BY27" s="117"/>
      <c r="BZ27" s="117"/>
      <c r="CA27" s="117"/>
      <c r="CB27" s="117"/>
      <c r="CC27" s="117"/>
      <c r="CD27" s="111">
        <f t="shared" si="1"/>
        <v>0</v>
      </c>
      <c r="CE27" s="117"/>
      <c r="CF27" s="117"/>
      <c r="CG27" s="117"/>
      <c r="CH27" s="117"/>
      <c r="CI27" s="117"/>
      <c r="CJ27" s="117"/>
      <c r="CK27" s="117"/>
      <c r="CL27" s="117"/>
      <c r="CM27" s="111">
        <f t="shared" si="2"/>
        <v>0</v>
      </c>
      <c r="CN27" s="117"/>
      <c r="CO27" s="117"/>
      <c r="CP27" s="117"/>
      <c r="CQ27" s="117"/>
      <c r="CR27" s="117"/>
      <c r="CS27" s="117"/>
      <c r="CT27" s="117"/>
      <c r="CU27" s="117"/>
      <c r="CV27" s="111">
        <f t="shared" si="3"/>
        <v>0</v>
      </c>
      <c r="CW27" s="117"/>
      <c r="CX27" s="117"/>
      <c r="CY27" s="117"/>
      <c r="CZ27" s="117"/>
      <c r="DA27" s="117"/>
      <c r="DB27" s="117"/>
      <c r="DC27" s="117"/>
      <c r="DD27" s="117"/>
      <c r="DE27" s="111">
        <f t="shared" si="4"/>
        <v>0</v>
      </c>
      <c r="DF27" s="117"/>
      <c r="DG27" s="117"/>
      <c r="DH27" s="117"/>
      <c r="DI27" s="117"/>
      <c r="DJ27" s="117"/>
      <c r="DK27" s="117"/>
      <c r="DL27" s="117"/>
      <c r="DM27" s="117"/>
      <c r="DN27" s="111">
        <f t="shared" si="5"/>
        <v>0</v>
      </c>
      <c r="DO27" s="114">
        <f t="shared" si="9"/>
        <v>365</v>
      </c>
      <c r="DP27" s="115"/>
      <c r="DQ27" s="94"/>
    </row>
    <row r="28" spans="2:121" ht="267" hidden="1" customHeight="1">
      <c r="B28" s="612" t="s">
        <v>74</v>
      </c>
      <c r="C28" s="612" t="s">
        <v>75</v>
      </c>
      <c r="D28" s="612" t="s">
        <v>80</v>
      </c>
      <c r="E28" s="621"/>
      <c r="F28" s="622" t="s">
        <v>156</v>
      </c>
      <c r="G28" s="612">
        <v>1308</v>
      </c>
      <c r="H28" s="624" t="s">
        <v>161</v>
      </c>
      <c r="I28" s="612">
        <v>295</v>
      </c>
      <c r="J28" s="110" t="s">
        <v>72</v>
      </c>
      <c r="K28" s="628">
        <v>10</v>
      </c>
      <c r="L28" s="628"/>
      <c r="M28" s="628"/>
      <c r="N28" s="628"/>
      <c r="O28" s="628"/>
      <c r="P28" s="628"/>
      <c r="Q28" s="628"/>
      <c r="R28" s="628"/>
      <c r="S28" s="111">
        <f>SUM(K28:R28)</f>
        <v>10</v>
      </c>
      <c r="T28" s="112">
        <v>5</v>
      </c>
      <c r="U28" s="112"/>
      <c r="V28" s="112"/>
      <c r="W28" s="112"/>
      <c r="X28" s="112"/>
      <c r="Y28" s="112"/>
      <c r="Z28" s="112"/>
      <c r="AA28" s="112"/>
      <c r="AB28" s="111">
        <f t="shared" si="13"/>
        <v>5</v>
      </c>
      <c r="AC28" s="629">
        <v>10</v>
      </c>
      <c r="AD28" s="629"/>
      <c r="AE28" s="629"/>
      <c r="AF28" s="629"/>
      <c r="AG28" s="629"/>
      <c r="AH28" s="629"/>
      <c r="AI28" s="629"/>
      <c r="AJ28" s="629"/>
      <c r="AK28" s="111">
        <f t="shared" si="6"/>
        <v>10</v>
      </c>
      <c r="AL28" s="629">
        <v>20</v>
      </c>
      <c r="AM28" s="629"/>
      <c r="AN28" s="629"/>
      <c r="AO28" s="629"/>
      <c r="AP28" s="629"/>
      <c r="AQ28" s="629"/>
      <c r="AR28" s="629"/>
      <c r="AS28" s="629"/>
      <c r="AT28" s="113">
        <f t="shared" si="7"/>
        <v>20</v>
      </c>
      <c r="AU28" s="629">
        <v>50</v>
      </c>
      <c r="AV28" s="629"/>
      <c r="AW28" s="629"/>
      <c r="AX28" s="629"/>
      <c r="AY28" s="629"/>
      <c r="AZ28" s="629"/>
      <c r="BA28" s="629"/>
      <c r="BB28" s="629"/>
      <c r="BC28" s="111">
        <f t="shared" si="0"/>
        <v>50</v>
      </c>
      <c r="BD28" s="629">
        <v>80</v>
      </c>
      <c r="BE28" s="629"/>
      <c r="BF28" s="629"/>
      <c r="BG28" s="629"/>
      <c r="BH28" s="629"/>
      <c r="BI28" s="629"/>
      <c r="BJ28" s="629"/>
      <c r="BK28" s="629"/>
      <c r="BL28" s="90">
        <f t="shared" si="11"/>
        <v>80</v>
      </c>
      <c r="BM28" s="629">
        <v>20</v>
      </c>
      <c r="BN28" s="629"/>
      <c r="BO28" s="629"/>
      <c r="BP28" s="629"/>
      <c r="BQ28" s="629"/>
      <c r="BR28" s="629"/>
      <c r="BS28" s="629"/>
      <c r="BT28" s="629"/>
      <c r="BU28" s="111">
        <f t="shared" si="8"/>
        <v>20</v>
      </c>
      <c r="BV28" s="629">
        <v>20</v>
      </c>
      <c r="BW28" s="629"/>
      <c r="BX28" s="629"/>
      <c r="BY28" s="629"/>
      <c r="BZ28" s="629"/>
      <c r="CA28" s="629"/>
      <c r="CB28" s="629"/>
      <c r="CC28" s="629"/>
      <c r="CD28" s="111">
        <f t="shared" si="1"/>
        <v>20</v>
      </c>
      <c r="CE28" s="629">
        <v>20</v>
      </c>
      <c r="CF28" s="629"/>
      <c r="CG28" s="629"/>
      <c r="CH28" s="629"/>
      <c r="CI28" s="629"/>
      <c r="CJ28" s="629"/>
      <c r="CK28" s="629"/>
      <c r="CL28" s="629"/>
      <c r="CM28" s="111">
        <f t="shared" si="2"/>
        <v>20</v>
      </c>
      <c r="CN28" s="629">
        <v>20</v>
      </c>
      <c r="CO28" s="629"/>
      <c r="CP28" s="629"/>
      <c r="CQ28" s="629"/>
      <c r="CR28" s="629"/>
      <c r="CS28" s="629"/>
      <c r="CT28" s="629"/>
      <c r="CU28" s="629"/>
      <c r="CV28" s="111">
        <f t="shared" si="3"/>
        <v>20</v>
      </c>
      <c r="CW28" s="629">
        <v>20</v>
      </c>
      <c r="CX28" s="629"/>
      <c r="CY28" s="629"/>
      <c r="CZ28" s="629"/>
      <c r="DA28" s="629"/>
      <c r="DB28" s="629"/>
      <c r="DC28" s="629"/>
      <c r="DD28" s="629"/>
      <c r="DE28" s="111">
        <f t="shared" si="4"/>
        <v>20</v>
      </c>
      <c r="DF28" s="629">
        <v>20</v>
      </c>
      <c r="DG28" s="629"/>
      <c r="DH28" s="629"/>
      <c r="DI28" s="629"/>
      <c r="DJ28" s="629"/>
      <c r="DK28" s="629"/>
      <c r="DL28" s="629"/>
      <c r="DM28" s="629"/>
      <c r="DN28" s="111">
        <f t="shared" si="5"/>
        <v>20</v>
      </c>
      <c r="DO28" s="114">
        <f t="shared" si="9"/>
        <v>295</v>
      </c>
      <c r="DP28" s="115"/>
      <c r="DQ28" s="94"/>
    </row>
    <row r="29" spans="2:121" ht="212.25" customHeight="1">
      <c r="B29" s="621"/>
      <c r="C29" s="621"/>
      <c r="D29" s="621"/>
      <c r="E29" s="621"/>
      <c r="F29" s="623"/>
      <c r="G29" s="621"/>
      <c r="H29" s="625"/>
      <c r="I29" s="613"/>
      <c r="J29" s="116" t="s">
        <v>73</v>
      </c>
      <c r="K29" s="111">
        <v>3</v>
      </c>
      <c r="L29" s="111">
        <v>1</v>
      </c>
      <c r="M29" s="111">
        <v>0</v>
      </c>
      <c r="N29" s="111">
        <v>0</v>
      </c>
      <c r="O29" s="111">
        <v>10</v>
      </c>
      <c r="P29" s="111">
        <v>5</v>
      </c>
      <c r="Q29" s="111">
        <v>2</v>
      </c>
      <c r="R29" s="111">
        <v>1</v>
      </c>
      <c r="S29" s="111">
        <f t="shared" si="12"/>
        <v>22</v>
      </c>
      <c r="T29" s="111">
        <f>10+1</f>
        <v>11</v>
      </c>
      <c r="U29" s="111">
        <f>16</f>
        <v>16</v>
      </c>
      <c r="V29" s="111">
        <f>6+1</f>
        <v>7</v>
      </c>
      <c r="W29" s="111">
        <f>10</f>
        <v>10</v>
      </c>
      <c r="X29" s="111">
        <f>14+5+1</f>
        <v>20</v>
      </c>
      <c r="Y29" s="111">
        <f>9+1</f>
        <v>10</v>
      </c>
      <c r="Z29" s="111">
        <f>10</f>
        <v>10</v>
      </c>
      <c r="AA29" s="111">
        <f>4</f>
        <v>4</v>
      </c>
      <c r="AB29" s="111">
        <f t="shared" si="13"/>
        <v>88</v>
      </c>
      <c r="AC29" s="111">
        <v>21</v>
      </c>
      <c r="AD29" s="111">
        <v>18</v>
      </c>
      <c r="AE29" s="111">
        <v>7</v>
      </c>
      <c r="AF29" s="111">
        <v>6</v>
      </c>
      <c r="AG29" s="111">
        <v>30</v>
      </c>
      <c r="AH29" s="111">
        <v>25</v>
      </c>
      <c r="AI29" s="111">
        <v>19</v>
      </c>
      <c r="AJ29" s="111">
        <v>15</v>
      </c>
      <c r="AK29" s="111">
        <f t="shared" si="6"/>
        <v>141</v>
      </c>
      <c r="AL29" s="113">
        <v>24</v>
      </c>
      <c r="AM29" s="113">
        <v>20</v>
      </c>
      <c r="AN29" s="113">
        <v>24</v>
      </c>
      <c r="AO29" s="113">
        <v>16</v>
      </c>
      <c r="AP29" s="113">
        <v>16</v>
      </c>
      <c r="AQ29" s="113">
        <v>12</v>
      </c>
      <c r="AR29" s="113">
        <v>24</v>
      </c>
      <c r="AS29" s="113">
        <v>20</v>
      </c>
      <c r="AT29" s="113">
        <f t="shared" si="7"/>
        <v>156</v>
      </c>
      <c r="AU29" s="117">
        <f>22+2+3</f>
        <v>27</v>
      </c>
      <c r="AV29" s="117">
        <f>2+20</f>
        <v>22</v>
      </c>
      <c r="AW29" s="117">
        <f>1+14</f>
        <v>15</v>
      </c>
      <c r="AX29" s="117">
        <f>12</f>
        <v>12</v>
      </c>
      <c r="AY29" s="117">
        <f>1+20+3+2+4</f>
        <v>30</v>
      </c>
      <c r="AZ29" s="117">
        <f>12+2</f>
        <v>14</v>
      </c>
      <c r="BA29" s="117">
        <f>16</f>
        <v>16</v>
      </c>
      <c r="BB29" s="117">
        <f>14+1</f>
        <v>15</v>
      </c>
      <c r="BC29" s="111">
        <f t="shared" si="0"/>
        <v>151</v>
      </c>
      <c r="BD29" s="117">
        <v>28</v>
      </c>
      <c r="BE29" s="117">
        <v>23</v>
      </c>
      <c r="BF29" s="117">
        <v>12</v>
      </c>
      <c r="BG29" s="117">
        <v>15</v>
      </c>
      <c r="BH29" s="117">
        <v>51</v>
      </c>
      <c r="BI29" s="117">
        <v>20</v>
      </c>
      <c r="BJ29" s="117">
        <v>16</v>
      </c>
      <c r="BK29" s="117">
        <v>9</v>
      </c>
      <c r="BL29" s="90">
        <f t="shared" si="11"/>
        <v>174</v>
      </c>
      <c r="BM29" s="117"/>
      <c r="BN29" s="117"/>
      <c r="BO29" s="117"/>
      <c r="BP29" s="117"/>
      <c r="BQ29" s="117"/>
      <c r="BR29" s="117"/>
      <c r="BS29" s="117"/>
      <c r="BT29" s="117"/>
      <c r="BU29" s="111">
        <f t="shared" si="8"/>
        <v>0</v>
      </c>
      <c r="BV29" s="117"/>
      <c r="BW29" s="117"/>
      <c r="BX29" s="117"/>
      <c r="BY29" s="117"/>
      <c r="BZ29" s="117"/>
      <c r="CA29" s="117"/>
      <c r="CB29" s="117"/>
      <c r="CC29" s="117"/>
      <c r="CD29" s="111">
        <f t="shared" si="1"/>
        <v>0</v>
      </c>
      <c r="CE29" s="117"/>
      <c r="CF29" s="117"/>
      <c r="CG29" s="117"/>
      <c r="CH29" s="117"/>
      <c r="CI29" s="117"/>
      <c r="CJ29" s="117"/>
      <c r="CK29" s="117"/>
      <c r="CL29" s="117"/>
      <c r="CM29" s="111">
        <f t="shared" si="2"/>
        <v>0</v>
      </c>
      <c r="CN29" s="117"/>
      <c r="CO29" s="117"/>
      <c r="CP29" s="117"/>
      <c r="CQ29" s="117"/>
      <c r="CR29" s="117"/>
      <c r="CS29" s="117"/>
      <c r="CT29" s="117"/>
      <c r="CU29" s="117"/>
      <c r="CV29" s="111">
        <f t="shared" si="3"/>
        <v>0</v>
      </c>
      <c r="CW29" s="117"/>
      <c r="CX29" s="117"/>
      <c r="CY29" s="117"/>
      <c r="CZ29" s="117"/>
      <c r="DA29" s="117"/>
      <c r="DB29" s="117"/>
      <c r="DC29" s="117"/>
      <c r="DD29" s="117"/>
      <c r="DE29" s="111">
        <f t="shared" si="4"/>
        <v>0</v>
      </c>
      <c r="DF29" s="117"/>
      <c r="DG29" s="117"/>
      <c r="DH29" s="117"/>
      <c r="DI29" s="117"/>
      <c r="DJ29" s="117"/>
      <c r="DK29" s="117"/>
      <c r="DL29" s="117"/>
      <c r="DM29" s="117"/>
      <c r="DN29" s="111">
        <f t="shared" si="5"/>
        <v>0</v>
      </c>
      <c r="DO29" s="114">
        <f t="shared" si="9"/>
        <v>732</v>
      </c>
      <c r="DP29" s="115"/>
      <c r="DQ29" s="94"/>
    </row>
    <row r="30" spans="2:121" ht="172.5" hidden="1" customHeight="1">
      <c r="B30" s="622" t="s">
        <v>74</v>
      </c>
      <c r="C30" s="612" t="s">
        <v>75</v>
      </c>
      <c r="D30" s="612" t="s">
        <v>80</v>
      </c>
      <c r="E30" s="621"/>
      <c r="F30" s="622" t="s">
        <v>156</v>
      </c>
      <c r="G30" s="612">
        <v>1039</v>
      </c>
      <c r="H30" s="624" t="s">
        <v>162</v>
      </c>
      <c r="I30" s="622">
        <v>36</v>
      </c>
      <c r="J30" s="110" t="s">
        <v>72</v>
      </c>
      <c r="K30" s="628">
        <v>3</v>
      </c>
      <c r="L30" s="628"/>
      <c r="M30" s="628"/>
      <c r="N30" s="628"/>
      <c r="O30" s="628"/>
      <c r="P30" s="628"/>
      <c r="Q30" s="628"/>
      <c r="R30" s="628"/>
      <c r="S30" s="111">
        <f t="shared" si="12"/>
        <v>3</v>
      </c>
      <c r="T30" s="112">
        <v>3</v>
      </c>
      <c r="U30" s="112"/>
      <c r="V30" s="112"/>
      <c r="W30" s="112"/>
      <c r="X30" s="112"/>
      <c r="Y30" s="112"/>
      <c r="Z30" s="112"/>
      <c r="AA30" s="112"/>
      <c r="AB30" s="111">
        <f t="shared" si="13"/>
        <v>3</v>
      </c>
      <c r="AC30" s="629">
        <v>3</v>
      </c>
      <c r="AD30" s="629"/>
      <c r="AE30" s="629"/>
      <c r="AF30" s="629"/>
      <c r="AG30" s="629"/>
      <c r="AH30" s="629"/>
      <c r="AI30" s="629"/>
      <c r="AJ30" s="629"/>
      <c r="AK30" s="111">
        <f t="shared" si="6"/>
        <v>3</v>
      </c>
      <c r="AL30" s="629">
        <v>5</v>
      </c>
      <c r="AM30" s="629"/>
      <c r="AN30" s="629"/>
      <c r="AO30" s="629"/>
      <c r="AP30" s="629"/>
      <c r="AQ30" s="629"/>
      <c r="AR30" s="629"/>
      <c r="AS30" s="629"/>
      <c r="AT30" s="113">
        <f t="shared" si="7"/>
        <v>5</v>
      </c>
      <c r="AU30" s="629">
        <v>3</v>
      </c>
      <c r="AV30" s="629"/>
      <c r="AW30" s="629"/>
      <c r="AX30" s="629"/>
      <c r="AY30" s="629"/>
      <c r="AZ30" s="629"/>
      <c r="BA30" s="629"/>
      <c r="BB30" s="629"/>
      <c r="BC30" s="111">
        <f t="shared" si="0"/>
        <v>3</v>
      </c>
      <c r="BD30" s="629">
        <v>3</v>
      </c>
      <c r="BE30" s="629"/>
      <c r="BF30" s="629"/>
      <c r="BG30" s="629"/>
      <c r="BH30" s="629"/>
      <c r="BI30" s="629"/>
      <c r="BJ30" s="629"/>
      <c r="BK30" s="629"/>
      <c r="BL30" s="90">
        <f t="shared" si="11"/>
        <v>3</v>
      </c>
      <c r="BM30" s="629">
        <v>3</v>
      </c>
      <c r="BN30" s="629"/>
      <c r="BO30" s="629"/>
      <c r="BP30" s="629"/>
      <c r="BQ30" s="629"/>
      <c r="BR30" s="629"/>
      <c r="BS30" s="629"/>
      <c r="BT30" s="629"/>
      <c r="BU30" s="111">
        <f t="shared" si="8"/>
        <v>3</v>
      </c>
      <c r="BV30" s="629">
        <v>3</v>
      </c>
      <c r="BW30" s="629"/>
      <c r="BX30" s="629"/>
      <c r="BY30" s="629"/>
      <c r="BZ30" s="629"/>
      <c r="CA30" s="629"/>
      <c r="CB30" s="629"/>
      <c r="CC30" s="629"/>
      <c r="CD30" s="111">
        <v>0</v>
      </c>
      <c r="CE30" s="629">
        <v>3</v>
      </c>
      <c r="CF30" s="629"/>
      <c r="CG30" s="629"/>
      <c r="CH30" s="629"/>
      <c r="CI30" s="629"/>
      <c r="CJ30" s="629"/>
      <c r="CK30" s="629"/>
      <c r="CL30" s="629"/>
      <c r="CM30" s="111">
        <f t="shared" si="2"/>
        <v>3</v>
      </c>
      <c r="CN30" s="629">
        <v>3</v>
      </c>
      <c r="CO30" s="629"/>
      <c r="CP30" s="629"/>
      <c r="CQ30" s="629"/>
      <c r="CR30" s="629"/>
      <c r="CS30" s="629"/>
      <c r="CT30" s="629"/>
      <c r="CU30" s="629"/>
      <c r="CV30" s="111">
        <f t="shared" si="3"/>
        <v>3</v>
      </c>
      <c r="CW30" s="629">
        <v>4</v>
      </c>
      <c r="CX30" s="629"/>
      <c r="CY30" s="629"/>
      <c r="CZ30" s="629"/>
      <c r="DA30" s="629"/>
      <c r="DB30" s="629"/>
      <c r="DC30" s="629"/>
      <c r="DD30" s="629"/>
      <c r="DE30" s="111">
        <f t="shared" si="4"/>
        <v>4</v>
      </c>
      <c r="DF30" s="629">
        <v>3</v>
      </c>
      <c r="DG30" s="629"/>
      <c r="DH30" s="629"/>
      <c r="DI30" s="629"/>
      <c r="DJ30" s="629"/>
      <c r="DK30" s="629"/>
      <c r="DL30" s="629"/>
      <c r="DM30" s="629"/>
      <c r="DN30" s="111">
        <f t="shared" si="5"/>
        <v>3</v>
      </c>
      <c r="DO30" s="114">
        <f t="shared" si="9"/>
        <v>36</v>
      </c>
      <c r="DP30" s="115"/>
      <c r="DQ30" s="94"/>
    </row>
    <row r="31" spans="2:121" ht="187.5" customHeight="1">
      <c r="B31" s="623"/>
      <c r="C31" s="621"/>
      <c r="D31" s="621"/>
      <c r="E31" s="621"/>
      <c r="F31" s="623"/>
      <c r="G31" s="621"/>
      <c r="H31" s="625"/>
      <c r="I31" s="630"/>
      <c r="J31" s="116" t="s">
        <v>73</v>
      </c>
      <c r="K31" s="117">
        <v>24</v>
      </c>
      <c r="L31" s="117">
        <v>31</v>
      </c>
      <c r="M31" s="117">
        <v>2</v>
      </c>
      <c r="N31" s="117">
        <v>1</v>
      </c>
      <c r="O31" s="117">
        <v>28</v>
      </c>
      <c r="P31" s="117">
        <v>2</v>
      </c>
      <c r="Q31" s="117">
        <v>12</v>
      </c>
      <c r="R31" s="117">
        <v>10</v>
      </c>
      <c r="S31" s="111">
        <f t="shared" ref="S31:S37" si="14">SUM(K31:R31)</f>
        <v>110</v>
      </c>
      <c r="T31" s="111">
        <f>30</f>
        <v>30</v>
      </c>
      <c r="U31" s="111">
        <f>31</f>
        <v>31</v>
      </c>
      <c r="V31" s="111">
        <f>4</f>
        <v>4</v>
      </c>
      <c r="W31" s="111">
        <f>7</f>
        <v>7</v>
      </c>
      <c r="X31" s="111">
        <f>12+5</f>
        <v>17</v>
      </c>
      <c r="Y31" s="111">
        <f>0+1</f>
        <v>1</v>
      </c>
      <c r="Z31" s="111">
        <f>20+1</f>
        <v>21</v>
      </c>
      <c r="AA31" s="111">
        <f>21</f>
        <v>21</v>
      </c>
      <c r="AB31" s="111">
        <f t="shared" si="13"/>
        <v>132</v>
      </c>
      <c r="AC31" s="111">
        <f>20+4+4</f>
        <v>28</v>
      </c>
      <c r="AD31" s="111">
        <f>28+6+6</f>
        <v>40</v>
      </c>
      <c r="AE31" s="111">
        <f>6+2+2</f>
        <v>10</v>
      </c>
      <c r="AF31" s="111">
        <f>9+4+4</f>
        <v>17</v>
      </c>
      <c r="AG31" s="111">
        <f>12+3+3</f>
        <v>18</v>
      </c>
      <c r="AH31" s="111">
        <f>5</f>
        <v>5</v>
      </c>
      <c r="AI31" s="111">
        <f>20+6+6</f>
        <v>32</v>
      </c>
      <c r="AJ31" s="111">
        <f>19+5+5</f>
        <v>29</v>
      </c>
      <c r="AK31" s="111">
        <f t="shared" si="6"/>
        <v>179</v>
      </c>
      <c r="AL31" s="113">
        <v>43</v>
      </c>
      <c r="AM31" s="113">
        <v>38</v>
      </c>
      <c r="AN31" s="113">
        <v>0</v>
      </c>
      <c r="AO31" s="113">
        <v>0</v>
      </c>
      <c r="AP31" s="113">
        <v>25</v>
      </c>
      <c r="AQ31" s="113">
        <v>0</v>
      </c>
      <c r="AR31" s="113">
        <v>31</v>
      </c>
      <c r="AS31" s="113">
        <v>28</v>
      </c>
      <c r="AT31" s="113">
        <f t="shared" si="7"/>
        <v>165</v>
      </c>
      <c r="AU31" s="117">
        <f>20</f>
        <v>20</v>
      </c>
      <c r="AV31" s="117">
        <f>21</f>
        <v>21</v>
      </c>
      <c r="AW31" s="117">
        <f>10</f>
        <v>10</v>
      </c>
      <c r="AX31" s="117">
        <f>12</f>
        <v>12</v>
      </c>
      <c r="AY31" s="117">
        <f>6+3</f>
        <v>9</v>
      </c>
      <c r="AZ31" s="117">
        <v>0</v>
      </c>
      <c r="BA31" s="117">
        <f>12</f>
        <v>12</v>
      </c>
      <c r="BB31" s="117">
        <f>10</f>
        <v>10</v>
      </c>
      <c r="BC31" s="111">
        <f t="shared" si="0"/>
        <v>94</v>
      </c>
      <c r="BD31" s="117">
        <v>20</v>
      </c>
      <c r="BE31" s="117">
        <v>22</v>
      </c>
      <c r="BF31" s="117">
        <v>12</v>
      </c>
      <c r="BG31" s="117">
        <v>11</v>
      </c>
      <c r="BH31" s="117">
        <v>15</v>
      </c>
      <c r="BI31" s="117">
        <v>0</v>
      </c>
      <c r="BJ31" s="117">
        <v>22</v>
      </c>
      <c r="BK31" s="117">
        <v>19</v>
      </c>
      <c r="BL31" s="90">
        <f t="shared" si="11"/>
        <v>121</v>
      </c>
      <c r="BM31" s="117"/>
      <c r="BN31" s="117"/>
      <c r="BO31" s="117"/>
      <c r="BP31" s="117"/>
      <c r="BQ31" s="117"/>
      <c r="BR31" s="117"/>
      <c r="BS31" s="117"/>
      <c r="BT31" s="117"/>
      <c r="BU31" s="111">
        <f t="shared" si="8"/>
        <v>0</v>
      </c>
      <c r="BV31" s="117"/>
      <c r="BW31" s="117"/>
      <c r="BX31" s="117"/>
      <c r="BY31" s="117"/>
      <c r="BZ31" s="117"/>
      <c r="CA31" s="117"/>
      <c r="CB31" s="117"/>
      <c r="CC31" s="117"/>
      <c r="CD31" s="111">
        <f t="shared" si="1"/>
        <v>0</v>
      </c>
      <c r="CE31" s="117"/>
      <c r="CF31" s="117"/>
      <c r="CG31" s="117"/>
      <c r="CH31" s="117"/>
      <c r="CI31" s="117"/>
      <c r="CJ31" s="117"/>
      <c r="CK31" s="117"/>
      <c r="CL31" s="117"/>
      <c r="CM31" s="111">
        <f t="shared" si="2"/>
        <v>0</v>
      </c>
      <c r="CN31" s="117"/>
      <c r="CO31" s="117"/>
      <c r="CP31" s="117"/>
      <c r="CQ31" s="117"/>
      <c r="CR31" s="117"/>
      <c r="CS31" s="117"/>
      <c r="CT31" s="117"/>
      <c r="CU31" s="117"/>
      <c r="CV31" s="111">
        <f t="shared" si="3"/>
        <v>0</v>
      </c>
      <c r="CW31" s="117"/>
      <c r="CX31" s="117"/>
      <c r="CY31" s="117"/>
      <c r="CZ31" s="117"/>
      <c r="DA31" s="117"/>
      <c r="DB31" s="117"/>
      <c r="DC31" s="117"/>
      <c r="DD31" s="117"/>
      <c r="DE31" s="111">
        <f t="shared" si="4"/>
        <v>0</v>
      </c>
      <c r="DF31" s="117"/>
      <c r="DG31" s="117"/>
      <c r="DH31" s="117"/>
      <c r="DI31" s="117"/>
      <c r="DJ31" s="117"/>
      <c r="DK31" s="117"/>
      <c r="DL31" s="117"/>
      <c r="DM31" s="117"/>
      <c r="DN31" s="111">
        <f t="shared" si="5"/>
        <v>0</v>
      </c>
      <c r="DO31" s="114">
        <f t="shared" si="9"/>
        <v>801</v>
      </c>
      <c r="DP31" s="115"/>
      <c r="DQ31" s="94"/>
    </row>
    <row r="32" spans="2:121" ht="172.5" hidden="1" customHeight="1">
      <c r="B32" s="612" t="s">
        <v>74</v>
      </c>
      <c r="C32" s="612" t="s">
        <v>75</v>
      </c>
      <c r="D32" s="612" t="s">
        <v>80</v>
      </c>
      <c r="E32" s="621"/>
      <c r="F32" s="622" t="s">
        <v>156</v>
      </c>
      <c r="G32" s="612">
        <v>132</v>
      </c>
      <c r="H32" s="624" t="s">
        <v>163</v>
      </c>
      <c r="I32" s="612">
        <v>53</v>
      </c>
      <c r="J32" s="110" t="s">
        <v>72</v>
      </c>
      <c r="K32" s="628">
        <v>1</v>
      </c>
      <c r="L32" s="628"/>
      <c r="M32" s="628"/>
      <c r="N32" s="628"/>
      <c r="O32" s="628"/>
      <c r="P32" s="628"/>
      <c r="Q32" s="628"/>
      <c r="R32" s="628"/>
      <c r="S32" s="111">
        <f t="shared" si="14"/>
        <v>1</v>
      </c>
      <c r="T32" s="112">
        <v>2</v>
      </c>
      <c r="U32" s="112"/>
      <c r="V32" s="112"/>
      <c r="W32" s="112"/>
      <c r="X32" s="112"/>
      <c r="Y32" s="112"/>
      <c r="Z32" s="112"/>
      <c r="AA32" s="112"/>
      <c r="AB32" s="111">
        <f t="shared" si="13"/>
        <v>2</v>
      </c>
      <c r="AC32" s="628">
        <v>5</v>
      </c>
      <c r="AD32" s="628"/>
      <c r="AE32" s="628"/>
      <c r="AF32" s="628"/>
      <c r="AG32" s="628"/>
      <c r="AH32" s="628"/>
      <c r="AI32" s="628"/>
      <c r="AJ32" s="628"/>
      <c r="AK32" s="111">
        <f t="shared" si="6"/>
        <v>5</v>
      </c>
      <c r="AL32" s="631">
        <v>5</v>
      </c>
      <c r="AM32" s="631"/>
      <c r="AN32" s="631"/>
      <c r="AO32" s="631"/>
      <c r="AP32" s="631"/>
      <c r="AQ32" s="631"/>
      <c r="AR32" s="631"/>
      <c r="AS32" s="631"/>
      <c r="AT32" s="113">
        <f t="shared" si="7"/>
        <v>5</v>
      </c>
      <c r="AU32" s="628">
        <v>5</v>
      </c>
      <c r="AV32" s="628"/>
      <c r="AW32" s="628"/>
      <c r="AX32" s="628"/>
      <c r="AY32" s="628"/>
      <c r="AZ32" s="628"/>
      <c r="BA32" s="628"/>
      <c r="BB32" s="628"/>
      <c r="BC32" s="111">
        <f>SUM(AU32:BB32)</f>
        <v>5</v>
      </c>
      <c r="BD32" s="628">
        <v>5</v>
      </c>
      <c r="BE32" s="628"/>
      <c r="BF32" s="628"/>
      <c r="BG32" s="628"/>
      <c r="BH32" s="628"/>
      <c r="BI32" s="628"/>
      <c r="BJ32" s="628"/>
      <c r="BK32" s="628"/>
      <c r="BL32" s="90">
        <f t="shared" si="11"/>
        <v>5</v>
      </c>
      <c r="BM32" s="628">
        <v>5</v>
      </c>
      <c r="BN32" s="628"/>
      <c r="BO32" s="628"/>
      <c r="BP32" s="628"/>
      <c r="BQ32" s="628"/>
      <c r="BR32" s="628"/>
      <c r="BS32" s="628"/>
      <c r="BT32" s="628"/>
      <c r="BU32" s="111">
        <f>SUM(BM32:BT32)</f>
        <v>5</v>
      </c>
      <c r="BV32" s="628">
        <v>5</v>
      </c>
      <c r="BW32" s="628"/>
      <c r="BX32" s="628"/>
      <c r="BY32" s="628"/>
      <c r="BZ32" s="628"/>
      <c r="CA32" s="628"/>
      <c r="CB32" s="628"/>
      <c r="CC32" s="628"/>
      <c r="CD32" s="111">
        <f>SUM(BV32:CC32)</f>
        <v>5</v>
      </c>
      <c r="CE32" s="628">
        <v>5</v>
      </c>
      <c r="CF32" s="628"/>
      <c r="CG32" s="628"/>
      <c r="CH32" s="628"/>
      <c r="CI32" s="628"/>
      <c r="CJ32" s="628"/>
      <c r="CK32" s="628"/>
      <c r="CL32" s="628"/>
      <c r="CM32" s="111">
        <f>SUM(CE32:CL32)</f>
        <v>5</v>
      </c>
      <c r="CN32" s="628">
        <v>5</v>
      </c>
      <c r="CO32" s="628"/>
      <c r="CP32" s="628"/>
      <c r="CQ32" s="628"/>
      <c r="CR32" s="628"/>
      <c r="CS32" s="628"/>
      <c r="CT32" s="628"/>
      <c r="CU32" s="628"/>
      <c r="CV32" s="111">
        <f>SUM(CN32:CU32)</f>
        <v>5</v>
      </c>
      <c r="CW32" s="628">
        <v>5</v>
      </c>
      <c r="CX32" s="628"/>
      <c r="CY32" s="628"/>
      <c r="CZ32" s="628"/>
      <c r="DA32" s="628"/>
      <c r="DB32" s="628"/>
      <c r="DC32" s="628"/>
      <c r="DD32" s="628"/>
      <c r="DE32" s="111">
        <f>SUM(CW32:DD32)</f>
        <v>5</v>
      </c>
      <c r="DF32" s="628">
        <v>5</v>
      </c>
      <c r="DG32" s="628"/>
      <c r="DH32" s="628"/>
      <c r="DI32" s="628"/>
      <c r="DJ32" s="628"/>
      <c r="DK32" s="628"/>
      <c r="DL32" s="628"/>
      <c r="DM32" s="628"/>
      <c r="DN32" s="111">
        <f>SUM(DF32:DM32)</f>
        <v>5</v>
      </c>
      <c r="DO32" s="114">
        <f t="shared" si="9"/>
        <v>53</v>
      </c>
      <c r="DP32" s="115"/>
      <c r="DQ32" s="94"/>
    </row>
    <row r="33" spans="2:121" ht="195" customHeight="1">
      <c r="B33" s="621"/>
      <c r="C33" s="621"/>
      <c r="D33" s="621"/>
      <c r="E33" s="621"/>
      <c r="F33" s="623"/>
      <c r="G33" s="621"/>
      <c r="H33" s="625"/>
      <c r="I33" s="613"/>
      <c r="J33" s="116" t="s">
        <v>73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3</v>
      </c>
      <c r="R33" s="111">
        <v>1</v>
      </c>
      <c r="S33" s="111">
        <f t="shared" si="14"/>
        <v>4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15</v>
      </c>
      <c r="AA33" s="111">
        <v>8</v>
      </c>
      <c r="AB33" s="111">
        <f t="shared" si="13"/>
        <v>23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21</v>
      </c>
      <c r="AJ33" s="111">
        <v>17</v>
      </c>
      <c r="AK33" s="111">
        <f t="shared" si="6"/>
        <v>38</v>
      </c>
      <c r="AL33" s="113">
        <v>0</v>
      </c>
      <c r="AM33" s="113">
        <v>0</v>
      </c>
      <c r="AN33" s="113">
        <v>0</v>
      </c>
      <c r="AO33" s="113">
        <v>0</v>
      </c>
      <c r="AP33" s="113">
        <v>0</v>
      </c>
      <c r="AQ33" s="113">
        <v>0</v>
      </c>
      <c r="AR33" s="113">
        <v>18</v>
      </c>
      <c r="AS33" s="113">
        <v>9</v>
      </c>
      <c r="AT33" s="113">
        <f t="shared" si="7"/>
        <v>27</v>
      </c>
      <c r="AU33" s="117">
        <v>0</v>
      </c>
      <c r="AV33" s="117">
        <v>0</v>
      </c>
      <c r="AW33" s="117">
        <v>0</v>
      </c>
      <c r="AX33" s="117">
        <v>0</v>
      </c>
      <c r="AY33" s="117">
        <v>0</v>
      </c>
      <c r="AZ33" s="117">
        <v>0</v>
      </c>
      <c r="BA33" s="117">
        <v>4</v>
      </c>
      <c r="BB33" s="117">
        <v>2</v>
      </c>
      <c r="BC33" s="111">
        <f t="shared" si="0"/>
        <v>6</v>
      </c>
      <c r="BD33" s="117">
        <v>0</v>
      </c>
      <c r="BE33" s="117">
        <v>0</v>
      </c>
      <c r="BF33" s="117">
        <v>0</v>
      </c>
      <c r="BG33" s="117">
        <v>0</v>
      </c>
      <c r="BH33" s="117">
        <v>0</v>
      </c>
      <c r="BI33" s="117">
        <v>0</v>
      </c>
      <c r="BJ33" s="117">
        <v>14</v>
      </c>
      <c r="BK33" s="117">
        <v>8</v>
      </c>
      <c r="BL33" s="90">
        <f t="shared" si="11"/>
        <v>22</v>
      </c>
      <c r="BM33" s="117"/>
      <c r="BN33" s="117"/>
      <c r="BO33" s="117"/>
      <c r="BP33" s="117"/>
      <c r="BQ33" s="117"/>
      <c r="BR33" s="117"/>
      <c r="BS33" s="117"/>
      <c r="BT33" s="117"/>
      <c r="BU33" s="111">
        <f t="shared" si="8"/>
        <v>0</v>
      </c>
      <c r="BV33" s="117"/>
      <c r="BW33" s="117"/>
      <c r="BX33" s="117"/>
      <c r="BY33" s="117"/>
      <c r="BZ33" s="117"/>
      <c r="CA33" s="117"/>
      <c r="CB33" s="117"/>
      <c r="CC33" s="117"/>
      <c r="CD33" s="111">
        <f t="shared" si="1"/>
        <v>0</v>
      </c>
      <c r="CE33" s="117"/>
      <c r="CF33" s="117"/>
      <c r="CG33" s="117"/>
      <c r="CH33" s="117"/>
      <c r="CI33" s="117"/>
      <c r="CJ33" s="117"/>
      <c r="CK33" s="117"/>
      <c r="CL33" s="117"/>
      <c r="CM33" s="111">
        <f t="shared" si="2"/>
        <v>0</v>
      </c>
      <c r="CN33" s="117"/>
      <c r="CO33" s="117"/>
      <c r="CP33" s="117"/>
      <c r="CQ33" s="117"/>
      <c r="CR33" s="117"/>
      <c r="CS33" s="117"/>
      <c r="CT33" s="117"/>
      <c r="CU33" s="117"/>
      <c r="CV33" s="111">
        <f t="shared" si="3"/>
        <v>0</v>
      </c>
      <c r="CW33" s="117"/>
      <c r="CX33" s="117"/>
      <c r="CY33" s="117"/>
      <c r="CZ33" s="117"/>
      <c r="DA33" s="117"/>
      <c r="DB33" s="117"/>
      <c r="DC33" s="117"/>
      <c r="DD33" s="117"/>
      <c r="DE33" s="111">
        <f t="shared" si="4"/>
        <v>0</v>
      </c>
      <c r="DF33" s="117"/>
      <c r="DG33" s="117"/>
      <c r="DH33" s="117"/>
      <c r="DI33" s="117"/>
      <c r="DJ33" s="117"/>
      <c r="DK33" s="117"/>
      <c r="DL33" s="117"/>
      <c r="DM33" s="117"/>
      <c r="DN33" s="111">
        <f t="shared" si="5"/>
        <v>0</v>
      </c>
      <c r="DO33" s="114">
        <f t="shared" si="9"/>
        <v>120</v>
      </c>
      <c r="DP33" s="115"/>
      <c r="DQ33" s="94"/>
    </row>
    <row r="34" spans="2:121" ht="219.75" hidden="1" customHeight="1">
      <c r="B34" s="622" t="s">
        <v>164</v>
      </c>
      <c r="C34" s="612" t="s">
        <v>165</v>
      </c>
      <c r="D34" s="612" t="s">
        <v>165</v>
      </c>
      <c r="E34" s="621"/>
      <c r="F34" s="612" t="s">
        <v>165</v>
      </c>
      <c r="G34" s="612">
        <v>2034</v>
      </c>
      <c r="H34" s="612" t="s">
        <v>165</v>
      </c>
      <c r="I34" s="622">
        <v>1</v>
      </c>
      <c r="J34" s="110" t="s">
        <v>72</v>
      </c>
      <c r="K34" s="628">
        <v>1</v>
      </c>
      <c r="L34" s="628"/>
      <c r="M34" s="628"/>
      <c r="N34" s="628"/>
      <c r="O34" s="628"/>
      <c r="P34" s="628"/>
      <c r="Q34" s="628"/>
      <c r="R34" s="628"/>
      <c r="S34" s="111">
        <f t="shared" si="14"/>
        <v>1</v>
      </c>
      <c r="T34" s="112">
        <v>0</v>
      </c>
      <c r="U34" s="112"/>
      <c r="V34" s="112"/>
      <c r="W34" s="112"/>
      <c r="X34" s="112"/>
      <c r="Y34" s="112"/>
      <c r="Z34" s="112"/>
      <c r="AA34" s="112"/>
      <c r="AB34" s="111">
        <f t="shared" si="13"/>
        <v>0</v>
      </c>
      <c r="AC34" s="629">
        <v>0</v>
      </c>
      <c r="AD34" s="629"/>
      <c r="AE34" s="629"/>
      <c r="AF34" s="629"/>
      <c r="AG34" s="629"/>
      <c r="AH34" s="629"/>
      <c r="AI34" s="629"/>
      <c r="AJ34" s="629"/>
      <c r="AK34" s="111">
        <f t="shared" si="6"/>
        <v>0</v>
      </c>
      <c r="AL34" s="629">
        <v>0</v>
      </c>
      <c r="AM34" s="629"/>
      <c r="AN34" s="629"/>
      <c r="AO34" s="629"/>
      <c r="AP34" s="629"/>
      <c r="AQ34" s="629"/>
      <c r="AR34" s="629"/>
      <c r="AS34" s="629"/>
      <c r="AT34" s="113">
        <f t="shared" si="7"/>
        <v>0</v>
      </c>
      <c r="AU34" s="629">
        <v>0</v>
      </c>
      <c r="AV34" s="629"/>
      <c r="AW34" s="629"/>
      <c r="AX34" s="629"/>
      <c r="AY34" s="629"/>
      <c r="AZ34" s="629"/>
      <c r="BA34" s="629"/>
      <c r="BB34" s="629"/>
      <c r="BC34" s="111">
        <f t="shared" si="0"/>
        <v>0</v>
      </c>
      <c r="BD34" s="629">
        <v>0</v>
      </c>
      <c r="BE34" s="629"/>
      <c r="BF34" s="629"/>
      <c r="BG34" s="629"/>
      <c r="BH34" s="629"/>
      <c r="BI34" s="629"/>
      <c r="BJ34" s="629"/>
      <c r="BK34" s="629"/>
      <c r="BL34" s="90">
        <f t="shared" si="11"/>
        <v>0</v>
      </c>
      <c r="BM34" s="629">
        <v>0</v>
      </c>
      <c r="BN34" s="629"/>
      <c r="BO34" s="629"/>
      <c r="BP34" s="629"/>
      <c r="BQ34" s="629"/>
      <c r="BR34" s="629"/>
      <c r="BS34" s="629"/>
      <c r="BT34" s="629"/>
      <c r="BU34" s="111">
        <f t="shared" si="8"/>
        <v>0</v>
      </c>
      <c r="BV34" s="629">
        <v>0</v>
      </c>
      <c r="BW34" s="629"/>
      <c r="BX34" s="629"/>
      <c r="BY34" s="629"/>
      <c r="BZ34" s="629"/>
      <c r="CA34" s="629"/>
      <c r="CB34" s="629"/>
      <c r="CC34" s="629"/>
      <c r="CD34" s="111">
        <f t="shared" si="1"/>
        <v>0</v>
      </c>
      <c r="CE34" s="629">
        <v>0</v>
      </c>
      <c r="CF34" s="629"/>
      <c r="CG34" s="629"/>
      <c r="CH34" s="629"/>
      <c r="CI34" s="629"/>
      <c r="CJ34" s="629"/>
      <c r="CK34" s="629"/>
      <c r="CL34" s="629"/>
      <c r="CM34" s="111">
        <f t="shared" si="2"/>
        <v>0</v>
      </c>
      <c r="CN34" s="629">
        <v>0</v>
      </c>
      <c r="CO34" s="629"/>
      <c r="CP34" s="629"/>
      <c r="CQ34" s="629"/>
      <c r="CR34" s="629"/>
      <c r="CS34" s="629"/>
      <c r="CT34" s="629"/>
      <c r="CU34" s="629"/>
      <c r="CV34" s="111">
        <f t="shared" si="3"/>
        <v>0</v>
      </c>
      <c r="CW34" s="629">
        <v>0</v>
      </c>
      <c r="CX34" s="629"/>
      <c r="CY34" s="629"/>
      <c r="CZ34" s="629"/>
      <c r="DA34" s="629"/>
      <c r="DB34" s="629"/>
      <c r="DC34" s="629"/>
      <c r="DD34" s="629"/>
      <c r="DE34" s="111">
        <f t="shared" si="4"/>
        <v>0</v>
      </c>
      <c r="DF34" s="629">
        <v>0</v>
      </c>
      <c r="DG34" s="629"/>
      <c r="DH34" s="629"/>
      <c r="DI34" s="629"/>
      <c r="DJ34" s="629"/>
      <c r="DK34" s="629"/>
      <c r="DL34" s="629"/>
      <c r="DM34" s="629"/>
      <c r="DN34" s="111">
        <f t="shared" si="5"/>
        <v>0</v>
      </c>
      <c r="DO34" s="114">
        <f t="shared" si="9"/>
        <v>1</v>
      </c>
      <c r="DP34" s="115"/>
      <c r="DQ34" s="94"/>
    </row>
    <row r="35" spans="2:121" ht="225" customHeight="1">
      <c r="B35" s="623"/>
      <c r="C35" s="621"/>
      <c r="D35" s="621"/>
      <c r="E35" s="621"/>
      <c r="F35" s="621"/>
      <c r="G35" s="621"/>
      <c r="H35" s="621"/>
      <c r="I35" s="630"/>
      <c r="J35" s="116" t="s">
        <v>73</v>
      </c>
      <c r="K35" s="111">
        <v>3</v>
      </c>
      <c r="L35" s="111">
        <v>1</v>
      </c>
      <c r="M35" s="111">
        <v>0</v>
      </c>
      <c r="N35" s="111">
        <v>0</v>
      </c>
      <c r="O35" s="111">
        <v>14</v>
      </c>
      <c r="P35" s="111">
        <v>10</v>
      </c>
      <c r="Q35" s="111">
        <v>1</v>
      </c>
      <c r="R35" s="111">
        <v>1</v>
      </c>
      <c r="S35" s="111">
        <f t="shared" si="14"/>
        <v>30</v>
      </c>
      <c r="T35" s="111">
        <v>0</v>
      </c>
      <c r="U35" s="111">
        <v>0</v>
      </c>
      <c r="V35" s="111">
        <v>0</v>
      </c>
      <c r="W35" s="111">
        <v>0</v>
      </c>
      <c r="X35" s="111">
        <f>4+36</f>
        <v>40</v>
      </c>
      <c r="Y35" s="111">
        <v>14</v>
      </c>
      <c r="Z35" s="111">
        <v>4</v>
      </c>
      <c r="AA35" s="111">
        <v>0</v>
      </c>
      <c r="AB35" s="111">
        <f t="shared" si="13"/>
        <v>58</v>
      </c>
      <c r="AC35" s="111">
        <v>39</v>
      </c>
      <c r="AD35" s="111">
        <v>28</v>
      </c>
      <c r="AE35" s="111">
        <v>11</v>
      </c>
      <c r="AF35" s="111">
        <v>9</v>
      </c>
      <c r="AG35" s="111">
        <f>104+29+6</f>
        <v>139</v>
      </c>
      <c r="AH35" s="111">
        <f>27+22</f>
        <v>49</v>
      </c>
      <c r="AI35" s="111">
        <v>9</v>
      </c>
      <c r="AJ35" s="111">
        <v>8</v>
      </c>
      <c r="AK35" s="111">
        <f t="shared" si="6"/>
        <v>292</v>
      </c>
      <c r="AL35" s="113">
        <v>15</v>
      </c>
      <c r="AM35" s="113">
        <v>8</v>
      </c>
      <c r="AN35" s="113">
        <v>3</v>
      </c>
      <c r="AO35" s="113">
        <v>1</v>
      </c>
      <c r="AP35" s="113">
        <v>121</v>
      </c>
      <c r="AQ35" s="113">
        <v>58</v>
      </c>
      <c r="AR35" s="113">
        <v>31</v>
      </c>
      <c r="AS35" s="113">
        <v>17</v>
      </c>
      <c r="AT35" s="113">
        <f t="shared" si="7"/>
        <v>254</v>
      </c>
      <c r="AU35" s="117">
        <f>2</f>
        <v>2</v>
      </c>
      <c r="AV35" s="117">
        <f>2</f>
        <v>2</v>
      </c>
      <c r="AW35" s="117">
        <v>0</v>
      </c>
      <c r="AX35" s="117">
        <v>0</v>
      </c>
      <c r="AY35" s="117">
        <f>100+5+20</f>
        <v>125</v>
      </c>
      <c r="AZ35" s="117">
        <f>28+4+10</f>
        <v>42</v>
      </c>
      <c r="BA35" s="117">
        <f>4+2</f>
        <v>6</v>
      </c>
      <c r="BB35" s="117">
        <f>3</f>
        <v>3</v>
      </c>
      <c r="BC35" s="111">
        <f t="shared" si="0"/>
        <v>180</v>
      </c>
      <c r="BD35" s="117">
        <v>30</v>
      </c>
      <c r="BE35" s="117">
        <v>24</v>
      </c>
      <c r="BF35" s="117">
        <v>12</v>
      </c>
      <c r="BG35" s="117">
        <v>8</v>
      </c>
      <c r="BH35" s="117">
        <f>119+24+20</f>
        <v>163</v>
      </c>
      <c r="BI35" s="117">
        <f>32+15</f>
        <v>47</v>
      </c>
      <c r="BJ35" s="117">
        <f>3+15</f>
        <v>18</v>
      </c>
      <c r="BK35" s="117">
        <v>20</v>
      </c>
      <c r="BL35" s="90">
        <f t="shared" si="11"/>
        <v>322</v>
      </c>
      <c r="BM35" s="117"/>
      <c r="BN35" s="117"/>
      <c r="BO35" s="117"/>
      <c r="BP35" s="117"/>
      <c r="BQ35" s="117"/>
      <c r="BR35" s="117"/>
      <c r="BS35" s="117"/>
      <c r="BT35" s="117"/>
      <c r="BU35" s="111">
        <f t="shared" si="8"/>
        <v>0</v>
      </c>
      <c r="BV35" s="117"/>
      <c r="BW35" s="117"/>
      <c r="BX35" s="117"/>
      <c r="BY35" s="117"/>
      <c r="BZ35" s="117"/>
      <c r="CA35" s="117"/>
      <c r="CB35" s="117"/>
      <c r="CC35" s="117"/>
      <c r="CD35" s="111">
        <f t="shared" si="1"/>
        <v>0</v>
      </c>
      <c r="CE35" s="117"/>
      <c r="CF35" s="117"/>
      <c r="CG35" s="117"/>
      <c r="CH35" s="117"/>
      <c r="CI35" s="117"/>
      <c r="CJ35" s="117"/>
      <c r="CK35" s="117"/>
      <c r="CL35" s="117"/>
      <c r="CM35" s="111">
        <f t="shared" si="2"/>
        <v>0</v>
      </c>
      <c r="CN35" s="117"/>
      <c r="CO35" s="117"/>
      <c r="CP35" s="117"/>
      <c r="CQ35" s="117"/>
      <c r="CR35" s="117"/>
      <c r="CS35" s="117"/>
      <c r="CT35" s="117"/>
      <c r="CU35" s="117"/>
      <c r="CV35" s="111">
        <f t="shared" si="3"/>
        <v>0</v>
      </c>
      <c r="CW35" s="117"/>
      <c r="CX35" s="117"/>
      <c r="CY35" s="117"/>
      <c r="CZ35" s="117"/>
      <c r="DA35" s="117"/>
      <c r="DB35" s="117"/>
      <c r="DC35" s="117"/>
      <c r="DD35" s="117"/>
      <c r="DE35" s="111">
        <f t="shared" si="4"/>
        <v>0</v>
      </c>
      <c r="DF35" s="117"/>
      <c r="DG35" s="117"/>
      <c r="DH35" s="117"/>
      <c r="DI35" s="117"/>
      <c r="DJ35" s="117"/>
      <c r="DK35" s="117"/>
      <c r="DL35" s="117"/>
      <c r="DM35" s="117"/>
      <c r="DN35" s="111">
        <f t="shared" si="5"/>
        <v>0</v>
      </c>
      <c r="DO35" s="114">
        <f t="shared" si="9"/>
        <v>1136</v>
      </c>
      <c r="DP35" s="115"/>
      <c r="DQ35" s="94"/>
    </row>
    <row r="36" spans="2:121" ht="227.25" hidden="1" customHeight="1">
      <c r="B36" s="612" t="s">
        <v>166</v>
      </c>
      <c r="C36" s="612" t="s">
        <v>8</v>
      </c>
      <c r="D36" s="612" t="s">
        <v>167</v>
      </c>
      <c r="E36" s="621"/>
      <c r="F36" s="612" t="s">
        <v>167</v>
      </c>
      <c r="G36" s="612">
        <v>700</v>
      </c>
      <c r="H36" s="612" t="s">
        <v>167</v>
      </c>
      <c r="I36" s="612">
        <v>48</v>
      </c>
      <c r="J36" s="110" t="s">
        <v>72</v>
      </c>
      <c r="K36" s="628">
        <v>3</v>
      </c>
      <c r="L36" s="628"/>
      <c r="M36" s="628"/>
      <c r="N36" s="628"/>
      <c r="O36" s="628"/>
      <c r="P36" s="628"/>
      <c r="Q36" s="628"/>
      <c r="R36" s="628"/>
      <c r="S36" s="111">
        <f t="shared" si="14"/>
        <v>3</v>
      </c>
      <c r="T36" s="628">
        <v>3</v>
      </c>
      <c r="U36" s="628"/>
      <c r="V36" s="628"/>
      <c r="W36" s="628"/>
      <c r="X36" s="628"/>
      <c r="Y36" s="628"/>
      <c r="Z36" s="628"/>
      <c r="AA36" s="628"/>
      <c r="AB36" s="111">
        <f t="shared" si="13"/>
        <v>3</v>
      </c>
      <c r="AC36" s="629">
        <v>5</v>
      </c>
      <c r="AD36" s="629"/>
      <c r="AE36" s="629"/>
      <c r="AF36" s="629"/>
      <c r="AG36" s="629"/>
      <c r="AH36" s="629"/>
      <c r="AI36" s="629"/>
      <c r="AJ36" s="629"/>
      <c r="AK36" s="111">
        <f t="shared" si="6"/>
        <v>5</v>
      </c>
      <c r="AL36" s="629">
        <v>3</v>
      </c>
      <c r="AM36" s="629"/>
      <c r="AN36" s="629"/>
      <c r="AO36" s="629"/>
      <c r="AP36" s="629"/>
      <c r="AQ36" s="629"/>
      <c r="AR36" s="629"/>
      <c r="AS36" s="629"/>
      <c r="AT36" s="113">
        <f t="shared" si="7"/>
        <v>3</v>
      </c>
      <c r="AU36" s="629">
        <v>3</v>
      </c>
      <c r="AV36" s="629"/>
      <c r="AW36" s="629"/>
      <c r="AX36" s="629"/>
      <c r="AY36" s="629"/>
      <c r="AZ36" s="629"/>
      <c r="BA36" s="629"/>
      <c r="BB36" s="629"/>
      <c r="BC36" s="111">
        <f t="shared" si="0"/>
        <v>3</v>
      </c>
      <c r="BD36" s="629">
        <v>5</v>
      </c>
      <c r="BE36" s="629"/>
      <c r="BF36" s="629"/>
      <c r="BG36" s="629"/>
      <c r="BH36" s="629"/>
      <c r="BI36" s="629"/>
      <c r="BJ36" s="629"/>
      <c r="BK36" s="629"/>
      <c r="BL36" s="90">
        <f t="shared" si="11"/>
        <v>5</v>
      </c>
      <c r="BM36" s="629">
        <v>5</v>
      </c>
      <c r="BN36" s="629"/>
      <c r="BO36" s="629"/>
      <c r="BP36" s="629"/>
      <c r="BQ36" s="629"/>
      <c r="BR36" s="629"/>
      <c r="BS36" s="629"/>
      <c r="BT36" s="629"/>
      <c r="BU36" s="111">
        <f t="shared" si="8"/>
        <v>5</v>
      </c>
      <c r="BV36" s="629">
        <v>3</v>
      </c>
      <c r="BW36" s="629"/>
      <c r="BX36" s="629"/>
      <c r="BY36" s="629"/>
      <c r="BZ36" s="629"/>
      <c r="CA36" s="629"/>
      <c r="CB36" s="629"/>
      <c r="CC36" s="629"/>
      <c r="CD36" s="111">
        <f t="shared" si="1"/>
        <v>3</v>
      </c>
      <c r="CE36" s="629">
        <v>5</v>
      </c>
      <c r="CF36" s="629"/>
      <c r="CG36" s="629"/>
      <c r="CH36" s="629"/>
      <c r="CI36" s="629"/>
      <c r="CJ36" s="629"/>
      <c r="CK36" s="629"/>
      <c r="CL36" s="629"/>
      <c r="CM36" s="111">
        <f t="shared" si="2"/>
        <v>5</v>
      </c>
      <c r="CN36" s="629">
        <v>3</v>
      </c>
      <c r="CO36" s="629"/>
      <c r="CP36" s="629"/>
      <c r="CQ36" s="629"/>
      <c r="CR36" s="629"/>
      <c r="CS36" s="629"/>
      <c r="CT36" s="629"/>
      <c r="CU36" s="629"/>
      <c r="CV36" s="111">
        <f t="shared" si="3"/>
        <v>3</v>
      </c>
      <c r="CW36" s="629">
        <v>5</v>
      </c>
      <c r="CX36" s="629"/>
      <c r="CY36" s="629"/>
      <c r="CZ36" s="629"/>
      <c r="DA36" s="629"/>
      <c r="DB36" s="629"/>
      <c r="DC36" s="629"/>
      <c r="DD36" s="629"/>
      <c r="DE36" s="111">
        <f t="shared" si="4"/>
        <v>5</v>
      </c>
      <c r="DF36" s="629">
        <v>5</v>
      </c>
      <c r="DG36" s="629"/>
      <c r="DH36" s="629"/>
      <c r="DI36" s="629"/>
      <c r="DJ36" s="629"/>
      <c r="DK36" s="629"/>
      <c r="DL36" s="629"/>
      <c r="DM36" s="629"/>
      <c r="DN36" s="111">
        <f t="shared" si="5"/>
        <v>5</v>
      </c>
      <c r="DO36" s="114">
        <f t="shared" si="9"/>
        <v>48</v>
      </c>
      <c r="DP36" s="117"/>
      <c r="DQ36" s="94"/>
    </row>
    <row r="37" spans="2:121" ht="259.5" customHeight="1">
      <c r="B37" s="621"/>
      <c r="C37" s="621"/>
      <c r="D37" s="621"/>
      <c r="E37" s="621"/>
      <c r="F37" s="621"/>
      <c r="G37" s="621"/>
      <c r="H37" s="621"/>
      <c r="I37" s="613"/>
      <c r="J37" s="116" t="s">
        <v>73</v>
      </c>
      <c r="K37" s="118">
        <v>6</v>
      </c>
      <c r="L37" s="118">
        <v>5</v>
      </c>
      <c r="M37" s="118">
        <v>4</v>
      </c>
      <c r="N37" s="118">
        <v>3</v>
      </c>
      <c r="O37" s="118">
        <v>7</v>
      </c>
      <c r="P37" s="119">
        <v>4</v>
      </c>
      <c r="Q37" s="119">
        <v>3</v>
      </c>
      <c r="R37" s="119">
        <v>1</v>
      </c>
      <c r="S37" s="111">
        <f t="shared" si="14"/>
        <v>33</v>
      </c>
      <c r="T37" s="111">
        <f>26+5</f>
        <v>31</v>
      </c>
      <c r="U37" s="111">
        <f>21+6</f>
        <v>27</v>
      </c>
      <c r="V37" s="111">
        <f>3+4</f>
        <v>7</v>
      </c>
      <c r="W37" s="111">
        <f>5</f>
        <v>5</v>
      </c>
      <c r="X37" s="111">
        <f>8+2</f>
        <v>10</v>
      </c>
      <c r="Y37" s="111">
        <f>4+1</f>
        <v>5</v>
      </c>
      <c r="Z37" s="111">
        <f>8+5</f>
        <v>13</v>
      </c>
      <c r="AA37" s="111">
        <f>3+1</f>
        <v>4</v>
      </c>
      <c r="AB37" s="111">
        <f t="shared" si="13"/>
        <v>102</v>
      </c>
      <c r="AC37" s="111">
        <v>38</v>
      </c>
      <c r="AD37" s="111">
        <v>30</v>
      </c>
      <c r="AE37" s="111">
        <v>7</v>
      </c>
      <c r="AF37" s="111">
        <v>9</v>
      </c>
      <c r="AG37" s="111">
        <v>22</v>
      </c>
      <c r="AH37" s="111">
        <v>3</v>
      </c>
      <c r="AI37" s="111">
        <v>9</v>
      </c>
      <c r="AJ37" s="111">
        <v>5</v>
      </c>
      <c r="AK37" s="111">
        <f t="shared" si="6"/>
        <v>123</v>
      </c>
      <c r="AL37" s="113">
        <v>14</v>
      </c>
      <c r="AM37" s="113">
        <v>4</v>
      </c>
      <c r="AN37" s="113">
        <v>6</v>
      </c>
      <c r="AO37" s="113">
        <v>8</v>
      </c>
      <c r="AP37" s="113">
        <v>12</v>
      </c>
      <c r="AQ37" s="113">
        <v>6</v>
      </c>
      <c r="AR37" s="113">
        <v>6</v>
      </c>
      <c r="AS37" s="113">
        <v>3</v>
      </c>
      <c r="AT37" s="113">
        <f t="shared" si="7"/>
        <v>59</v>
      </c>
      <c r="AU37" s="117">
        <f>11+1</f>
        <v>12</v>
      </c>
      <c r="AV37" s="117">
        <f>14</f>
        <v>14</v>
      </c>
      <c r="AW37" s="117">
        <f>6</f>
        <v>6</v>
      </c>
      <c r="AX37" s="117">
        <f>9</f>
        <v>9</v>
      </c>
      <c r="AY37" s="117">
        <f>3+8</f>
        <v>11</v>
      </c>
      <c r="AZ37" s="117">
        <f>4+8</f>
        <v>12</v>
      </c>
      <c r="BA37" s="117">
        <f>3</f>
        <v>3</v>
      </c>
      <c r="BB37" s="117">
        <f>1</f>
        <v>1</v>
      </c>
      <c r="BC37" s="111">
        <f t="shared" si="0"/>
        <v>68</v>
      </c>
      <c r="BD37" s="117">
        <v>26</v>
      </c>
      <c r="BE37" s="117">
        <v>30</v>
      </c>
      <c r="BF37" s="117">
        <v>15</v>
      </c>
      <c r="BG37" s="117">
        <v>11</v>
      </c>
      <c r="BH37" s="117">
        <v>18</v>
      </c>
      <c r="BI37" s="117">
        <v>8</v>
      </c>
      <c r="BJ37" s="117">
        <v>12</v>
      </c>
      <c r="BK37" s="117">
        <v>7</v>
      </c>
      <c r="BL37" s="90">
        <f t="shared" si="11"/>
        <v>127</v>
      </c>
      <c r="BM37" s="117"/>
      <c r="BN37" s="117"/>
      <c r="BO37" s="117"/>
      <c r="BP37" s="117"/>
      <c r="BQ37" s="117"/>
      <c r="BR37" s="117"/>
      <c r="BS37" s="117"/>
      <c r="BT37" s="117"/>
      <c r="BU37" s="111">
        <f t="shared" si="8"/>
        <v>0</v>
      </c>
      <c r="BV37" s="117"/>
      <c r="BW37" s="117"/>
      <c r="BX37" s="117"/>
      <c r="BY37" s="117"/>
      <c r="BZ37" s="117"/>
      <c r="CA37" s="117"/>
      <c r="CB37" s="117"/>
      <c r="CC37" s="117"/>
      <c r="CD37" s="111">
        <f t="shared" si="1"/>
        <v>0</v>
      </c>
      <c r="CE37" s="117"/>
      <c r="CF37" s="117"/>
      <c r="CG37" s="117"/>
      <c r="CH37" s="117"/>
      <c r="CI37" s="117"/>
      <c r="CJ37" s="117"/>
      <c r="CK37" s="117"/>
      <c r="CL37" s="117"/>
      <c r="CM37" s="111">
        <f t="shared" si="2"/>
        <v>0</v>
      </c>
      <c r="CN37" s="117"/>
      <c r="CO37" s="117"/>
      <c r="CP37" s="117"/>
      <c r="CQ37" s="117"/>
      <c r="CR37" s="117"/>
      <c r="CS37" s="117"/>
      <c r="CT37" s="117"/>
      <c r="CU37" s="117"/>
      <c r="CV37" s="111">
        <f t="shared" si="3"/>
        <v>0</v>
      </c>
      <c r="CW37" s="117"/>
      <c r="CX37" s="117"/>
      <c r="CY37" s="117"/>
      <c r="CZ37" s="117"/>
      <c r="DA37" s="117"/>
      <c r="DB37" s="117"/>
      <c r="DC37" s="117"/>
      <c r="DD37" s="117"/>
      <c r="DE37" s="111">
        <f t="shared" si="4"/>
        <v>0</v>
      </c>
      <c r="DF37" s="117"/>
      <c r="DG37" s="117"/>
      <c r="DH37" s="117"/>
      <c r="DI37" s="117"/>
      <c r="DJ37" s="117"/>
      <c r="DK37" s="115"/>
      <c r="DL37" s="115"/>
      <c r="DM37" s="115"/>
      <c r="DN37" s="111">
        <f t="shared" si="5"/>
        <v>0</v>
      </c>
      <c r="DO37" s="114">
        <f t="shared" si="9"/>
        <v>512</v>
      </c>
      <c r="DP37" s="117"/>
      <c r="DQ37" s="94"/>
    </row>
    <row r="38" spans="2:121" ht="99.75" customHeight="1">
      <c r="B38" s="632"/>
      <c r="C38" s="588"/>
      <c r="D38" s="633"/>
      <c r="E38" s="588"/>
      <c r="F38" s="120"/>
      <c r="G38" s="79"/>
      <c r="H38" s="79"/>
      <c r="I38" s="79"/>
      <c r="J38" s="121"/>
      <c r="K38" s="80"/>
      <c r="L38" s="80"/>
      <c r="M38" s="81"/>
      <c r="N38" s="81"/>
      <c r="O38" s="81"/>
      <c r="P38" s="81"/>
      <c r="Q38" s="81"/>
      <c r="R38" s="81"/>
      <c r="S38" s="81"/>
    </row>
    <row r="39" spans="2:121" ht="99.75" customHeight="1">
      <c r="B39" s="79"/>
      <c r="C39" s="79"/>
      <c r="D39" s="94"/>
      <c r="E39" s="79"/>
      <c r="F39" s="79"/>
      <c r="G39" s="79"/>
      <c r="H39" s="79"/>
      <c r="I39" s="79"/>
      <c r="J39" s="79"/>
      <c r="K39" s="80"/>
      <c r="L39" s="80"/>
      <c r="M39" s="81"/>
      <c r="N39" s="81"/>
      <c r="O39" s="81"/>
      <c r="P39" s="81"/>
      <c r="Q39" s="81"/>
      <c r="R39" s="81"/>
      <c r="S39" s="81"/>
    </row>
    <row r="40" spans="2:121" ht="99.75" customHeight="1">
      <c r="B40" s="79"/>
      <c r="C40" s="79"/>
      <c r="D40" s="94"/>
      <c r="E40" s="79"/>
      <c r="F40" s="79"/>
      <c r="G40" s="79"/>
      <c r="H40" s="79"/>
      <c r="I40" s="79"/>
      <c r="J40" s="79"/>
      <c r="K40" s="80"/>
      <c r="L40" s="80"/>
      <c r="M40" s="81"/>
      <c r="N40" s="81"/>
      <c r="O40" s="81"/>
      <c r="P40" s="81"/>
      <c r="Q40" s="81"/>
      <c r="R40" s="81"/>
      <c r="S40" s="81"/>
    </row>
    <row r="41" spans="2:121" ht="99.75" customHeight="1">
      <c r="B41" s="79"/>
      <c r="C41" s="79"/>
      <c r="D41" s="94"/>
      <c r="E41" s="79"/>
      <c r="F41" s="79"/>
      <c r="G41" s="79"/>
      <c r="H41" s="79"/>
      <c r="I41" s="79"/>
      <c r="J41" s="79"/>
      <c r="K41" s="80"/>
      <c r="L41" s="80"/>
      <c r="M41" s="81"/>
      <c r="N41" s="81"/>
      <c r="O41" s="81"/>
      <c r="P41" s="81"/>
      <c r="Q41" s="81"/>
      <c r="R41" s="81"/>
      <c r="S41" s="81"/>
    </row>
    <row r="42" spans="2:121" ht="99.75" customHeight="1">
      <c r="B42" s="634" t="s">
        <v>92</v>
      </c>
      <c r="C42" s="585"/>
      <c r="D42" s="94"/>
      <c r="E42" s="79"/>
      <c r="F42" s="79"/>
      <c r="G42" s="634" t="s">
        <v>93</v>
      </c>
      <c r="H42" s="585"/>
      <c r="I42" s="585"/>
      <c r="J42" s="585"/>
      <c r="K42" s="80"/>
      <c r="L42" s="80"/>
      <c r="M42" s="81"/>
      <c r="N42" s="81"/>
      <c r="O42" s="81"/>
      <c r="P42" s="81"/>
      <c r="Q42" s="81"/>
      <c r="R42" s="81"/>
      <c r="S42" s="81"/>
    </row>
    <row r="43" spans="2:121" ht="99.75" customHeight="1">
      <c r="B43" s="79"/>
      <c r="C43" s="79"/>
      <c r="D43" s="94"/>
      <c r="E43" s="79"/>
      <c r="F43" s="79"/>
      <c r="G43" s="79"/>
      <c r="H43" s="79"/>
      <c r="I43" s="79"/>
      <c r="J43" s="79"/>
      <c r="K43" s="80"/>
      <c r="L43" s="80"/>
      <c r="M43" s="81"/>
      <c r="N43" s="81"/>
      <c r="O43" s="81"/>
      <c r="P43" s="81"/>
      <c r="Q43" s="81"/>
      <c r="R43" s="81"/>
      <c r="S43" s="81"/>
    </row>
    <row r="44" spans="2:121" ht="99.75" customHeight="1"/>
    <row r="45" spans="2:121" ht="99.75" customHeight="1"/>
    <row r="46" spans="2:121" ht="99.75" customHeight="1"/>
    <row r="47" spans="2:121" ht="99.75" customHeight="1"/>
    <row r="48" spans="2:121" ht="99.75" customHeight="1"/>
    <row r="49" ht="99.75" customHeight="1"/>
    <row r="50" ht="99.75" customHeight="1"/>
    <row r="51" ht="99.75" customHeight="1"/>
    <row r="52" ht="99.75" customHeight="1"/>
    <row r="53" ht="99.75" customHeight="1"/>
    <row r="54" ht="99.75" customHeight="1"/>
    <row r="55" ht="99.75" customHeight="1"/>
    <row r="56" ht="99.75" customHeight="1"/>
    <row r="57" ht="99.75" customHeight="1"/>
    <row r="58" ht="99.75" customHeight="1"/>
    <row r="59" ht="99.75" customHeight="1"/>
    <row r="60" ht="99.75" customHeight="1"/>
    <row r="61" ht="99.75" customHeight="1"/>
    <row r="62" ht="99.75" customHeight="1"/>
    <row r="63" ht="99.75" customHeight="1"/>
    <row r="64" ht="99.75" customHeight="1"/>
    <row r="65" ht="99.75" customHeight="1"/>
    <row r="66" ht="99.75" customHeight="1"/>
    <row r="67" ht="99.75" customHeight="1"/>
    <row r="68" ht="99.75" customHeight="1"/>
    <row r="69" ht="99.75" customHeight="1"/>
    <row r="70" ht="99.75" customHeight="1"/>
    <row r="71" ht="99.75" customHeight="1"/>
    <row r="72" ht="99.75" customHeight="1"/>
    <row r="73" ht="99.75" customHeight="1"/>
    <row r="74" ht="99.75" customHeight="1"/>
    <row r="75" ht="99.75" customHeight="1"/>
    <row r="76" ht="99.75" customHeight="1"/>
    <row r="77" ht="99.75" customHeight="1"/>
    <row r="78" ht="99.75" customHeight="1"/>
    <row r="79" ht="99.75" customHeight="1"/>
    <row r="80" ht="99.75" customHeight="1"/>
    <row r="81" ht="99.75" customHeight="1"/>
    <row r="82" ht="99.75" customHeight="1"/>
    <row r="83" ht="99.75" customHeight="1"/>
    <row r="84" ht="99.75" customHeight="1"/>
    <row r="85" ht="99.75" customHeight="1"/>
    <row r="86" ht="99.75" customHeight="1"/>
    <row r="87" ht="99.75" customHeight="1"/>
    <row r="88" ht="99.75" customHeight="1"/>
    <row r="89" ht="99.75" customHeight="1"/>
    <row r="90" ht="99.75" customHeight="1"/>
    <row r="91" ht="99.75" customHeight="1"/>
    <row r="92" ht="99.75" customHeight="1"/>
    <row r="93" ht="99.75" customHeight="1"/>
    <row r="94" ht="99.75" customHeight="1"/>
    <row r="95" ht="99.75" customHeight="1"/>
    <row r="96" ht="99.75" customHeight="1"/>
    <row r="97" ht="99.75" customHeight="1"/>
    <row r="98" ht="99.75" customHeight="1"/>
    <row r="99" ht="99.75" customHeight="1"/>
    <row r="100" ht="99.75" customHeight="1"/>
    <row r="101" ht="99.75" customHeight="1"/>
    <row r="102" ht="99.75" customHeight="1"/>
    <row r="103" ht="99.75" customHeight="1"/>
    <row r="104" ht="99.75" customHeight="1"/>
    <row r="105" ht="99.75" customHeight="1"/>
    <row r="106" ht="99.75" customHeight="1"/>
    <row r="107" ht="99.75" customHeight="1"/>
    <row r="108" ht="99.75" customHeight="1"/>
    <row r="109" ht="99.75" customHeight="1"/>
    <row r="110" ht="99.75" customHeight="1"/>
    <row r="111" ht="99.75" customHeight="1"/>
    <row r="112" ht="99.75" customHeight="1"/>
    <row r="113" ht="99.75" customHeight="1"/>
    <row r="114" ht="99.75" customHeight="1"/>
    <row r="115" ht="99.75" customHeight="1"/>
    <row r="116" ht="99.75" customHeight="1"/>
    <row r="117" ht="99.75" customHeight="1"/>
    <row r="118" ht="99.75" customHeight="1"/>
    <row r="119" ht="99.75" customHeight="1"/>
    <row r="120" ht="99.75" customHeight="1"/>
    <row r="121" ht="99.75" customHeight="1"/>
    <row r="122" ht="99.75" customHeight="1"/>
    <row r="123" ht="99.75" customHeight="1"/>
    <row r="124" ht="99.75" customHeight="1"/>
    <row r="125" ht="99.75" customHeight="1"/>
    <row r="126" ht="99.75" customHeight="1"/>
    <row r="127" ht="99.75" customHeight="1"/>
    <row r="128" ht="99.75" customHeight="1"/>
    <row r="129" ht="99.75" customHeight="1"/>
    <row r="130" ht="99.75" customHeight="1"/>
    <row r="131" ht="99.75" customHeight="1"/>
    <row r="132" ht="99.75" customHeight="1"/>
    <row r="133" ht="99.75" customHeight="1"/>
    <row r="134" ht="99.75" customHeight="1"/>
    <row r="135" ht="99.75" customHeight="1"/>
    <row r="136" ht="99.75" customHeight="1"/>
    <row r="137" ht="99.75" customHeight="1"/>
    <row r="138" ht="99.75" customHeight="1"/>
    <row r="139" ht="99.75" customHeight="1"/>
    <row r="140" ht="99.75" customHeight="1"/>
    <row r="141" ht="99.75" customHeight="1"/>
    <row r="142" ht="99.75" customHeight="1"/>
    <row r="143" ht="99.75" customHeight="1"/>
    <row r="144" ht="99.75" customHeight="1"/>
    <row r="145" ht="99.75" customHeight="1"/>
    <row r="146" ht="99.75" customHeight="1"/>
    <row r="147" ht="99.75" customHeight="1"/>
    <row r="148" ht="99.75" customHeight="1"/>
    <row r="149" ht="99.75" customHeight="1"/>
    <row r="150" ht="99.75" customHeight="1"/>
    <row r="151" ht="99.75" customHeight="1"/>
    <row r="152" ht="99.75" customHeight="1"/>
    <row r="153" ht="99.75" customHeight="1"/>
    <row r="154" ht="99.75" customHeight="1"/>
    <row r="155" ht="99.75" customHeight="1"/>
    <row r="156" ht="99.75" customHeight="1"/>
    <row r="157" ht="99.75" customHeight="1"/>
    <row r="158" ht="99.75" customHeight="1"/>
    <row r="159" ht="99.75" customHeight="1"/>
    <row r="160" ht="99.75" customHeight="1"/>
    <row r="161" ht="99.75" customHeight="1"/>
    <row r="162" ht="99.75" customHeight="1"/>
    <row r="163" ht="99.75" customHeight="1"/>
    <row r="164" ht="99.75" customHeight="1"/>
    <row r="165" ht="99.75" customHeight="1"/>
    <row r="166" ht="99.75" customHeight="1"/>
    <row r="167" ht="99.75" customHeight="1"/>
    <row r="168" ht="99.75" customHeight="1"/>
    <row r="169" ht="99.75" customHeight="1"/>
    <row r="170" ht="99.75" customHeight="1"/>
    <row r="171" ht="99.75" customHeight="1"/>
    <row r="172" ht="99.75" customHeight="1"/>
    <row r="173" ht="99.75" customHeight="1"/>
    <row r="174" ht="99.75" customHeight="1"/>
    <row r="175" ht="99.75" customHeight="1"/>
    <row r="176" ht="99.75" customHeight="1"/>
    <row r="177" ht="99.75" customHeight="1"/>
    <row r="178" ht="99.75" customHeight="1"/>
    <row r="179" ht="99.75" customHeight="1"/>
    <row r="180" ht="99.75" customHeight="1"/>
    <row r="181" ht="99.75" customHeight="1"/>
    <row r="182" ht="99.75" customHeight="1"/>
    <row r="183" ht="99.75" customHeight="1"/>
    <row r="184" ht="99.75" customHeight="1"/>
    <row r="185" ht="99.75" customHeight="1"/>
    <row r="186" ht="99.75" customHeight="1"/>
    <row r="187" ht="99.75" customHeight="1"/>
    <row r="188" ht="99.75" customHeight="1"/>
    <row r="189" ht="99.75" customHeight="1"/>
    <row r="190" ht="99.75" customHeight="1"/>
    <row r="191" ht="99.75" customHeight="1"/>
    <row r="192" ht="99.75" customHeight="1"/>
    <row r="193" ht="99.75" customHeight="1"/>
    <row r="194" ht="99.75" customHeight="1"/>
    <row r="195" ht="99.75" customHeight="1"/>
    <row r="196" ht="99.75" customHeight="1"/>
    <row r="197" ht="99.75" customHeight="1"/>
    <row r="198" ht="99.75" customHeight="1"/>
    <row r="199" ht="99.75" customHeight="1"/>
    <row r="200" ht="99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8">
    <mergeCell ref="CW36:DD36"/>
    <mergeCell ref="DF36:DM36"/>
    <mergeCell ref="B38:C38"/>
    <mergeCell ref="D38:E38"/>
    <mergeCell ref="B42:C42"/>
    <mergeCell ref="G42:J42"/>
    <mergeCell ref="AU36:BB36"/>
    <mergeCell ref="BD36:BK36"/>
    <mergeCell ref="BM36:BT36"/>
    <mergeCell ref="BV36:CC36"/>
    <mergeCell ref="CE36:CL36"/>
    <mergeCell ref="CN36:CU36"/>
    <mergeCell ref="H36:H37"/>
    <mergeCell ref="I36:I37"/>
    <mergeCell ref="K36:R36"/>
    <mergeCell ref="T36:AA36"/>
    <mergeCell ref="AC36:AJ36"/>
    <mergeCell ref="AL36:AS36"/>
    <mergeCell ref="B36:B37"/>
    <mergeCell ref="C36:C37"/>
    <mergeCell ref="D36:E37"/>
    <mergeCell ref="F36:F37"/>
    <mergeCell ref="G36:G37"/>
    <mergeCell ref="K34:R34"/>
    <mergeCell ref="AC34:AJ34"/>
    <mergeCell ref="AL34:AS34"/>
    <mergeCell ref="AU34:BB34"/>
    <mergeCell ref="DF32:DM32"/>
    <mergeCell ref="B34:B35"/>
    <mergeCell ref="C34:C35"/>
    <mergeCell ref="D34:E35"/>
    <mergeCell ref="F34:F35"/>
    <mergeCell ref="G34:G35"/>
    <mergeCell ref="H34:H35"/>
    <mergeCell ref="I34:I35"/>
    <mergeCell ref="AL32:AS32"/>
    <mergeCell ref="AU32:BB32"/>
    <mergeCell ref="BD32:BK32"/>
    <mergeCell ref="BM32:BT32"/>
    <mergeCell ref="BV32:CC32"/>
    <mergeCell ref="CE32:CL32"/>
    <mergeCell ref="BV34:CC34"/>
    <mergeCell ref="CE34:CL34"/>
    <mergeCell ref="CN34:CU34"/>
    <mergeCell ref="CW34:DD34"/>
    <mergeCell ref="DF34:DM34"/>
    <mergeCell ref="BD34:BK34"/>
    <mergeCell ref="BM34:BT34"/>
    <mergeCell ref="DF30:DM30"/>
    <mergeCell ref="B32:B33"/>
    <mergeCell ref="C32:C33"/>
    <mergeCell ref="D32:E33"/>
    <mergeCell ref="F32:F33"/>
    <mergeCell ref="G32:G33"/>
    <mergeCell ref="H32:H33"/>
    <mergeCell ref="I32:I33"/>
    <mergeCell ref="K32:R32"/>
    <mergeCell ref="AC32:AJ32"/>
    <mergeCell ref="BD30:BK30"/>
    <mergeCell ref="BM30:BT30"/>
    <mergeCell ref="BV30:CC30"/>
    <mergeCell ref="CE30:CL30"/>
    <mergeCell ref="CN30:CU30"/>
    <mergeCell ref="CW30:DD30"/>
    <mergeCell ref="H30:H31"/>
    <mergeCell ref="I30:I31"/>
    <mergeCell ref="K30:R30"/>
    <mergeCell ref="AC30:AJ30"/>
    <mergeCell ref="AL30:AS30"/>
    <mergeCell ref="AU30:BB30"/>
    <mergeCell ref="CN32:CU32"/>
    <mergeCell ref="CW32:DD32"/>
    <mergeCell ref="B30:B31"/>
    <mergeCell ref="C30:C31"/>
    <mergeCell ref="D30:E31"/>
    <mergeCell ref="F30:F31"/>
    <mergeCell ref="G30:G31"/>
    <mergeCell ref="K28:R28"/>
    <mergeCell ref="AC28:AJ28"/>
    <mergeCell ref="AL28:AS28"/>
    <mergeCell ref="AU28:BB28"/>
    <mergeCell ref="DF26:DM26"/>
    <mergeCell ref="B28:B29"/>
    <mergeCell ref="C28:C29"/>
    <mergeCell ref="D28:E29"/>
    <mergeCell ref="F28:F29"/>
    <mergeCell ref="G28:G29"/>
    <mergeCell ref="H28:H29"/>
    <mergeCell ref="I28:I29"/>
    <mergeCell ref="AL26:AS26"/>
    <mergeCell ref="AU26:BB26"/>
    <mergeCell ref="BD26:BK26"/>
    <mergeCell ref="BM26:BT26"/>
    <mergeCell ref="BV26:CC26"/>
    <mergeCell ref="CE26:CL26"/>
    <mergeCell ref="BV28:CC28"/>
    <mergeCell ref="CE28:CL28"/>
    <mergeCell ref="CN28:CU28"/>
    <mergeCell ref="CW28:DD28"/>
    <mergeCell ref="DF28:DM28"/>
    <mergeCell ref="BD28:BK28"/>
    <mergeCell ref="BM28:BT28"/>
    <mergeCell ref="DF24:DM24"/>
    <mergeCell ref="B26:B27"/>
    <mergeCell ref="C26:C27"/>
    <mergeCell ref="D26:E27"/>
    <mergeCell ref="F26:F27"/>
    <mergeCell ref="G26:G27"/>
    <mergeCell ref="H26:H27"/>
    <mergeCell ref="I26:I27"/>
    <mergeCell ref="K26:R26"/>
    <mergeCell ref="AC26:AJ26"/>
    <mergeCell ref="BD24:BK24"/>
    <mergeCell ref="BM24:BT24"/>
    <mergeCell ref="BV24:CC24"/>
    <mergeCell ref="CE24:CL24"/>
    <mergeCell ref="CN24:CU24"/>
    <mergeCell ref="CW24:DD24"/>
    <mergeCell ref="H24:H25"/>
    <mergeCell ref="I24:I25"/>
    <mergeCell ref="K24:R24"/>
    <mergeCell ref="AC24:AJ24"/>
    <mergeCell ref="AL24:AS24"/>
    <mergeCell ref="AU24:BB24"/>
    <mergeCell ref="CN26:CU26"/>
    <mergeCell ref="CW26:DD26"/>
    <mergeCell ref="B24:B25"/>
    <mergeCell ref="C24:C25"/>
    <mergeCell ref="D24:E25"/>
    <mergeCell ref="F24:F25"/>
    <mergeCell ref="G24:G25"/>
    <mergeCell ref="K22:R22"/>
    <mergeCell ref="AC22:AJ22"/>
    <mergeCell ref="AL22:AS22"/>
    <mergeCell ref="AU22:BB22"/>
    <mergeCell ref="CN20:CU20"/>
    <mergeCell ref="CW20:DD20"/>
    <mergeCell ref="DF20:DM20"/>
    <mergeCell ref="B22:B23"/>
    <mergeCell ref="C22:C23"/>
    <mergeCell ref="D22:E23"/>
    <mergeCell ref="F22:F23"/>
    <mergeCell ref="G22:G23"/>
    <mergeCell ref="H22:H23"/>
    <mergeCell ref="I22:I23"/>
    <mergeCell ref="AL20:AS20"/>
    <mergeCell ref="AU20:BB20"/>
    <mergeCell ref="BD20:BK20"/>
    <mergeCell ref="BM20:BT20"/>
    <mergeCell ref="BV20:CC20"/>
    <mergeCell ref="CE20:CL20"/>
    <mergeCell ref="BV22:CC22"/>
    <mergeCell ref="CE22:CL22"/>
    <mergeCell ref="CN22:CU22"/>
    <mergeCell ref="CW22:DD22"/>
    <mergeCell ref="DF22:DM22"/>
    <mergeCell ref="BD22:BK22"/>
    <mergeCell ref="BM22:BT22"/>
    <mergeCell ref="B20:B21"/>
    <mergeCell ref="F20:F21"/>
    <mergeCell ref="G20:G21"/>
    <mergeCell ref="H20:H21"/>
    <mergeCell ref="I20:I21"/>
    <mergeCell ref="K20:R20"/>
    <mergeCell ref="AC20:AJ20"/>
    <mergeCell ref="B14:B15"/>
    <mergeCell ref="C14:C15"/>
    <mergeCell ref="CE16:CL16"/>
    <mergeCell ref="BM14:BT14"/>
    <mergeCell ref="BV14:CC14"/>
    <mergeCell ref="CE14:CL14"/>
    <mergeCell ref="I18:I19"/>
    <mergeCell ref="K18:R18"/>
    <mergeCell ref="T18:AA18"/>
    <mergeCell ref="AC18:AJ18"/>
    <mergeCell ref="AL18:AS18"/>
    <mergeCell ref="AU18:BB18"/>
    <mergeCell ref="C20:C21"/>
    <mergeCell ref="D20:E21"/>
    <mergeCell ref="DF16:DM16"/>
    <mergeCell ref="B18:B19"/>
    <mergeCell ref="C18:C19"/>
    <mergeCell ref="D18:E19"/>
    <mergeCell ref="F18:F19"/>
    <mergeCell ref="G18:G19"/>
    <mergeCell ref="H18:H19"/>
    <mergeCell ref="AC16:AJ16"/>
    <mergeCell ref="AL16:AS16"/>
    <mergeCell ref="AU16:BB16"/>
    <mergeCell ref="BD16:BK16"/>
    <mergeCell ref="BM16:BT16"/>
    <mergeCell ref="BV16:CC16"/>
    <mergeCell ref="DF18:DM18"/>
    <mergeCell ref="BD18:BK18"/>
    <mergeCell ref="BM18:BT18"/>
    <mergeCell ref="BV18:CC18"/>
    <mergeCell ref="CE18:CL18"/>
    <mergeCell ref="CN18:CU18"/>
    <mergeCell ref="CW18:DD18"/>
    <mergeCell ref="CN14:CU14"/>
    <mergeCell ref="CW14:DD14"/>
    <mergeCell ref="I14:I15"/>
    <mergeCell ref="K14:R14"/>
    <mergeCell ref="T14:AA14"/>
    <mergeCell ref="AC14:AJ14"/>
    <mergeCell ref="AL14:AS14"/>
    <mergeCell ref="AU14:BB14"/>
    <mergeCell ref="B16:B17"/>
    <mergeCell ref="C16:C17"/>
    <mergeCell ref="D16:E17"/>
    <mergeCell ref="F16:F17"/>
    <mergeCell ref="G16:G17"/>
    <mergeCell ref="H16:H17"/>
    <mergeCell ref="I16:I17"/>
    <mergeCell ref="K16:R16"/>
    <mergeCell ref="T16:AA16"/>
    <mergeCell ref="D14:E15"/>
    <mergeCell ref="F14:F15"/>
    <mergeCell ref="G14:G15"/>
    <mergeCell ref="H14:H15"/>
    <mergeCell ref="CN16:CU16"/>
    <mergeCell ref="CW16:DD16"/>
    <mergeCell ref="CW10:DE12"/>
    <mergeCell ref="DF10:DN12"/>
    <mergeCell ref="DO10:DO13"/>
    <mergeCell ref="DP10:DP13"/>
    <mergeCell ref="J12:J13"/>
    <mergeCell ref="AL10:AT12"/>
    <mergeCell ref="AU10:BC12"/>
    <mergeCell ref="BD10:BL12"/>
    <mergeCell ref="BM10:BU12"/>
    <mergeCell ref="BV10:CD12"/>
    <mergeCell ref="CE10:CM12"/>
    <mergeCell ref="J9:J11"/>
    <mergeCell ref="H10:H13"/>
    <mergeCell ref="I10:I13"/>
    <mergeCell ref="K10:S12"/>
    <mergeCell ref="T10:AB12"/>
    <mergeCell ref="AC10:AK12"/>
    <mergeCell ref="DF14:DM14"/>
    <mergeCell ref="BD14:BK14"/>
    <mergeCell ref="B1:DP2"/>
    <mergeCell ref="B3:E3"/>
    <mergeCell ref="B4:E4"/>
    <mergeCell ref="G4:G5"/>
    <mergeCell ref="H4:H5"/>
    <mergeCell ref="B5:E5"/>
    <mergeCell ref="B6:E6"/>
    <mergeCell ref="B7:E7"/>
    <mergeCell ref="B8:E8"/>
    <mergeCell ref="K8:DP9"/>
    <mergeCell ref="B9:B13"/>
    <mergeCell ref="C9:C13"/>
    <mergeCell ref="D9:E13"/>
    <mergeCell ref="F9:F13"/>
    <mergeCell ref="G9:G13"/>
    <mergeCell ref="H9:I9"/>
    <mergeCell ref="CN10:CV12"/>
  </mergeCells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710937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Ausencias</vt:lpstr>
      <vt:lpstr>Servicios Jurídicos</vt:lpstr>
      <vt:lpstr>Casa medio camino</vt:lpstr>
      <vt:lpstr>Casa Hogar Villas Miravalle</vt:lpstr>
      <vt:lpstr>Prev, atención,superv,desarroll</vt:lpstr>
      <vt:lpstr>Custodia, Tutela, Adopciones</vt:lpstr>
      <vt:lpstr>UAVIFAM</vt:lpstr>
      <vt:lpstr>Hoja2</vt:lpstr>
      <vt:lpstr>Ausencias!Área_de_impresión</vt:lpstr>
      <vt:lpstr>'Casa Hogar Villas Miravalle'!Área_de_impresión</vt:lpstr>
      <vt:lpstr>'Prev, atención,superv,desarroll'!Área_de_impresión</vt:lpstr>
      <vt:lpstr>'Servicios Jurídicos'!Área_de_impresión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pilar.luna</cp:lastModifiedBy>
  <cp:revision>1</cp:revision>
  <cp:lastPrinted>2020-02-19T16:58:51Z</cp:lastPrinted>
  <dcterms:created xsi:type="dcterms:W3CDTF">2014-09-29T19:12:00Z</dcterms:created>
  <dcterms:modified xsi:type="dcterms:W3CDTF">2021-07-16T17:15:07Z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