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30\Planeacion\PLANEACION 2023\TRANSPARENCIA 2023\Fracción IV\AVANCE MIR\"/>
    </mc:Choice>
  </mc:AlternateContent>
  <bookViews>
    <workbookView xWindow="0" yWindow="0" windowWidth="10170" windowHeight="0"/>
  </bookViews>
  <sheets>
    <sheet name="MIR" sheetId="1" r:id="rId1"/>
    <sheet name="Porfinporproposito" sheetId="2" state="hidden" r:id="rId2"/>
    <sheet name="FIN" sheetId="3" state="hidden" r:id="rId3"/>
    <sheet name="PROPÓSITO" sheetId="4" state="hidden" r:id="rId4"/>
  </sheets>
  <externalReferences>
    <externalReference r:id="rId5"/>
  </externalReferences>
  <calcPr calcId="152511"/>
  <fileRecoveryPr repairLoad="1"/>
</workbook>
</file>

<file path=xl/calcChain.xml><?xml version="1.0" encoding="utf-8"?>
<calcChain xmlns="http://schemas.openxmlformats.org/spreadsheetml/2006/main">
  <c r="I5" i="4" l="1"/>
  <c r="I4" i="4"/>
  <c r="I3" i="4"/>
  <c r="I2" i="4"/>
  <c r="J1" i="4" s="1"/>
  <c r="I5" i="3"/>
  <c r="I4" i="3"/>
  <c r="I3" i="3"/>
  <c r="I2" i="3"/>
  <c r="J1" i="3" s="1"/>
  <c r="O34" i="1"/>
  <c r="O33" i="1"/>
  <c r="M17" i="2"/>
  <c r="I17" i="2"/>
  <c r="E17" i="2"/>
  <c r="M16" i="2"/>
  <c r="I16" i="2"/>
  <c r="E16" i="2"/>
  <c r="M15" i="2"/>
  <c r="I15" i="2"/>
  <c r="E15" i="2"/>
  <c r="M14" i="2"/>
  <c r="I14" i="2"/>
  <c r="E14" i="2"/>
  <c r="M13" i="2"/>
  <c r="I13" i="2"/>
  <c r="E13" i="2"/>
  <c r="M12" i="2"/>
  <c r="I12" i="2"/>
  <c r="E12" i="2"/>
  <c r="M11" i="2"/>
  <c r="I11" i="2"/>
  <c r="E11" i="2"/>
  <c r="M10" i="2"/>
  <c r="I10" i="2"/>
  <c r="E10" i="2"/>
  <c r="M9" i="2"/>
  <c r="I9" i="2"/>
  <c r="E9" i="2"/>
  <c r="M8" i="2"/>
  <c r="I8" i="2"/>
  <c r="E8" i="2"/>
  <c r="M7" i="2"/>
  <c r="I7" i="2"/>
  <c r="E7" i="2"/>
  <c r="M6" i="2"/>
  <c r="I6" i="2"/>
  <c r="E6" i="2"/>
  <c r="M5" i="2"/>
  <c r="I5" i="2"/>
  <c r="E5" i="2"/>
  <c r="M4" i="2"/>
  <c r="I4" i="2"/>
  <c r="E4" i="2"/>
  <c r="M3" i="2"/>
  <c r="I3" i="2"/>
  <c r="E3" i="2"/>
  <c r="M2" i="2"/>
  <c r="I2" i="2"/>
  <c r="E2" i="2"/>
  <c r="A1" i="4"/>
  <c r="L17" i="2"/>
  <c r="H17" i="2"/>
  <c r="D17" i="2"/>
  <c r="L16" i="2"/>
  <c r="H16" i="2"/>
  <c r="D16" i="2"/>
  <c r="L15" i="2"/>
  <c r="H15" i="2"/>
  <c r="D15" i="2"/>
  <c r="L14" i="2"/>
  <c r="H14" i="2"/>
  <c r="D14" i="2"/>
  <c r="L13" i="2"/>
  <c r="H13" i="2"/>
  <c r="D13" i="2"/>
  <c r="L12" i="2"/>
  <c r="H12" i="2"/>
  <c r="D12" i="2"/>
  <c r="L11" i="2"/>
  <c r="H11" i="2"/>
  <c r="D11" i="2"/>
  <c r="L10" i="2"/>
  <c r="H10" i="2"/>
  <c r="D10" i="2"/>
  <c r="L9" i="2"/>
  <c r="H9" i="2"/>
  <c r="D9" i="2"/>
  <c r="L8" i="2"/>
  <c r="H8" i="2"/>
  <c r="D8" i="2"/>
  <c r="L7" i="2"/>
  <c r="H7" i="2"/>
  <c r="D7" i="2"/>
  <c r="L6" i="2"/>
  <c r="H6" i="2"/>
  <c r="D6" i="2"/>
  <c r="L5" i="2"/>
  <c r="H5" i="2"/>
  <c r="D5" i="2"/>
  <c r="L4" i="2"/>
  <c r="H4" i="2"/>
  <c r="D4" i="2"/>
  <c r="L3" i="2"/>
  <c r="H3" i="2"/>
  <c r="D3" i="2"/>
  <c r="L2" i="2"/>
  <c r="K17" i="2"/>
  <c r="G17" i="2"/>
  <c r="C17" i="2"/>
  <c r="K16" i="2"/>
  <c r="G16" i="2"/>
  <c r="C16" i="2"/>
  <c r="K15" i="2"/>
  <c r="G15" i="2"/>
  <c r="C15" i="2"/>
  <c r="K14" i="2"/>
  <c r="G14" i="2"/>
  <c r="C14" i="2"/>
  <c r="K13" i="2"/>
  <c r="G13" i="2"/>
  <c r="C13" i="2"/>
  <c r="K12" i="2"/>
  <c r="G12" i="2"/>
  <c r="C12" i="2"/>
  <c r="K11" i="2"/>
  <c r="G11" i="2"/>
  <c r="C11" i="2"/>
  <c r="K10" i="2"/>
  <c r="G10" i="2"/>
  <c r="C10" i="2"/>
  <c r="K9" i="2"/>
  <c r="G9" i="2"/>
  <c r="C9" i="2"/>
  <c r="K8" i="2"/>
  <c r="G8" i="2"/>
  <c r="C8" i="2"/>
  <c r="K7" i="2"/>
  <c r="G7" i="2"/>
  <c r="C7" i="2"/>
  <c r="K6" i="2"/>
  <c r="G6" i="2"/>
  <c r="C6" i="2"/>
  <c r="K5" i="2"/>
  <c r="G5" i="2"/>
  <c r="C5" i="2"/>
  <c r="K4" i="2"/>
  <c r="G4" i="2"/>
  <c r="C4" i="2"/>
  <c r="K3" i="2"/>
  <c r="G3" i="2"/>
  <c r="C3" i="2"/>
  <c r="K2" i="2"/>
  <c r="G2" i="2"/>
  <c r="C2" i="2"/>
  <c r="D2" i="2"/>
  <c r="A1" i="3"/>
  <c r="J17" i="2"/>
  <c r="F17" i="2"/>
  <c r="B17" i="2"/>
  <c r="J16" i="2"/>
  <c r="F16" i="2"/>
  <c r="B16" i="2"/>
  <c r="J15" i="2"/>
  <c r="F15" i="2"/>
  <c r="B15" i="2"/>
  <c r="J14" i="2"/>
  <c r="F14" i="2"/>
  <c r="B14" i="2"/>
  <c r="J13" i="2"/>
  <c r="F13" i="2"/>
  <c r="B13" i="2"/>
  <c r="J12" i="2"/>
  <c r="F12" i="2"/>
  <c r="B12" i="2"/>
  <c r="J11" i="2"/>
  <c r="F11" i="2"/>
  <c r="B11" i="2"/>
  <c r="J10" i="2"/>
  <c r="F10" i="2"/>
  <c r="B10" i="2"/>
  <c r="J9" i="2"/>
  <c r="F9" i="2"/>
  <c r="B9" i="2"/>
  <c r="J8" i="2"/>
  <c r="F8" i="2"/>
  <c r="B8" i="2"/>
  <c r="J7" i="2"/>
  <c r="F7" i="2"/>
  <c r="B7" i="2"/>
  <c r="J6" i="2"/>
  <c r="F6" i="2"/>
  <c r="B6" i="2"/>
  <c r="J5" i="2"/>
  <c r="F5" i="2"/>
  <c r="B5" i="2"/>
  <c r="J4" i="2"/>
  <c r="F4" i="2"/>
  <c r="B4" i="2"/>
  <c r="J3" i="2"/>
  <c r="F3" i="2"/>
  <c r="B3" i="2"/>
  <c r="J2" i="2"/>
  <c r="F2" i="2"/>
  <c r="B2" i="2"/>
  <c r="H2" i="2"/>
</calcChain>
</file>

<file path=xl/sharedStrings.xml><?xml version="1.0" encoding="utf-8"?>
<sst xmlns="http://schemas.openxmlformats.org/spreadsheetml/2006/main" count="330" uniqueCount="222">
  <si>
    <t>Formato de Matriz de Indicadores de Resultados</t>
  </si>
  <si>
    <t>Ejercicio Fiscal 2023</t>
  </si>
  <si>
    <t>Programas Presupuestarios</t>
  </si>
  <si>
    <t>MUNICIPIO</t>
  </si>
  <si>
    <t>GUADALAJARA</t>
  </si>
  <si>
    <t>DENOMINACIÓN DEL PROGRAMA</t>
  </si>
  <si>
    <t>1. Inclusión, Discapacidad, Adultos Mayores y Grupos Vulnerables</t>
  </si>
  <si>
    <t></t>
  </si>
  <si>
    <t>CATEGORÍA PROGRAMÁTICA</t>
  </si>
  <si>
    <t>E. Prestación de Servicios Públicos.</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</si>
  <si>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</si>
  <si>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</si>
  <si>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</si>
  <si>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</si>
  <si>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</si>
  <si>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</si>
  <si>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</si>
  <si>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</si>
  <si>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</si>
  <si>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</si>
  <si>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</si>
  <si>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</si>
  <si>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</si>
  <si>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</si>
  <si>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</si>
  <si>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</si>
  <si>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</si>
  <si>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2.4 Grupos Prioritarios</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</si>
  <si>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</si>
  <si>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</si>
  <si>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</si>
  <si>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</si>
  <si>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</si>
  <si>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</si>
  <si>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E2.3 Inclusión de personas con discapacidad y grupos vulnerables.</t>
  </si>
  <si>
    <t>LINEA DE ACCIÓN</t>
  </si>
  <si>
    <t>Apoyo a personas cuidadoras con discapacidad y/o cuidadores primarios de los mismos</t>
  </si>
  <si>
    <t xml:space="preserve">EJES ESTRATÉGICOS DEL SISTEMA DIF GUADALAJARA </t>
  </si>
  <si>
    <t xml:space="preserve">Guadalajara Sin Barreras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</si>
  <si>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</si>
  <si>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</si>
  <si>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</si>
  <si>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</si>
  <si>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</si>
  <si>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</si>
  <si>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</si>
  <si>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</si>
  <si>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</si>
  <si>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</si>
  <si>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</si>
  <si>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</si>
  <si>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</si>
  <si>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</si>
  <si>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</si>
  <si>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</si>
  <si>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</si>
  <si>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FIN</t>
  </si>
  <si>
    <t>Las personas adultas mayores, personas con discapacidad o con alguna condición de vulnerabilidad, reciben atención integral para su desarrollo pleno en el municipio de Guadalajara durante el 2023</t>
  </si>
  <si>
    <t>Porcentaje de personas adultas mayores, con discapacidad y con alguna condición de vulnerabilidad que recibieron atención en los servicios del eje Guadalajara sin Barreras en 2023</t>
  </si>
  <si>
    <t>Mide el porcentaje de personas adultos mayores, con discapacidad y con alguna condición de vulnerabilidad que recibieron atención en los servicios del eje Guadalajara Sin Barreras respecto de la meta planteada para el 2023</t>
  </si>
  <si>
    <t>Eficacia</t>
  </si>
  <si>
    <t xml:space="preserve">Estratégico </t>
  </si>
  <si>
    <t>Número de personas atendidas en los programas de CEAMIVIDA,, DIPAM, CAIPED y CADI / Número de personas programadas por atender en CEAMIVIDA, DIPAM, CAIPED y CADI*100</t>
  </si>
  <si>
    <t>Número de personas atendidas en los programas de CEAMIVIDA, DIPAM, CAIPED y CADI</t>
  </si>
  <si>
    <t>Número de personas programadas por atender en CEAMIVIDA, DIPAM, CAIPED y CADI</t>
  </si>
  <si>
    <t xml:space="preserve">Anual </t>
  </si>
  <si>
    <t>Porcentaje</t>
  </si>
  <si>
    <t>No disponible</t>
  </si>
  <si>
    <t>ANUAL</t>
  </si>
  <si>
    <t>V1: Padrón de beneficiarios y reportes de avances mensuales de de los programas del eje de Guadalajara sin Barreras del Sistema DIF Guadalajara / V2: Planes de trabajo de los programas del eje de Guadalajara sin Barreras del Sistema DIF Guadalajara</t>
  </si>
  <si>
    <t xml:space="preserve">Las usuarias y usuarios de los programas del eje de Guadalajara sin barreras del Sistema DIF Guadalajara logran mejoras en su bienestar físico y condiciones de inserción social </t>
  </si>
  <si>
    <t>PROPÓSITO</t>
  </si>
  <si>
    <t>Se contribuye a desarrollar el bienestar físico,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durante el 2023</t>
  </si>
  <si>
    <t>Porcentaje de cobertura de servicios de bienestar físico e inclusión para personas adultas mayores o que viven con alguna discapacidad en el municipio de Guadalajara en 2023</t>
  </si>
  <si>
    <t>Mide el porcentaje de cobertura de servicios de bienestar físico e inclusión para personas adultas mayores o que viven con alguna discapacidad en el municipio de Guadalajara respecto de la meta planteada para el 2023</t>
  </si>
  <si>
    <t>Número de servicios brindados en el eje de Guadalajara Sin Barreras/ número de servicios meta del eje Sin Barreras 2022*100</t>
  </si>
  <si>
    <t>Número de servicios brindados en el eje de Guadalajara Sin Barreras</t>
  </si>
  <si>
    <t xml:space="preserve"> número de servicios meta del eje Sin Barreras 2022</t>
  </si>
  <si>
    <t>V1: Padrón de beneficiarios y registro de avances de los programas del eje de Guadalajara sin Barreras del Sistema DIF Guadalajara /V2: Planes de trabajo de los programas del eje de Guadalajara sin Barreras del Sistema DIF Guadalajara</t>
  </si>
  <si>
    <t>La comunidad de Guadalajara pone los medios necesarios para que las personas adultas mayores o con discapacidad asistan a los centros.</t>
  </si>
  <si>
    <t>08. Discapacitados</t>
  </si>
  <si>
    <t>COMPONENTE 1</t>
  </si>
  <si>
    <t>C1. Servicios de atención integral a personas con discapacidad intelectual y sus familias brindados en CEAMIVIDA</t>
  </si>
  <si>
    <t>Promedio de personas atendidas y sus familias en talleres recreativos, formativos, deportivos, consultas médicas y psicológicas impartidas en el programa de CEAMIVIDA en 2023</t>
  </si>
  <si>
    <t>Mide el promedio de personas atendidas y sus familias en talleres recreativos, formativos, deportivos, consultas médicas y psicológicas impartidas en el programa de CEAMIVIDA en 2023</t>
  </si>
  <si>
    <t>(Número de personas atendidas en talleres recreativos, formativos, deportivos, consultas médicas y psicológicas impartidas en el programa de CEAMIVIDA durante el 2023)/12</t>
  </si>
  <si>
    <t>Número de personas atendidas en talleres recreativos, formativos, deportivos, consultas médicas y psicológicas impartidas en el programa de CEAMIVIDA durante el 2023</t>
  </si>
  <si>
    <t>Trimestral</t>
  </si>
  <si>
    <t>Promedio</t>
  </si>
  <si>
    <t>Expediente, listas de asistencia</t>
  </si>
  <si>
    <t>Los beneficiarios de CEAMIVIDA cuentan con el mínimo estado de salud para poder asistir al CEAMIVIDA.</t>
  </si>
  <si>
    <t>ACTIVIDAD 1.1</t>
  </si>
  <si>
    <t>A1C1. Atención psicológica o médica para personas con discapacidad intelectual  y sus familias brindadas en CEAMIVIDA</t>
  </si>
  <si>
    <t>Porcentaje de consultas psicológicas o médicas para personas con discapacidad intelectual brindadas en CEAMIVIDA en 2023</t>
  </si>
  <si>
    <t>Mide el porcentaje de consultas psicológicas o médicas para personas con discapacidad intelectual brindadas en CEAMIVIDA en 2023</t>
  </si>
  <si>
    <t>Gestión</t>
  </si>
  <si>
    <t>((Número de consultas psicológicas o médicas para personas con discapacidad intelectual  y sus familias brindadas  en CEAMIVIDA durante el 2023 )/( Número de consultas psicológicas o médicas para personas con discapacidad intelectual  y sus familias programadas en CEAMIVIDA para el 2023))*100</t>
  </si>
  <si>
    <t xml:space="preserve">Número de consultas psicológicas o médicas para personas con discapacidad intelectual  y sus familias brindadas  en CEAMIVIDA durante el 2023 </t>
  </si>
  <si>
    <t>Número de consultas psicológicas o médicas para personas con discapacidad intelectual  y sus familias programadas en CEAMIVIDA para el 2023</t>
  </si>
  <si>
    <t>Mensual</t>
  </si>
  <si>
    <t>20,5%</t>
  </si>
  <si>
    <t>Bitácora</t>
  </si>
  <si>
    <t xml:space="preserve">La población de personas con discapacidad intelectual y sus familias reconocen la importancia de la atención psicológica y médica brindada por el DIF a través de CEAMIVIDA para mejorar su calidad de vida y está dispuesta a participar activamente en el programa. </t>
  </si>
  <si>
    <t>ACTIVIDAD 1.2</t>
  </si>
  <si>
    <t>A2C1. Talleres especializados para personas con discapacidad  y sus familias intelectual brindados en CEAMIVIDA</t>
  </si>
  <si>
    <t>Porcentaje de sesiones de talleres recreativos, formativos y deportivos para personas con discapacidad intelectual implementados en CEAMIVIDA en 2023</t>
  </si>
  <si>
    <t>Mide el porcentaje de sesiones de talleres recreativos, formativos y deportivos para personas con discapacidad intelectual implementados en CEAMIVIDA en 2023</t>
  </si>
  <si>
    <t>((Número de sesiones de talleres recreativos, formativos y deportivos para personas con discapacidad intelectual  y sus familias implementados en CEAMIVIDA  durante el 2023)/ (Número de sesiones de talleres recreativos, formativos y deportivos para personas con discapacidad intelectual  y sus familias programados en CEAMIVIDA para el 2023))*100</t>
  </si>
  <si>
    <t>Número de sesiones de talleres recreativos, formativos y deportivos para personas con discapacidad intelectual  y sus familias implementados en CEAMIVIDA  durante el 2023</t>
  </si>
  <si>
    <t>Número de sesiones de talleres recreativos, formativos y deportivos para personas con discapacidad intelectual  y sus familias programados en CEAMIVIDA para el 2023</t>
  </si>
  <si>
    <t>32,6%</t>
  </si>
  <si>
    <t>Listas de asistencia</t>
  </si>
  <si>
    <t>Las personas con discapacidad intelectual y sus familias en la ciudad de Guadalajara tienen acceso y conocimiento de los servicios y programas que ofrece el DIF, y tienen la disponibilidad y disposición de asistir a los talleres especializados brindados en CEAMIVIDA.</t>
  </si>
  <si>
    <t>COMPONENTE 2</t>
  </si>
  <si>
    <t>C2. Servicios de atención integral a personas con discapacidad intelectual y Trastorno del Espectro Autismo brindados en CADI</t>
  </si>
  <si>
    <t>Promedio de personas atendidas en terapia especializada y que reciben terapias complementarias en CADI en el 2023</t>
  </si>
  <si>
    <t>Mide el promedio de personas atendidas en terapia especializada durante el transcurso del año 2023</t>
  </si>
  <si>
    <t>(Número de personas atendidas en terapia especializada para DI, TEA, durante el 2023)/ 12</t>
  </si>
  <si>
    <t>Número de personas atendidas en terapia especializada para DI, TEA, durante el 2023</t>
  </si>
  <si>
    <t>Los pacientes cuentan con los mínimos requisitos de salud para poder asistir a terapias a CADI,</t>
  </si>
  <si>
    <t>ACTIVIDAD 2.1</t>
  </si>
  <si>
    <t>A1C2. Sesiones especializadas y complementarias para personas con discapacidad intelectual o trastorno del espectro autista en CADI</t>
  </si>
  <si>
    <t>Porcentaje de sesiones de terapia especializada y complementarias para personas con discapacidad intelectual o trastorno del espectro autista, brindadas en el CADI en 2023</t>
  </si>
  <si>
    <t>Mide el porcentaje logrado de sesiones de terapia especializada y complementaria para personas con DI o TEA planteadas como meta anual del 2023</t>
  </si>
  <si>
    <t>Número de sesiones de terapia especializada individual para discapacidad intelectual o trastorno del espectro autista, lenguaje y estimulación cognitiva durante el 2023/ Número de sesiones de terapia especializada individual y discapacidad intelectual o trastorno del espectro autista, lenguaje y estimulación cognitiva programadas para el 2023*100</t>
  </si>
  <si>
    <t>Número de sesiones de terapia especializada individual para discapacidad intelectual o trastorno del espectro autista, lenguaje y estimulación cognitiva durante el 2023</t>
  </si>
  <si>
    <t>Número de sesiones de terapia especializada individual y discapacidad intelectual o trastorno del espectro autista, lenguaje y estimulación cognitiva programadas para el 2023</t>
  </si>
  <si>
    <t>29,5%</t>
  </si>
  <si>
    <t>Expedientes</t>
  </si>
  <si>
    <t xml:space="preserve">Cuidadores de las personas con TEA y de DI acuden a las instalaciones con los pacientes del centro. </t>
  </si>
  <si>
    <t>COMPONENTE 3</t>
  </si>
  <si>
    <t>Número de apoyos, servicios y actividades de promoción dirigidas a la inclusión y garantía de derechos de personas con discapacidad realizadas en 2023</t>
  </si>
  <si>
    <t>Porcentaje de apoyos, servicios y actividades realizadas y dirigidas a personas con discapacidad, en 2023</t>
  </si>
  <si>
    <t>Mide el porcentaje de apoyos, servicios y actividades realizadas y dirigidas a personas con discapacidad en 2023</t>
  </si>
  <si>
    <t>(Número de apoyos, servicios y actividades realizados en 2023 /Número de apoyos, servicios y actividades programados para el 2023)*100</t>
  </si>
  <si>
    <t>Número de apoyos, servicios y actividades realizados en 2023</t>
  </si>
  <si>
    <t>Número de apoyos, servicios y actividades programados para el 2023</t>
  </si>
  <si>
    <t>40,2%</t>
  </si>
  <si>
    <t>Listas de asistencia, padrón de beneficiarios</t>
  </si>
  <si>
    <t>Los cuidadores de las personas con discapacidad tienen acceso a la información sobre los servicios y actividades de promoción a través de canales de comunicación accesibles y adecuados a sus necesidades</t>
  </si>
  <si>
    <t>ACTIVIDAD 3.1</t>
  </si>
  <si>
    <t>Otorgar medicamentos a personas adultas con discapacidad intelectual institucionalizadas para la garantía de sus derechos durante el 2023.</t>
  </si>
  <si>
    <t>Promedio de personas adultas con discapacidad intelectual institucionalizadas que reciben de manera oportuna medicamentos para la garantía de sus derechos durante el 2023</t>
  </si>
  <si>
    <t>Mide el Promedio de personas adultas con discapacidad intelectual institucionalizadas que reciben de manera oportuna medicamentos para la garantía de sus derechos durante el 2023</t>
  </si>
  <si>
    <t>(Número de personas con discapacidad institucionalizados que reciben medicamentos durante el 2023/ 12)</t>
  </si>
  <si>
    <t>Número de personas con discapacidad institucionalizados que reciben medicamentos durante el 2023</t>
  </si>
  <si>
    <t>Existen y están disponibilidad los medicamentos necesarios, en el mercado farmacéutico local y/o internacional,</t>
  </si>
  <si>
    <t>ACTIVIDAD 3.2</t>
  </si>
  <si>
    <t>Otorgar apoyo de vivienda temporal a personas con discapacidad intelectual o mental institucionalizados para la garantía de sus derechos durante el 2023.</t>
  </si>
  <si>
    <t>Porcentaje de personas con discapacidad intelectual o mental institucionalizados que recibieron apoyo de vivienda temporal para la garantía de sus derechos en 2023</t>
  </si>
  <si>
    <t>Mide el Porcentaje de personas con discapacidad intelectual o mental institucionalizados que recibieron apoyo de vivienda temporal para la garantía de sus derechos en 2023</t>
  </si>
  <si>
    <t>(Número de personas institucionalizados con discapacidad intelectual o mental que recibieron apoyo de vivienda temporal durante el 2023/ Número de personas  institucionalizados con discapacidad intelectual o mental programadas para el 2023)*100</t>
  </si>
  <si>
    <t>Número de personas institucionalizados con discapacidad intelectual o mental que recibieron apoyo de vivienda temporal durante el 2023</t>
  </si>
  <si>
    <t>Número de personas  institucionalizados con discapacidad intelectual o mental programadas para el 2023</t>
  </si>
  <si>
    <t>106,7%</t>
  </si>
  <si>
    <t>Padrón de beneficiarios</t>
  </si>
  <si>
    <t>Exist eun balance entre el espacio disponible y la demanda a cubrir.</t>
  </si>
  <si>
    <t>ACTIVIDAD 3.3</t>
  </si>
  <si>
    <t>Impartición de talleres de sensibilización a instituciones y centros laborales del sector público y privado, instituciones escolares y público en general de promoción de la cultura de inclusión durante el 2023.</t>
  </si>
  <si>
    <t>Porcentaje de talleres brindados durante el 2023</t>
  </si>
  <si>
    <t>Mide el Porcentaje de talleres brindados durante el 2023</t>
  </si>
  <si>
    <t>(Número de talleres impartidos durante el 2023/Número de talleres establecidos como meta para el 2023)*100</t>
  </si>
  <si>
    <t>Número de talleres impartidos durante el 2023</t>
  </si>
  <si>
    <t>Número de talleres establecidos como meta para el 2023</t>
  </si>
  <si>
    <t>32%</t>
  </si>
  <si>
    <t>Listas de asistencia y evidencia fotográfica</t>
  </si>
  <si>
    <t>Existe una disposición por parte de las instituciones y centros laborales del sector público y privado, instituciones escolares y público en general para participar en los talleres de sensibilización y promoción de la cultura de inclusión.</t>
  </si>
  <si>
    <t>02. Tercera edad</t>
  </si>
  <si>
    <t>COMPONENTE 4</t>
  </si>
  <si>
    <t>Asistencias de personas adultas mayores a capacitaciones y talleres de envejecimiento activo en 2023</t>
  </si>
  <si>
    <t>Promedio de asistencias de personas adultas mayores a capacitación y taller de envejecimiento activo, durante el 2023</t>
  </si>
  <si>
    <t>Mide el promedio de asistencias de personas adultas mayores a capacitación y taller de envejecimiento activo durante el 2023</t>
  </si>
  <si>
    <t>Número de asistencias a una capacitación o taller durante el 2023/12</t>
  </si>
  <si>
    <t>Número de asistencias a una capacitación o taller durante el 2023</t>
  </si>
  <si>
    <t>Lista de asistencia</t>
  </si>
  <si>
    <t>Las personas adultas mayores tienen acceso y disponibilidad para asistir a las capacitaciones y talleres ofrecidos por el DIF, tales como transporte y cuidados necesarios para asistir a dichas actividades</t>
  </si>
  <si>
    <t>ACTIVIDAD 4.1</t>
  </si>
  <si>
    <t>Encuentros intergeneracionales realizados en el Programa DIPAM en 2023</t>
  </si>
  <si>
    <t>Porcentaje de encuentros intergeneracionales llevados a cabo en 2023</t>
  </si>
  <si>
    <t>Mide el porcentaje de encuentros intergeneracionales llevados a cabo en 2023</t>
  </si>
  <si>
    <t>(Número de encuentros intergeneracionales llevados a cabo en 2023/ número de encuentros intergeneracionales programados para el 2023)*100</t>
  </si>
  <si>
    <t>Número de encuentros intergeneracionales llevados a cabo en 2023</t>
  </si>
  <si>
    <t>Número de encuentros intergeneracionales programados para el 2023</t>
  </si>
  <si>
    <t>22,7%</t>
  </si>
  <si>
    <t>Existe una participación activa y dispuesta por parte de los adultos mayores para asistir a los encuentros intergeneracionales, y cuentan con los recursos materiales y humanos necesarios para llevar a cabo los mismos.</t>
  </si>
  <si>
    <t>ACTIVIDAD 4.2</t>
  </si>
  <si>
    <t>Raciones alimenticias entregadas en el comedor de DIPAM en 2023</t>
  </si>
  <si>
    <t>Porcentaje de cumplimiento en la entrega de raciones alimenticias entregadas en el comedor de DIPAM en 2023</t>
  </si>
  <si>
    <t>Mide el porcentaje de cumplimiento en la entrega de raciones alimenticias en el comedor de DIPAM, durante el 2023</t>
  </si>
  <si>
    <t>(Número de raciones alimentarias entregadas en DIPAM en 2023/ número de raciones alimentarias programadas como meta para el 2023)*100</t>
  </si>
  <si>
    <t>Número de raciones alimentarias entregadas en DIPAM en 2023</t>
  </si>
  <si>
    <t>Número de raciones alimentarias programadas como meta para el 2023</t>
  </si>
  <si>
    <t>24,3%</t>
  </si>
  <si>
    <t xml:space="preserve"> La oferta de alimentos en el mercado local es suficiente y nutritiva para cubrir la demanda de alimentos del programa de asistencia social.</t>
  </si>
  <si>
    <t>COMPONENTE 5</t>
  </si>
  <si>
    <t>C5.  Servicios de terapia física, atención psicológica y consulta médica de rehabilitación y de traumatología y ortopedia brindados en el CAIPED en 2023</t>
  </si>
  <si>
    <t>Porcentaje de personas con discapacidad temporal o permanente y población en general atendidos en servicios de terapia física y de lenguaje, consulta médica en rehabilitación, consulta de podología, consulta en traumatología/ortopedia, y psicología en 2023</t>
  </si>
  <si>
    <t>Mide el porcentaje de servicios brindados a las personas con discapacidad temporal o permanente y población en general atendidos en servicios de terapia física y de lenguaje, consulta médica en rehabilitación, consulta de podología, consulta en traumatología/ortopedia, y psicología en 2023</t>
  </si>
  <si>
    <t>(Número de personas atendidas en el Centro CAIPED durante el 2023/ número de personas programadas para el 2023)*100</t>
  </si>
  <si>
    <t>Número de personas atendidas en el Centro CAIPED, durante 2023</t>
  </si>
  <si>
    <t>Número de personas programadas para el 2023</t>
  </si>
  <si>
    <t>26,9%</t>
  </si>
  <si>
    <t>Padrón de beneficiarios o listas de asistencia</t>
  </si>
  <si>
    <t>La población objetivo cuenta con acceso y disponibilidad para asistir a las instalaciones del CAIPED y recibir los servicios de terapia física, atención psicológica y consulta médica de rehabilitación y de traumatología y ortopedia.</t>
  </si>
  <si>
    <t>ACTIVIDAD 5.1</t>
  </si>
  <si>
    <t>Sesiones de terapia física brindadas en el Centro CAIPED en 2023</t>
  </si>
  <si>
    <t>Porcentaje de sesiones de terapia física a personas con discapacidad permanente o temporal y población en general en 2023</t>
  </si>
  <si>
    <t>Mide el porcentaje de sesiones de terapia física a personas con discapacidad permanente o temporal y población en general en 2023</t>
  </si>
  <si>
    <t>(Número de sesiones de terapia física brindadas en el centro CAIPED en 2023/ número de sesiones programadas para el  2023)*100</t>
  </si>
  <si>
    <t>Número de sesiones de terapia física brindadas en el centro CAIPED, dadas durante 2023</t>
  </si>
  <si>
    <t>Número de sesiones programadas para el 2023</t>
  </si>
  <si>
    <t>25,9%</t>
  </si>
  <si>
    <t>Los pacientes que requieren servicios de terapia física en el CAIPED tienen acceso y disponibilidad para asistir regularmente a las sesiones programadas.</t>
  </si>
  <si>
    <t>ACTIVIDAD 5.2</t>
  </si>
  <si>
    <t>Sesiones de consulta médica brindadas en el Centro CAIPED en 2023</t>
  </si>
  <si>
    <t>Porcentaje de sesiones de consulta médica en rehabilitación y traumatología/ortopedia a personas con discapacidad permanente o temporal y población en general en 2023</t>
  </si>
  <si>
    <t>Mide el porcentaje de sesiones de consulta médica en rehabilitación y traumatología/ortopedia a personas con discapacidad permanente o temporal y población en general en 2023</t>
  </si>
  <si>
    <t>(Número de sesiones de consulta médica en rehabilitación y traumatología-ortopedia brindadas en el centro CAIPED, en el 2023/ número de sesiones programadas para el 2023)*100</t>
  </si>
  <si>
    <t xml:space="preserve">Número de sesiones de consulta médica en rehabilitación y traumatología, dadas durante 2023
</t>
  </si>
  <si>
    <t>49,6%</t>
  </si>
  <si>
    <t>La población objetivo cuenta con acceso a los servicios de salud y transporte público para acudir al centro CAIPED</t>
  </si>
  <si>
    <t>META ALCANZADA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</si>
</sst>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23">
    <font>
      <sz val="11"/>
      <color theme="1"/>
      <name val="Calibri"/>
      <scheme val="minor"/>
    </font>
    <font>
      <sz val="11"/>
      <color rgb="FF000000"/>
      <name val="Calibri"/>
      <family val="2"/>
    </font>
    <font>
      <sz val="11"/>
      <color theme="1"/>
      <name val="Calibri"/>
      <family val="2"/>
    </font>
    <font>
      <sz val="12"/>
      <color theme="1"/>
      <name val="Calibri"/>
      <family val="2"/>
    </font>
    <font>
      <b/>
      <sz val="12"/>
      <color theme="1"/>
      <name val="Calibri"/>
      <family val="2"/>
    </font>
    <font>
      <sz val="11"/>
      <name val="Calibri"/>
      <family val="2"/>
    </font>
    <font>
      <sz val="12"/>
      <color rgb="FF000000"/>
      <name val="Arial"/>
      <family val="2"/>
    </font>
    <font>
      <sz val="12"/>
      <color theme="1"/>
      <name val="Arial"/>
      <family val="2"/>
    </font>
    <font>
      <b/>
      <sz val="12"/>
      <color theme="1"/>
      <name val="Arial"/>
      <family val="2"/>
    </font>
    <font>
      <sz val="12"/>
      <color theme="1"/>
      <name val="Noto Sans Symbols"/>
    </font>
    <font>
      <sz val="11"/>
      <color rgb="FF000000"/>
      <name val="Calibri"/>
      <family val="2"/>
      <scheme val="minor"/>
    </font>
    <font>
      <b/>
      <sz val="10"/>
      <color rgb="FF000000"/>
      <name val="Arial"/>
      <family val="2"/>
    </font>
    <font>
      <b/>
      <sz val="10"/>
      <color theme="1"/>
      <name val="Arial"/>
      <family val="2"/>
    </font>
    <font>
      <b/>
      <sz val="11"/>
      <color rgb="FF000000"/>
      <name val="Arial"/>
      <family val="2"/>
    </font>
    <font>
      <b/>
      <sz val="11"/>
      <color theme="1"/>
      <name val="Arial"/>
      <family val="2"/>
    </font>
    <font>
      <sz val="12"/>
      <color theme="1"/>
      <name val="&quot;Noto Sans Symbols&quot;"/>
    </font>
    <font>
      <b/>
      <sz val="12"/>
      <color rgb="FF000000"/>
      <name val="Arial"/>
      <family val="2"/>
    </font>
    <font>
      <sz val="11"/>
      <color theme="1"/>
      <name val="Arial"/>
      <family val="2"/>
    </font>
    <font>
      <sz val="11"/>
      <color theme="1"/>
      <name val="Calibri"/>
      <family val="2"/>
      <scheme val="minor"/>
    </font>
    <font>
      <sz val="12"/>
      <color rgb="FF000000"/>
      <name val="Noto Sans Symbols"/>
    </font>
    <font>
      <sz val="11"/>
      <color rgb="FF000000"/>
      <name val="Roboto"/>
    </font>
    <font>
      <sz val="11"/>
      <color theme="1"/>
      <name val="Arial"/>
      <family val="2"/>
    </font>
    <font>
      <sz val="11"/>
      <color rgb="FF000000"/>
      <name val="Arial"/>
      <family val="2"/>
    </font>
  </fonts>
  <fills count="7">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s>
  <borders count="1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3">
    <xf numFmtId="0" fontId="0" fillId="0" borderId="0" xfId="0" applyFont="1" applyAlignment="1"/>
    <xf numFmtId="0" fontId="1" fillId="2" borderId="0" xfId="0" applyFont="1" applyFill="1"/>
    <xf numFmtId="0" fontId="2" fillId="2" borderId="1" xfId="0" applyFont="1" applyFill="1" applyBorder="1"/>
    <xf numFmtId="0" fontId="3" fillId="2" borderId="1" xfId="0" applyFont="1" applyFill="1" applyBorder="1"/>
    <xf numFmtId="4" fontId="2" fillId="2" borderId="1" xfId="0" applyNumberFormat="1" applyFont="1" applyFill="1" applyBorder="1"/>
    <xf numFmtId="0" fontId="4" fillId="2" borderId="1" xfId="0" applyFont="1" applyFill="1" applyBorder="1"/>
    <xf numFmtId="0" fontId="6" fillId="2" borderId="0" xfId="0" applyFont="1" applyFill="1"/>
    <xf numFmtId="0" fontId="7" fillId="2" borderId="1" xfId="0" applyFont="1" applyFill="1" applyBorder="1"/>
    <xf numFmtId="4" fontId="7" fillId="2" borderId="1" xfId="0" applyNumberFormat="1" applyFont="1" applyFill="1" applyBorder="1"/>
    <xf numFmtId="0" fontId="8" fillId="3"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left" vertical="center"/>
    </xf>
    <xf numFmtId="0" fontId="6" fillId="0" borderId="0" xfId="0" applyFont="1"/>
    <xf numFmtId="0" fontId="7" fillId="0" borderId="0" xfId="0" applyFont="1"/>
    <xf numFmtId="0" fontId="6" fillId="4" borderId="0" xfId="0" applyFont="1" applyFill="1"/>
    <xf numFmtId="0" fontId="7" fillId="4" borderId="1" xfId="0" applyFont="1" applyFill="1" applyBorder="1"/>
    <xf numFmtId="0" fontId="10" fillId="0" borderId="0" xfId="0" applyFont="1"/>
    <xf numFmtId="0" fontId="11" fillId="5" borderId="0" xfId="0" applyFont="1" applyFill="1" applyAlignment="1">
      <alignment horizontal="center" vertical="center" textRotation="90" wrapText="1"/>
    </xf>
    <xf numFmtId="0" fontId="13" fillId="5" borderId="0" xfId="0" applyFont="1" applyFill="1" applyAlignment="1">
      <alignment horizontal="center" vertical="center" textRotation="90" wrapText="1"/>
    </xf>
    <xf numFmtId="0" fontId="9" fillId="2" borderId="10" xfId="0" applyFont="1" applyFill="1" applyBorder="1" applyAlignment="1">
      <alignment horizontal="left" vertical="center"/>
    </xf>
    <xf numFmtId="4" fontId="7" fillId="6" borderId="12" xfId="0" applyNumberFormat="1" applyFont="1" applyFill="1" applyBorder="1" applyAlignment="1"/>
    <xf numFmtId="4" fontId="2" fillId="6" borderId="13" xfId="0" applyNumberFormat="1" applyFont="1" applyFill="1" applyBorder="1" applyAlignment="1"/>
    <xf numFmtId="4" fontId="2" fillId="6" borderId="14" xfId="0" applyNumberFormat="1" applyFont="1" applyFill="1" applyBorder="1" applyAlignment="1"/>
    <xf numFmtId="0" fontId="7" fillId="2" borderId="10" xfId="0" applyFont="1" applyFill="1" applyBorder="1"/>
    <xf numFmtId="4" fontId="7" fillId="2" borderId="1" xfId="0" applyNumberFormat="1" applyFont="1" applyFill="1" applyBorder="1" applyAlignment="1">
      <alignment horizontal="center"/>
    </xf>
    <xf numFmtId="0" fontId="8" fillId="5" borderId="4" xfId="0" applyFont="1" applyFill="1" applyBorder="1" applyAlignment="1">
      <alignment horizontal="center" vertical="center" wrapText="1"/>
    </xf>
    <xf numFmtId="0" fontId="7" fillId="2" borderId="1" xfId="0" applyFont="1" applyFill="1" applyBorder="1" applyAlignment="1"/>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16" fillId="5" borderId="0" xfId="0" applyFont="1" applyFill="1" applyAlignment="1">
      <alignment horizontal="center" wrapText="1"/>
    </xf>
    <xf numFmtId="0" fontId="8" fillId="5" borderId="4" xfId="0" applyFont="1" applyFill="1" applyBorder="1" applyAlignment="1">
      <alignment horizontal="center" wrapText="1"/>
    </xf>
    <xf numFmtId="0" fontId="8" fillId="5" borderId="16" xfId="0" applyFont="1" applyFill="1" applyBorder="1" applyAlignment="1">
      <alignment horizontal="center" vertical="center" wrapText="1"/>
    </xf>
    <xf numFmtId="4" fontId="8" fillId="5" borderId="4"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wrapText="1"/>
    </xf>
    <xf numFmtId="4" fontId="17"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4" fontId="17" fillId="0" borderId="4" xfId="0" applyNumberFormat="1" applyFont="1" applyBorder="1" applyAlignment="1">
      <alignment horizontal="center" vertical="center" wrapText="1"/>
    </xf>
    <xf numFmtId="0" fontId="19" fillId="2" borderId="0" xfId="0" applyFont="1" applyFill="1" applyAlignment="1">
      <alignment horizontal="left"/>
    </xf>
    <xf numFmtId="0" fontId="9" fillId="2" borderId="1" xfId="0" applyFont="1" applyFill="1" applyBorder="1" applyAlignment="1">
      <alignment horizontal="left"/>
    </xf>
    <xf numFmtId="0" fontId="18" fillId="0" borderId="0" xfId="0" applyFont="1" applyAlignment="1">
      <alignment horizontal="center" vertical="center"/>
    </xf>
    <xf numFmtId="0" fontId="20" fillId="0" borderId="4" xfId="0" applyFont="1" applyBorder="1" applyAlignment="1">
      <alignment wrapText="1"/>
    </xf>
    <xf numFmtId="0" fontId="1" fillId="0" borderId="0" xfId="0" applyFont="1" applyAlignment="1"/>
    <xf numFmtId="0" fontId="7" fillId="5" borderId="4" xfId="0" applyFont="1" applyFill="1" applyBorder="1" applyAlignment="1"/>
    <xf numFmtId="0" fontId="17" fillId="6" borderId="4"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2" fillId="6" borderId="4" xfId="0" applyFont="1" applyFill="1" applyBorder="1" applyAlignment="1"/>
    <xf numFmtId="0" fontId="8" fillId="3" borderId="4" xfId="0" applyFont="1" applyFill="1" applyBorder="1" applyAlignment="1">
      <alignment horizontal="center" vertical="center" wrapText="1"/>
    </xf>
    <xf numFmtId="0" fontId="17" fillId="6" borderId="17" xfId="0" applyFont="1" applyFill="1" applyBorder="1" applyAlignment="1">
      <alignment horizontal="center" vertical="center" wrapText="1"/>
    </xf>
    <xf numFmtId="4" fontId="17" fillId="0" borderId="4" xfId="0" applyNumberFormat="1" applyFont="1" applyBorder="1" applyAlignment="1">
      <alignment horizontal="center" vertical="center"/>
    </xf>
    <xf numFmtId="0" fontId="1" fillId="0" borderId="0" xfId="0" applyFont="1"/>
    <xf numFmtId="0" fontId="7" fillId="2" borderId="0" xfId="0" applyFont="1" applyFill="1" applyAlignment="1">
      <alignment horizontal="left"/>
    </xf>
    <xf numFmtId="0" fontId="7" fillId="5" borderId="4" xfId="0" applyFont="1" applyFill="1" applyBorder="1" applyAlignment="1">
      <alignment horizontal="left"/>
    </xf>
    <xf numFmtId="0" fontId="17" fillId="0" borderId="17" xfId="0" applyFont="1" applyBorder="1" applyAlignment="1">
      <alignment horizontal="center" vertical="center" wrapText="1"/>
    </xf>
    <xf numFmtId="3" fontId="17" fillId="0" borderId="4" xfId="0" applyNumberFormat="1" applyFont="1" applyBorder="1" applyAlignment="1">
      <alignment horizontal="center" vertical="center" wrapText="1"/>
    </xf>
    <xf numFmtId="0" fontId="1" fillId="0" borderId="0" xfId="0" applyFont="1" applyAlignment="1"/>
    <xf numFmtId="0" fontId="7" fillId="2" borderId="1" xfId="0" applyFont="1" applyFill="1" applyBorder="1" applyAlignment="1">
      <alignment horizontal="left" vertical="center" wrapText="1"/>
    </xf>
    <xf numFmtId="0" fontId="21" fillId="6"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0" fillId="6" borderId="4" xfId="0" applyFont="1" applyFill="1" applyBorder="1" applyAlignment="1">
      <alignment horizontal="center" vertical="center" wrapText="1"/>
    </xf>
    <xf numFmtId="4"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4" fontId="2" fillId="0" borderId="7" xfId="0" applyNumberFormat="1" applyFont="1" applyBorder="1" applyAlignment="1">
      <alignment horizontal="center" vertical="center"/>
    </xf>
    <xf numFmtId="0" fontId="7" fillId="2" borderId="1" xfId="0" applyFont="1" applyFill="1" applyBorder="1" applyAlignment="1">
      <alignment horizontal="left"/>
    </xf>
    <xf numFmtId="0" fontId="8" fillId="3" borderId="0" xfId="0" applyFont="1" applyFill="1" applyAlignment="1">
      <alignment horizontal="center" vertical="center" wrapText="1"/>
    </xf>
    <xf numFmtId="0" fontId="20" fillId="6" borderId="0" xfId="0" applyFont="1" applyFill="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wrapText="1"/>
    </xf>
    <xf numFmtId="3" fontId="20" fillId="6" borderId="0" xfId="0" applyNumberFormat="1" applyFont="1" applyFill="1" applyAlignment="1">
      <alignment horizontal="center" vertical="center" wrapText="1"/>
    </xf>
    <xf numFmtId="4" fontId="17" fillId="0" borderId="0" xfId="0" applyNumberFormat="1" applyFont="1" applyAlignment="1">
      <alignment horizontal="center" vertical="center" wrapText="1"/>
    </xf>
    <xf numFmtId="0" fontId="3" fillId="0" borderId="0" xfId="0" applyFont="1"/>
    <xf numFmtId="0" fontId="2" fillId="0" borderId="0" xfId="0" applyFont="1"/>
    <xf numFmtId="0" fontId="18" fillId="0" borderId="0" xfId="0" applyFont="1" applyAlignment="1">
      <alignment wrapText="1"/>
    </xf>
    <xf numFmtId="0" fontId="18" fillId="0" borderId="0" xfId="0" applyFont="1" applyAlignment="1">
      <alignment wrapText="1"/>
    </xf>
    <xf numFmtId="0" fontId="4" fillId="2" borderId="2" xfId="0" applyFont="1" applyFill="1" applyBorder="1" applyAlignment="1">
      <alignment horizontal="center"/>
    </xf>
    <xf numFmtId="0" fontId="5" fillId="0" borderId="3" xfId="0" applyFont="1" applyBorder="1"/>
    <xf numFmtId="0" fontId="8" fillId="0" borderId="5" xfId="0" applyFont="1" applyBorder="1" applyAlignment="1">
      <alignment vertical="center" wrapText="1"/>
    </xf>
    <xf numFmtId="0" fontId="5" fillId="0" borderId="6" xfId="0" applyFont="1" applyBorder="1"/>
    <xf numFmtId="0" fontId="5" fillId="0" borderId="7" xfId="0" applyFont="1" applyBorder="1"/>
    <xf numFmtId="0" fontId="7" fillId="0" borderId="5" xfId="0" applyFont="1" applyBorder="1" applyAlignment="1">
      <alignment vertical="center" wrapText="1"/>
    </xf>
    <xf numFmtId="0" fontId="12" fillId="5" borderId="8" xfId="0" applyFont="1" applyFill="1" applyBorder="1" applyAlignment="1">
      <alignment horizontal="center" vertical="center" textRotation="90" wrapText="1"/>
    </xf>
    <xf numFmtId="0" fontId="5" fillId="0" borderId="9" xfId="0" applyFont="1" applyBorder="1"/>
    <xf numFmtId="0" fontId="14" fillId="5" borderId="8" xfId="0" applyFont="1" applyFill="1" applyBorder="1" applyAlignment="1">
      <alignment horizontal="center" vertical="center" textRotation="90" wrapText="1"/>
    </xf>
    <xf numFmtId="0" fontId="5" fillId="0" borderId="11" xfId="0" applyFont="1" applyBorder="1"/>
    <xf numFmtId="4" fontId="15" fillId="6" borderId="5" xfId="0" applyNumberFormat="1" applyFont="1" applyFill="1" applyBorder="1" applyAlignment="1"/>
    <xf numFmtId="4" fontId="15" fillId="6" borderId="12" xfId="0" applyNumberFormat="1" applyFont="1" applyFill="1" applyBorder="1" applyAlignment="1"/>
    <xf numFmtId="0" fontId="5" fillId="0" borderId="13" xfId="0" applyFont="1" applyBorder="1"/>
    <xf numFmtId="0" fontId="5" fillId="0" borderId="14" xfId="0" applyFont="1" applyBorder="1"/>
    <xf numFmtId="8" fontId="7" fillId="0" borderId="6" xfId="0" applyNumberFormat="1" applyFont="1" applyBorder="1" applyAlignment="1">
      <alignment horizontal="center" vertical="center"/>
    </xf>
    <xf numFmtId="164" fontId="7" fillId="2" borderId="5" xfId="0" applyNumberFormat="1" applyFont="1" applyFill="1" applyBorder="1" applyAlignment="1">
      <alignment horizont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Porfinporproposito-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tables/table1.xml><?xml version="1.0" encoding="utf-8"?>
<table xmlns="http://schemas.openxmlformats.org/spreadsheetml/2006/main" id="1" name="Table_1" displayName="Table_1" ref="B2:M19">
  <tableColumns count="12">
    <tableColumn id="1" name="RESUMEN NARRATIVO FIN PROPÓSITO"/>
    <tableColumn id="2" name="OBJETIVOS DE RESULTADO Las personas adultas mayores, personas con discapacidad o con alguna condición de vulnerabilidad, reciben atención integral para su desarrollo pleno en el municipio de Guadalajara durante el 2023 Se contribuye a desarrollar el biene"/>
    <tableColumn id="3" name="NOMBRE DEL INDICADOR Porcentaje de personas adultas mayores, con discapacidad y con alguna condición de vulnerabilidad que recibieron atención en los servicios del eje Guadalajara sin Barreras en 2023 Porcentaje de cobertura de servicios de bienestar físi"/>
    <tableColumn id="4" name="MÉTODO DE CÁLCULO Número de personas atendidas en los programas de CEAMIVIDA,, DIPAM, CAIPED y CADI / Número de personas programadas por atender en CEAMIVIDA, DIPAM, CAIPED y CADI*100 Número de servicios brindados en el eje de Guadalajara Sin Barreras/ nú"/>
    <tableColumn id="5" name="DEFINICIÓN Mide el porcentaje de personas adultos mayores, con discapacidad y con alguna condición de vulnerabilidad que recibieron atención en los servicios del eje Guadalajara Sin Barreras respecto de la meta planteada para el 2023 Mide el porcentaje de"/>
    <tableColumn id="6" name="TIPO Estratégico  Estratégico "/>
    <tableColumn id="7" name="DIMENSIÓN Eficacia Eficacia"/>
    <tableColumn id="8" name="UNIDAD DE MEDIDA Porcentaje Porcentaje"/>
    <tableColumn id="9" name="LINEA BASE No disponible No disponible"/>
    <tableColumn id="10" name="META PROGRAMADA 7038 36800"/>
    <tableColumn id="11" name="FUENTES DE INFORMACIÓN Y MEDIOS DE VERIFICACIÓN V1: Padrón de beneficiarios y reportes de avances mensuales de de los programas del eje de Guadalajara sin Barreras del Sistema DIF Guadalajara / V2: Planes de trabajo de los programas del eje de Guadalajara"/>
    <tableColumn id="12" name="SUPUESTOS Las usuarias y usuarios de los programas del eje de Guadalajara sin barreras del Sistema DIF Guadalajara logran mejoras en su bienestar físico y condiciones de inserción social  La comunidad de Guadalajara pone los medios necesarios para que las"/>
  </tableColumns>
  <tableStyleInfo name="Porfinporproposi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1"/>
  <sheetViews>
    <sheetView tabSelected="1" workbookViewId="0">
      <selection activeCell="D54" sqref="D54"/>
    </sheetView>
  </sheetViews>
  <sheetFormatPr baseColWidth="10" defaultColWidth="14.42578125" defaultRowHeight="15" customHeight="1"/>
  <cols>
    <col min="1" max="1" width="3.5703125" customWidth="1"/>
    <col min="2"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3" customWidth="1"/>
    <col min="18" max="18" width="18.85546875" customWidth="1"/>
  </cols>
  <sheetData>
    <row r="1" spans="1:18" ht="15.75">
      <c r="A1" s="1"/>
      <c r="B1" s="2"/>
      <c r="C1" s="2"/>
      <c r="D1" s="3"/>
      <c r="E1" s="3"/>
      <c r="F1" s="3"/>
      <c r="G1" s="3"/>
      <c r="H1" s="3"/>
      <c r="I1" s="2"/>
      <c r="J1" s="4"/>
      <c r="K1" s="4"/>
      <c r="L1" s="2"/>
      <c r="M1" s="2"/>
      <c r="N1" s="4"/>
      <c r="O1" s="4"/>
      <c r="P1" s="4"/>
      <c r="Q1" s="2"/>
      <c r="R1" s="2"/>
    </row>
    <row r="2" spans="1:18" ht="15.75">
      <c r="A2" s="1"/>
      <c r="B2" s="2"/>
      <c r="C2" s="2"/>
      <c r="D2" s="3"/>
      <c r="E2" s="3"/>
      <c r="F2" s="3"/>
      <c r="G2" s="3"/>
      <c r="H2" s="3"/>
      <c r="I2" s="2"/>
      <c r="J2" s="4"/>
      <c r="K2" s="4"/>
      <c r="L2" s="2"/>
      <c r="M2" s="2"/>
      <c r="N2" s="4"/>
      <c r="O2" s="4"/>
      <c r="P2" s="4"/>
      <c r="Q2" s="2"/>
      <c r="R2" s="2"/>
    </row>
    <row r="3" spans="1:18" ht="15.75">
      <c r="A3" s="1"/>
      <c r="B3" s="2"/>
      <c r="C3" s="2"/>
      <c r="D3" s="3"/>
      <c r="E3" s="3"/>
      <c r="F3" s="3"/>
      <c r="G3" s="3"/>
      <c r="H3" s="3"/>
      <c r="I3" s="2"/>
      <c r="J3" s="4"/>
      <c r="K3" s="4"/>
      <c r="L3" s="2"/>
      <c r="M3" s="2"/>
      <c r="N3" s="4"/>
      <c r="O3" s="4"/>
      <c r="P3" s="4"/>
      <c r="Q3" s="2"/>
      <c r="R3" s="2"/>
    </row>
    <row r="4" spans="1:18" ht="15.75">
      <c r="A4" s="1"/>
      <c r="B4" s="2"/>
      <c r="C4" s="2"/>
      <c r="D4" s="77" t="s">
        <v>0</v>
      </c>
      <c r="E4" s="78"/>
      <c r="F4" s="78"/>
      <c r="G4" s="78"/>
      <c r="H4" s="78"/>
      <c r="I4" s="2"/>
      <c r="J4" s="4"/>
      <c r="K4" s="4"/>
      <c r="L4" s="2"/>
      <c r="M4" s="2"/>
      <c r="N4" s="4"/>
      <c r="O4" s="4"/>
      <c r="P4" s="4"/>
      <c r="Q4" s="2"/>
      <c r="R4" s="2"/>
    </row>
    <row r="5" spans="1:18" ht="15.75">
      <c r="A5" s="1"/>
      <c r="B5" s="2"/>
      <c r="C5" s="2"/>
      <c r="D5" s="77" t="s">
        <v>1</v>
      </c>
      <c r="E5" s="78"/>
      <c r="F5" s="78"/>
      <c r="G5" s="78"/>
      <c r="H5" s="78"/>
      <c r="I5" s="2"/>
      <c r="J5" s="4"/>
      <c r="K5" s="4"/>
      <c r="L5" s="2"/>
      <c r="M5" s="2"/>
      <c r="N5" s="4"/>
      <c r="O5" s="4"/>
      <c r="P5" s="4"/>
      <c r="Q5" s="2"/>
      <c r="R5" s="2"/>
    </row>
    <row r="6" spans="1:18" ht="15.75">
      <c r="A6" s="1"/>
      <c r="B6" s="2"/>
      <c r="C6" s="2"/>
      <c r="D6" s="77" t="s">
        <v>2</v>
      </c>
      <c r="E6" s="78"/>
      <c r="F6" s="78"/>
      <c r="G6" s="78"/>
      <c r="H6" s="78"/>
      <c r="I6" s="2"/>
      <c r="J6" s="4"/>
      <c r="K6" s="4"/>
      <c r="L6" s="2"/>
      <c r="M6" s="2"/>
      <c r="N6" s="4"/>
      <c r="O6" s="4"/>
      <c r="P6" s="4"/>
      <c r="Q6" s="2"/>
      <c r="R6" s="2"/>
    </row>
    <row r="7" spans="1:18" ht="15.75">
      <c r="A7" s="1"/>
      <c r="B7" s="2"/>
      <c r="C7" s="2"/>
      <c r="D7" s="77"/>
      <c r="E7" s="78"/>
      <c r="F7" s="78"/>
      <c r="G7" s="78"/>
      <c r="H7" s="78"/>
      <c r="I7" s="2"/>
      <c r="J7" s="4"/>
      <c r="K7" s="4"/>
      <c r="L7" s="2"/>
      <c r="M7" s="2"/>
      <c r="N7" s="4"/>
      <c r="O7" s="4"/>
      <c r="P7" s="4"/>
      <c r="Q7" s="2"/>
      <c r="R7" s="2"/>
    </row>
    <row r="8" spans="1:18" ht="15.75">
      <c r="A8" s="1"/>
      <c r="B8" s="2"/>
      <c r="C8" s="2"/>
      <c r="D8" s="5"/>
      <c r="E8" s="5"/>
      <c r="F8" s="5"/>
      <c r="G8" s="5"/>
      <c r="H8" s="5"/>
      <c r="I8" s="2"/>
      <c r="J8" s="4"/>
      <c r="K8" s="4"/>
      <c r="L8" s="2"/>
      <c r="M8" s="2"/>
      <c r="N8" s="4"/>
      <c r="O8" s="4"/>
      <c r="P8" s="4"/>
      <c r="Q8" s="2"/>
      <c r="R8" s="2"/>
    </row>
    <row r="9" spans="1:18" ht="15.75">
      <c r="A9" s="1"/>
      <c r="B9" s="2"/>
      <c r="C9" s="2"/>
      <c r="D9" s="3"/>
      <c r="E9" s="3"/>
      <c r="F9" s="3"/>
      <c r="G9" s="3"/>
      <c r="H9" s="3"/>
      <c r="I9" s="2"/>
      <c r="J9" s="4"/>
      <c r="K9" s="4"/>
      <c r="L9" s="2"/>
      <c r="M9" s="2"/>
      <c r="N9" s="4"/>
      <c r="O9" s="4"/>
      <c r="P9" s="4"/>
      <c r="Q9" s="2"/>
      <c r="R9" s="2"/>
    </row>
    <row r="10" spans="1:18" ht="15.75">
      <c r="A10" s="1"/>
      <c r="B10" s="2"/>
      <c r="C10" s="2"/>
      <c r="D10" s="3"/>
      <c r="E10" s="3"/>
      <c r="F10" s="3"/>
      <c r="G10" s="3"/>
      <c r="H10" s="3"/>
      <c r="I10" s="2"/>
      <c r="J10" s="4"/>
      <c r="K10" s="4"/>
      <c r="L10" s="2"/>
      <c r="M10" s="2"/>
      <c r="N10" s="4"/>
      <c r="O10" s="4"/>
      <c r="P10" s="4"/>
      <c r="Q10" s="2"/>
      <c r="R10" s="2"/>
    </row>
    <row r="11" spans="1:18" ht="15.75">
      <c r="A11" s="1"/>
      <c r="B11" s="2"/>
      <c r="C11" s="2"/>
      <c r="D11" s="3"/>
      <c r="E11" s="3"/>
      <c r="F11" s="3"/>
      <c r="G11" s="3"/>
      <c r="H11" s="3"/>
      <c r="I11" s="2"/>
      <c r="J11" s="4"/>
      <c r="K11" s="4"/>
      <c r="L11" s="2"/>
      <c r="M11" s="2"/>
      <c r="N11" s="4"/>
      <c r="O11" s="4"/>
      <c r="P11" s="4"/>
      <c r="Q11" s="2"/>
      <c r="R11" s="2"/>
    </row>
    <row r="12" spans="1:18" ht="15.75">
      <c r="A12" s="6"/>
      <c r="B12" s="7"/>
      <c r="C12" s="7"/>
      <c r="D12" s="7"/>
      <c r="E12" s="7"/>
      <c r="F12" s="7"/>
      <c r="G12" s="7"/>
      <c r="H12" s="7"/>
      <c r="I12" s="7"/>
      <c r="J12" s="8"/>
      <c r="K12" s="8"/>
      <c r="L12" s="7"/>
      <c r="M12" s="7"/>
      <c r="N12" s="8"/>
      <c r="O12" s="8"/>
      <c r="P12" s="8"/>
      <c r="Q12" s="7"/>
      <c r="R12" s="7"/>
    </row>
    <row r="13" spans="1:18" ht="15.75">
      <c r="A13" s="6"/>
      <c r="B13" s="7"/>
      <c r="C13" s="9" t="s">
        <v>3</v>
      </c>
      <c r="D13" s="79" t="s">
        <v>4</v>
      </c>
      <c r="E13" s="80"/>
      <c r="F13" s="80"/>
      <c r="G13" s="80"/>
      <c r="H13" s="81"/>
      <c r="I13" s="10"/>
      <c r="J13" s="8"/>
      <c r="K13" s="8"/>
      <c r="L13" s="7"/>
      <c r="M13" s="7"/>
      <c r="N13" s="8"/>
      <c r="O13" s="8"/>
      <c r="P13" s="8"/>
      <c r="Q13" s="7"/>
      <c r="R13" s="7"/>
    </row>
    <row r="14" spans="1:18" ht="15.75">
      <c r="A14" s="6"/>
      <c r="B14" s="7"/>
      <c r="C14" s="9" t="s">
        <v>5</v>
      </c>
      <c r="D14" s="82" t="s">
        <v>6</v>
      </c>
      <c r="E14" s="80"/>
      <c r="F14" s="80"/>
      <c r="G14" s="80"/>
      <c r="H14" s="81"/>
      <c r="I14" s="11" t="s">
        <v>7</v>
      </c>
      <c r="J14" s="8"/>
      <c r="K14" s="8"/>
      <c r="L14" s="7"/>
      <c r="M14" s="7"/>
      <c r="N14" s="8"/>
      <c r="O14" s="8"/>
      <c r="P14" s="8"/>
      <c r="Q14" s="7"/>
      <c r="R14" s="7"/>
    </row>
    <row r="15" spans="1:18" ht="15.75">
      <c r="A15" s="6"/>
      <c r="B15" s="7"/>
      <c r="C15" s="9" t="s">
        <v>8</v>
      </c>
      <c r="D15" s="82" t="s">
        <v>9</v>
      </c>
      <c r="E15" s="80"/>
      <c r="F15" s="80"/>
      <c r="G15" s="80"/>
      <c r="H15" s="81"/>
      <c r="I15" s="11" t="s">
        <v>7</v>
      </c>
      <c r="J15" s="8"/>
      <c r="K15" s="8"/>
      <c r="L15" s="7"/>
      <c r="M15" s="7"/>
      <c r="N15" s="8"/>
      <c r="O15" s="8"/>
      <c r="P15" s="8"/>
      <c r="Q15" s="7"/>
      <c r="R15" s="7"/>
    </row>
    <row r="16" spans="1:18" ht="15.75">
      <c r="A16" s="6"/>
      <c r="B16" s="7"/>
      <c r="C16" s="9" t="s">
        <v>10</v>
      </c>
      <c r="D16" s="82" t="s">
        <v>11</v>
      </c>
      <c r="E16" s="80"/>
      <c r="F16" s="80"/>
      <c r="G16" s="80"/>
      <c r="H16" s="81"/>
      <c r="I16" s="10"/>
      <c r="J16" s="8"/>
      <c r="K16" s="8"/>
      <c r="L16" s="7"/>
      <c r="M16" s="7"/>
      <c r="N16" s="8"/>
      <c r="O16" s="8"/>
      <c r="P16" s="8"/>
      <c r="Q16" s="7"/>
      <c r="R16" s="7"/>
    </row>
    <row r="17" spans="1:18" ht="15.75">
      <c r="A17" s="6"/>
      <c r="B17" s="7"/>
      <c r="C17" s="9" t="s">
        <v>12</v>
      </c>
      <c r="D17" s="82" t="s">
        <v>13</v>
      </c>
      <c r="E17" s="80"/>
      <c r="F17" s="80"/>
      <c r="G17" s="80"/>
      <c r="H17" s="81"/>
      <c r="I17" s="11" t="s">
        <v>7</v>
      </c>
      <c r="J17" s="8"/>
      <c r="K17" s="8"/>
      <c r="L17" s="7"/>
      <c r="M17" s="7"/>
      <c r="N17" s="8"/>
      <c r="O17" s="8"/>
      <c r="P17" s="8"/>
      <c r="Q17" s="7"/>
      <c r="R17" s="7"/>
    </row>
    <row r="18" spans="1:18" ht="15.75">
      <c r="A18" s="12"/>
      <c r="B18" s="13"/>
      <c r="C18" s="9" t="s">
        <v>14</v>
      </c>
      <c r="D18" s="82" t="s">
        <v>15</v>
      </c>
      <c r="E18" s="80"/>
      <c r="F18" s="80"/>
      <c r="G18" s="80"/>
      <c r="H18" s="81"/>
      <c r="I18" s="11" t="s">
        <v>7</v>
      </c>
      <c r="J18" s="8"/>
      <c r="K18" s="8"/>
      <c r="L18" s="7"/>
      <c r="M18" s="7"/>
      <c r="N18" s="8"/>
      <c r="O18" s="8"/>
      <c r="P18" s="8"/>
      <c r="Q18" s="7"/>
      <c r="R18" s="7"/>
    </row>
    <row r="19" spans="1:18" ht="15.75" hidden="1">
      <c r="A19" s="14"/>
      <c r="B19" s="15"/>
      <c r="C19" s="9" t="s">
        <v>16</v>
      </c>
      <c r="D19" s="82"/>
      <c r="E19" s="80"/>
      <c r="F19" s="80"/>
      <c r="G19" s="80"/>
      <c r="H19" s="81"/>
      <c r="I19" s="10"/>
      <c r="J19" s="8"/>
      <c r="K19" s="8"/>
      <c r="L19" s="7"/>
      <c r="M19" s="7"/>
      <c r="N19" s="8"/>
      <c r="O19" s="8"/>
      <c r="P19" s="8"/>
      <c r="Q19" s="7"/>
      <c r="R19" s="7"/>
    </row>
    <row r="20" spans="1:18" ht="15.75">
      <c r="A20" s="16"/>
      <c r="C20" s="9" t="s">
        <v>16</v>
      </c>
      <c r="D20" s="82" t="s">
        <v>17</v>
      </c>
      <c r="E20" s="80"/>
      <c r="F20" s="80"/>
      <c r="G20" s="80"/>
      <c r="H20" s="81"/>
      <c r="I20" s="11" t="s">
        <v>7</v>
      </c>
      <c r="J20" s="8"/>
      <c r="K20" s="8"/>
      <c r="L20" s="7"/>
      <c r="M20" s="7"/>
      <c r="N20" s="8"/>
      <c r="O20" s="8"/>
      <c r="P20" s="8"/>
      <c r="Q20" s="7"/>
      <c r="R20" s="7"/>
    </row>
    <row r="21" spans="1:18" ht="15.75">
      <c r="A21" s="17"/>
      <c r="B21" s="83" t="s">
        <v>18</v>
      </c>
      <c r="C21" s="9" t="s">
        <v>19</v>
      </c>
      <c r="D21" s="82" t="s">
        <v>20</v>
      </c>
      <c r="E21" s="80"/>
      <c r="F21" s="80"/>
      <c r="G21" s="80"/>
      <c r="H21" s="81"/>
      <c r="I21" s="11" t="s">
        <v>7</v>
      </c>
      <c r="K21" s="8"/>
      <c r="L21" s="7"/>
      <c r="M21" s="7"/>
      <c r="N21" s="8"/>
      <c r="O21" s="8"/>
      <c r="P21" s="8"/>
      <c r="Q21" s="7"/>
      <c r="R21" s="7"/>
    </row>
    <row r="22" spans="1:18" ht="15.75">
      <c r="A22" s="17"/>
      <c r="B22" s="84"/>
      <c r="C22" s="9" t="s">
        <v>21</v>
      </c>
      <c r="D22" s="82" t="s">
        <v>22</v>
      </c>
      <c r="E22" s="80"/>
      <c r="F22" s="80"/>
      <c r="G22" s="80"/>
      <c r="H22" s="81"/>
      <c r="I22" s="11" t="s">
        <v>7</v>
      </c>
      <c r="J22" s="8"/>
      <c r="K22" s="8"/>
      <c r="L22" s="7"/>
      <c r="M22" s="7"/>
      <c r="N22" s="8"/>
      <c r="O22" s="8"/>
      <c r="P22" s="8"/>
      <c r="Q22" s="7"/>
      <c r="R22" s="7"/>
    </row>
    <row r="23" spans="1:18" ht="15.75">
      <c r="A23" s="18"/>
      <c r="B23" s="85" t="s">
        <v>23</v>
      </c>
      <c r="C23" s="9" t="s">
        <v>24</v>
      </c>
      <c r="D23" s="87" t="s">
        <v>25</v>
      </c>
      <c r="E23" s="80"/>
      <c r="F23" s="80"/>
      <c r="G23" s="80"/>
      <c r="H23" s="81"/>
      <c r="I23" s="19" t="s">
        <v>7</v>
      </c>
      <c r="J23" s="8"/>
      <c r="K23" s="8"/>
      <c r="L23" s="7"/>
      <c r="M23" s="7"/>
      <c r="N23" s="8"/>
      <c r="O23" s="8"/>
      <c r="P23" s="8"/>
      <c r="Q23" s="7"/>
      <c r="R23" s="7"/>
    </row>
    <row r="24" spans="1:18" ht="31.5">
      <c r="A24" s="18"/>
      <c r="B24" s="86"/>
      <c r="C24" s="9" t="s">
        <v>26</v>
      </c>
      <c r="D24" s="88" t="s">
        <v>27</v>
      </c>
      <c r="E24" s="89"/>
      <c r="F24" s="89"/>
      <c r="G24" s="89"/>
      <c r="H24" s="90"/>
      <c r="I24" s="19" t="s">
        <v>7</v>
      </c>
      <c r="J24" s="8"/>
      <c r="K24" s="8"/>
      <c r="L24" s="7"/>
      <c r="M24" s="7"/>
      <c r="N24" s="8"/>
      <c r="O24" s="8"/>
      <c r="P24" s="8"/>
      <c r="Q24" s="7"/>
      <c r="R24" s="7"/>
    </row>
    <row r="25" spans="1:18" ht="15.75">
      <c r="A25" s="18"/>
      <c r="B25" s="85" t="s">
        <v>28</v>
      </c>
      <c r="C25" s="9" t="s">
        <v>29</v>
      </c>
      <c r="D25" s="88" t="s">
        <v>30</v>
      </c>
      <c r="E25" s="89"/>
      <c r="F25" s="89"/>
      <c r="G25" s="89"/>
      <c r="H25" s="90"/>
      <c r="I25" s="19" t="s">
        <v>7</v>
      </c>
      <c r="J25" s="8"/>
      <c r="K25" s="8"/>
      <c r="L25" s="7"/>
      <c r="M25" s="7"/>
      <c r="N25" s="8"/>
      <c r="O25" s="8"/>
      <c r="P25" s="8"/>
      <c r="Q25" s="7"/>
      <c r="R25" s="7"/>
    </row>
    <row r="26" spans="1:18" ht="15.75">
      <c r="A26" s="18"/>
      <c r="B26" s="84"/>
      <c r="C26" s="9" t="s">
        <v>31</v>
      </c>
      <c r="D26" s="20" t="s">
        <v>32</v>
      </c>
      <c r="E26" s="21"/>
      <c r="F26" s="21"/>
      <c r="G26" s="21"/>
      <c r="H26" s="22"/>
      <c r="I26" s="19" t="s">
        <v>7</v>
      </c>
      <c r="J26" s="8"/>
      <c r="K26" s="8"/>
      <c r="L26" s="7"/>
      <c r="M26" s="7"/>
      <c r="N26" s="8"/>
      <c r="O26" s="8"/>
      <c r="P26" s="8"/>
      <c r="Q26" s="7"/>
      <c r="R26" s="7"/>
    </row>
    <row r="27" spans="1:18" ht="15.75">
      <c r="A27" s="18"/>
      <c r="B27" s="84"/>
      <c r="C27" s="9" t="s">
        <v>33</v>
      </c>
      <c r="D27" s="88" t="s">
        <v>34</v>
      </c>
      <c r="E27" s="89"/>
      <c r="F27" s="89"/>
      <c r="G27" s="89"/>
      <c r="H27" s="90"/>
      <c r="I27" s="19" t="s">
        <v>7</v>
      </c>
      <c r="J27" s="8"/>
      <c r="K27" s="8"/>
      <c r="L27" s="7"/>
      <c r="M27" s="7"/>
      <c r="N27" s="8"/>
      <c r="O27" s="8"/>
      <c r="P27" s="8"/>
      <c r="Q27" s="7"/>
      <c r="R27" s="7"/>
    </row>
    <row r="28" spans="1:18" ht="15.75">
      <c r="A28" s="18"/>
      <c r="B28" s="84"/>
      <c r="C28" s="9" t="s">
        <v>35</v>
      </c>
      <c r="D28" s="88" t="s">
        <v>36</v>
      </c>
      <c r="E28" s="89"/>
      <c r="F28" s="89"/>
      <c r="G28" s="89"/>
      <c r="H28" s="90"/>
      <c r="I28" s="23"/>
      <c r="J28" s="8"/>
      <c r="K28" s="8"/>
      <c r="L28" s="7"/>
      <c r="M28" s="7"/>
      <c r="N28" s="8"/>
      <c r="O28" s="24"/>
      <c r="P28" s="24"/>
      <c r="Q28" s="7"/>
      <c r="R28" s="7"/>
    </row>
    <row r="29" spans="1:18" ht="31.5">
      <c r="A29" s="12"/>
      <c r="B29" s="13"/>
      <c r="C29" s="9" t="s">
        <v>37</v>
      </c>
      <c r="D29" s="91" t="s">
        <v>38</v>
      </c>
      <c r="E29" s="80"/>
      <c r="F29" s="80"/>
      <c r="G29" s="80"/>
      <c r="H29" s="80"/>
      <c r="I29" s="7"/>
      <c r="J29" s="8"/>
      <c r="K29" s="8"/>
      <c r="L29" s="7"/>
      <c r="M29" s="7"/>
      <c r="N29" s="8"/>
      <c r="O29" s="24"/>
      <c r="P29" s="24"/>
      <c r="Q29" s="7"/>
      <c r="R29" s="7"/>
    </row>
    <row r="30" spans="1:18" ht="15.75">
      <c r="A30" s="12"/>
      <c r="B30" s="13"/>
      <c r="C30" s="25" t="s">
        <v>39</v>
      </c>
      <c r="D30" s="92"/>
      <c r="E30" s="80"/>
      <c r="F30" s="80"/>
      <c r="G30" s="80"/>
      <c r="H30" s="81"/>
      <c r="I30" s="10"/>
      <c r="J30" s="8"/>
      <c r="K30" s="8"/>
      <c r="L30" s="7"/>
      <c r="M30" s="7"/>
      <c r="N30" s="8"/>
      <c r="O30" s="8"/>
      <c r="P30" s="8"/>
      <c r="Q30" s="7"/>
      <c r="R30" s="7"/>
    </row>
    <row r="31" spans="1:18" ht="15.75">
      <c r="A31" s="6"/>
      <c r="B31" s="26"/>
      <c r="C31" s="26"/>
      <c r="D31" s="27"/>
      <c r="E31" s="27"/>
      <c r="F31" s="27"/>
      <c r="G31" s="27"/>
      <c r="H31" s="27"/>
      <c r="I31" s="28"/>
      <c r="J31" s="28"/>
      <c r="K31" s="28"/>
      <c r="L31" s="28"/>
      <c r="M31" s="28"/>
      <c r="N31" s="28"/>
      <c r="O31" s="28"/>
      <c r="P31" s="28"/>
      <c r="Q31" s="28"/>
      <c r="R31" s="28"/>
    </row>
    <row r="32" spans="1:18" ht="63">
      <c r="A32" s="29"/>
      <c r="B32" s="30" t="s">
        <v>40</v>
      </c>
      <c r="C32" s="31" t="s">
        <v>41</v>
      </c>
      <c r="D32" s="25" t="s">
        <v>42</v>
      </c>
      <c r="E32" s="25" t="s">
        <v>43</v>
      </c>
      <c r="F32" s="25" t="s">
        <v>44</v>
      </c>
      <c r="G32" s="25" t="s">
        <v>45</v>
      </c>
      <c r="H32" s="25" t="s">
        <v>46</v>
      </c>
      <c r="I32" s="25" t="s">
        <v>47</v>
      </c>
      <c r="J32" s="32" t="s">
        <v>48</v>
      </c>
      <c r="K32" s="32" t="s">
        <v>49</v>
      </c>
      <c r="L32" s="25" t="s">
        <v>50</v>
      </c>
      <c r="M32" s="25" t="s">
        <v>51</v>
      </c>
      <c r="N32" s="32" t="s">
        <v>52</v>
      </c>
      <c r="O32" s="32" t="s">
        <v>53</v>
      </c>
      <c r="P32" s="32" t="s">
        <v>221</v>
      </c>
      <c r="Q32" s="25" t="s">
        <v>54</v>
      </c>
      <c r="R32" s="25" t="s">
        <v>55</v>
      </c>
    </row>
    <row r="33" spans="1:18" ht="199.5">
      <c r="A33" s="6"/>
      <c r="B33" s="7"/>
      <c r="C33" s="9" t="s">
        <v>56</v>
      </c>
      <c r="D33" s="33" t="s">
        <v>57</v>
      </c>
      <c r="E33" s="34" t="s">
        <v>58</v>
      </c>
      <c r="F33" s="33" t="s">
        <v>59</v>
      </c>
      <c r="G33" s="34" t="s">
        <v>60</v>
      </c>
      <c r="H33" s="34" t="s">
        <v>61</v>
      </c>
      <c r="I33" s="33" t="s">
        <v>62</v>
      </c>
      <c r="J33" s="35" t="s">
        <v>63</v>
      </c>
      <c r="K33" s="36" t="s">
        <v>64</v>
      </c>
      <c r="L33" s="34" t="s">
        <v>65</v>
      </c>
      <c r="M33" s="34" t="s">
        <v>66</v>
      </c>
      <c r="N33" s="37" t="s">
        <v>67</v>
      </c>
      <c r="O33" s="38">
        <f>(SUMIFS(O35:O55,$A$35:$A$55,"FIN"))+SUMIFS(O35:O55,$A$35:$A$55,"FIN/PROPÓSITO")</f>
        <v>7038</v>
      </c>
      <c r="P33" s="39" t="s">
        <v>68</v>
      </c>
      <c r="Q33" s="34" t="s">
        <v>69</v>
      </c>
      <c r="R33" s="33" t="s">
        <v>70</v>
      </c>
    </row>
    <row r="34" spans="1:18" ht="242.25">
      <c r="A34" s="40"/>
      <c r="B34" s="41" t="s">
        <v>7</v>
      </c>
      <c r="C34" s="9" t="s">
        <v>71</v>
      </c>
      <c r="D34" s="33" t="s">
        <v>72</v>
      </c>
      <c r="E34" s="33" t="s">
        <v>73</v>
      </c>
      <c r="F34" s="33" t="s">
        <v>74</v>
      </c>
      <c r="G34" s="34" t="s">
        <v>60</v>
      </c>
      <c r="H34" s="34" t="s">
        <v>61</v>
      </c>
      <c r="I34" s="34" t="s">
        <v>75</v>
      </c>
      <c r="J34" s="35" t="s">
        <v>76</v>
      </c>
      <c r="K34" s="35" t="s">
        <v>77</v>
      </c>
      <c r="L34" s="34" t="s">
        <v>65</v>
      </c>
      <c r="M34" s="34" t="s">
        <v>66</v>
      </c>
      <c r="N34" s="37" t="s">
        <v>67</v>
      </c>
      <c r="O34" s="42">
        <f>(SUMIFS(O35:O55,$A$35:$A$55,"PROPÓSITO"))+SUMIFS(O35:O55,$A$35:$A$55,"FIN/PROPÓSITO")</f>
        <v>36800</v>
      </c>
      <c r="P34" s="39" t="s">
        <v>68</v>
      </c>
      <c r="Q34" s="34" t="s">
        <v>78</v>
      </c>
      <c r="R34" s="43" t="s">
        <v>79</v>
      </c>
    </row>
    <row r="35" spans="1:18" ht="185.25">
      <c r="A35" s="44" t="s">
        <v>56</v>
      </c>
      <c r="B35" s="45" t="s">
        <v>80</v>
      </c>
      <c r="C35" s="25" t="s">
        <v>81</v>
      </c>
      <c r="D35" s="33" t="s">
        <v>82</v>
      </c>
      <c r="E35" s="33" t="s">
        <v>83</v>
      </c>
      <c r="F35" s="33" t="s">
        <v>84</v>
      </c>
      <c r="G35" s="33" t="s">
        <v>60</v>
      </c>
      <c r="H35" s="33" t="s">
        <v>61</v>
      </c>
      <c r="I35" s="46" t="s">
        <v>85</v>
      </c>
      <c r="J35" s="46" t="s">
        <v>86</v>
      </c>
      <c r="K35" s="46">
        <v>4</v>
      </c>
      <c r="L35" s="47" t="s">
        <v>87</v>
      </c>
      <c r="M35" s="33" t="s">
        <v>88</v>
      </c>
      <c r="N35" s="33" t="s">
        <v>67</v>
      </c>
      <c r="O35" s="33">
        <v>372</v>
      </c>
      <c r="P35" s="35">
        <v>122.5</v>
      </c>
      <c r="Q35" s="48" t="s">
        <v>89</v>
      </c>
      <c r="R35" s="33" t="s">
        <v>90</v>
      </c>
    </row>
    <row r="36" spans="1:18" ht="242.25">
      <c r="A36" s="44" t="s">
        <v>71</v>
      </c>
      <c r="B36" s="49"/>
      <c r="C36" s="50" t="s">
        <v>91</v>
      </c>
      <c r="D36" s="33" t="s">
        <v>92</v>
      </c>
      <c r="E36" s="33" t="s">
        <v>93</v>
      </c>
      <c r="F36" s="33" t="s">
        <v>94</v>
      </c>
      <c r="G36" s="33" t="s">
        <v>60</v>
      </c>
      <c r="H36" s="33" t="s">
        <v>95</v>
      </c>
      <c r="I36" s="51" t="s">
        <v>96</v>
      </c>
      <c r="J36" s="51" t="s">
        <v>97</v>
      </c>
      <c r="K36" s="51" t="s">
        <v>98</v>
      </c>
      <c r="L36" s="47" t="s">
        <v>99</v>
      </c>
      <c r="M36" s="33" t="s">
        <v>66</v>
      </c>
      <c r="N36" s="33" t="s">
        <v>67</v>
      </c>
      <c r="O36" s="33">
        <v>810</v>
      </c>
      <c r="P36" s="52" t="s">
        <v>100</v>
      </c>
      <c r="Q36" s="33" t="s">
        <v>101</v>
      </c>
      <c r="R36" s="33" t="s">
        <v>102</v>
      </c>
    </row>
    <row r="37" spans="1:18" ht="270.75">
      <c r="A37" s="53"/>
      <c r="B37" s="54"/>
      <c r="C37" s="50" t="s">
        <v>103</v>
      </c>
      <c r="D37" s="33" t="s">
        <v>104</v>
      </c>
      <c r="E37" s="33" t="s">
        <v>105</v>
      </c>
      <c r="F37" s="33" t="s">
        <v>106</v>
      </c>
      <c r="G37" s="33" t="s">
        <v>60</v>
      </c>
      <c r="H37" s="33" t="s">
        <v>95</v>
      </c>
      <c r="I37" s="51" t="s">
        <v>107</v>
      </c>
      <c r="J37" s="51" t="s">
        <v>108</v>
      </c>
      <c r="K37" s="51" t="s">
        <v>109</v>
      </c>
      <c r="L37" s="47" t="s">
        <v>99</v>
      </c>
      <c r="M37" s="33" t="s">
        <v>66</v>
      </c>
      <c r="N37" s="33" t="s">
        <v>67</v>
      </c>
      <c r="O37" s="33">
        <v>990</v>
      </c>
      <c r="P37" s="52" t="s">
        <v>110</v>
      </c>
      <c r="Q37" s="34" t="s">
        <v>111</v>
      </c>
      <c r="R37" s="33" t="s">
        <v>112</v>
      </c>
    </row>
    <row r="38" spans="1:18" ht="114">
      <c r="A38" s="44" t="s">
        <v>56</v>
      </c>
      <c r="B38" s="55" t="s">
        <v>80</v>
      </c>
      <c r="C38" s="25" t="s">
        <v>113</v>
      </c>
      <c r="D38" s="33" t="s">
        <v>114</v>
      </c>
      <c r="E38" s="33" t="s">
        <v>115</v>
      </c>
      <c r="F38" s="33" t="s">
        <v>116</v>
      </c>
      <c r="G38" s="33" t="s">
        <v>60</v>
      </c>
      <c r="H38" s="33" t="s">
        <v>61</v>
      </c>
      <c r="I38" s="56" t="s">
        <v>117</v>
      </c>
      <c r="J38" s="56" t="s">
        <v>118</v>
      </c>
      <c r="K38" s="56">
        <v>4</v>
      </c>
      <c r="L38" s="47" t="s">
        <v>87</v>
      </c>
      <c r="M38" s="33" t="s">
        <v>88</v>
      </c>
      <c r="N38" s="57" t="s">
        <v>67</v>
      </c>
      <c r="O38" s="33">
        <v>600</v>
      </c>
      <c r="P38" s="52">
        <v>110</v>
      </c>
      <c r="Q38" s="34" t="s">
        <v>89</v>
      </c>
      <c r="R38" s="33" t="s">
        <v>119</v>
      </c>
    </row>
    <row r="39" spans="1:18" ht="335.25" customHeight="1">
      <c r="A39" s="58" t="s">
        <v>71</v>
      </c>
      <c r="B39" s="59"/>
      <c r="C39" s="50" t="s">
        <v>120</v>
      </c>
      <c r="D39" s="60" t="s">
        <v>121</v>
      </c>
      <c r="E39" s="33" t="s">
        <v>122</v>
      </c>
      <c r="F39" s="33" t="s">
        <v>123</v>
      </c>
      <c r="G39" s="33" t="s">
        <v>60</v>
      </c>
      <c r="H39" s="33" t="s">
        <v>95</v>
      </c>
      <c r="I39" s="56" t="s">
        <v>124</v>
      </c>
      <c r="J39" s="56" t="s">
        <v>125</v>
      </c>
      <c r="K39" s="56" t="s">
        <v>126</v>
      </c>
      <c r="L39" s="47" t="s">
        <v>99</v>
      </c>
      <c r="M39" s="33" t="s">
        <v>66</v>
      </c>
      <c r="N39" s="57" t="s">
        <v>67</v>
      </c>
      <c r="O39" s="61">
        <v>5600</v>
      </c>
      <c r="P39" s="35" t="s">
        <v>127</v>
      </c>
      <c r="Q39" s="48" t="s">
        <v>128</v>
      </c>
      <c r="R39" s="33" t="s">
        <v>129</v>
      </c>
    </row>
    <row r="40" spans="1:18" ht="185.25">
      <c r="A40" s="44" t="s">
        <v>71</v>
      </c>
      <c r="B40" s="55" t="s">
        <v>80</v>
      </c>
      <c r="C40" s="25" t="s">
        <v>130</v>
      </c>
      <c r="D40" s="33" t="s">
        <v>131</v>
      </c>
      <c r="E40" s="33" t="s">
        <v>132</v>
      </c>
      <c r="F40" s="33" t="s">
        <v>133</v>
      </c>
      <c r="G40" s="33" t="s">
        <v>60</v>
      </c>
      <c r="H40" s="33" t="s">
        <v>61</v>
      </c>
      <c r="I40" s="56" t="s">
        <v>134</v>
      </c>
      <c r="J40" s="56" t="s">
        <v>135</v>
      </c>
      <c r="K40" s="56" t="s">
        <v>136</v>
      </c>
      <c r="L40" s="47" t="s">
        <v>99</v>
      </c>
      <c r="M40" s="33" t="s">
        <v>66</v>
      </c>
      <c r="N40" s="57" t="s">
        <v>67</v>
      </c>
      <c r="O40" s="34">
        <v>470</v>
      </c>
      <c r="P40" s="52" t="s">
        <v>137</v>
      </c>
      <c r="Q40" s="34" t="s">
        <v>138</v>
      </c>
      <c r="R40" s="33" t="s">
        <v>139</v>
      </c>
    </row>
    <row r="41" spans="1:18" ht="171">
      <c r="A41" s="44" t="s">
        <v>56</v>
      </c>
      <c r="B41" s="59"/>
      <c r="C41" s="9" t="s">
        <v>140</v>
      </c>
      <c r="D41" s="62" t="s">
        <v>141</v>
      </c>
      <c r="E41" s="62" t="s">
        <v>142</v>
      </c>
      <c r="F41" s="33" t="s">
        <v>143</v>
      </c>
      <c r="G41" s="33" t="s">
        <v>60</v>
      </c>
      <c r="H41" s="33" t="s">
        <v>95</v>
      </c>
      <c r="I41" s="56" t="s">
        <v>144</v>
      </c>
      <c r="J41" s="56" t="s">
        <v>145</v>
      </c>
      <c r="K41" s="56">
        <v>4</v>
      </c>
      <c r="L41" s="47" t="s">
        <v>87</v>
      </c>
      <c r="M41" s="33" t="s">
        <v>88</v>
      </c>
      <c r="N41" s="39" t="s">
        <v>67</v>
      </c>
      <c r="O41" s="33">
        <v>66</v>
      </c>
      <c r="P41" s="52">
        <v>17.5</v>
      </c>
      <c r="Q41" s="34" t="s">
        <v>138</v>
      </c>
      <c r="R41" s="33" t="s">
        <v>146</v>
      </c>
    </row>
    <row r="42" spans="1:18" ht="156.75">
      <c r="A42" s="53"/>
      <c r="B42" s="59"/>
      <c r="C42" s="50" t="s">
        <v>147</v>
      </c>
      <c r="D42" s="33" t="s">
        <v>148</v>
      </c>
      <c r="E42" s="47" t="s">
        <v>149</v>
      </c>
      <c r="F42" s="33" t="s">
        <v>150</v>
      </c>
      <c r="G42" s="33" t="s">
        <v>60</v>
      </c>
      <c r="H42" s="47" t="s">
        <v>95</v>
      </c>
      <c r="I42" s="56" t="s">
        <v>151</v>
      </c>
      <c r="J42" s="56" t="s">
        <v>152</v>
      </c>
      <c r="K42" s="56" t="s">
        <v>153</v>
      </c>
      <c r="L42" s="47" t="s">
        <v>99</v>
      </c>
      <c r="M42" s="47" t="s">
        <v>66</v>
      </c>
      <c r="N42" s="63" t="s">
        <v>67</v>
      </c>
      <c r="O42" s="64">
        <v>15</v>
      </c>
      <c r="P42" s="65" t="s">
        <v>154</v>
      </c>
      <c r="Q42" s="64" t="s">
        <v>155</v>
      </c>
      <c r="R42" s="47" t="s">
        <v>156</v>
      </c>
    </row>
    <row r="43" spans="1:18" ht="228">
      <c r="A43" s="53"/>
      <c r="B43" s="59"/>
      <c r="C43" s="50" t="s">
        <v>157</v>
      </c>
      <c r="D43" s="33" t="s">
        <v>158</v>
      </c>
      <c r="E43" s="47" t="s">
        <v>159</v>
      </c>
      <c r="F43" s="33" t="s">
        <v>160</v>
      </c>
      <c r="G43" s="33" t="s">
        <v>60</v>
      </c>
      <c r="H43" s="47" t="s">
        <v>95</v>
      </c>
      <c r="I43" s="56" t="s">
        <v>161</v>
      </c>
      <c r="J43" s="56" t="s">
        <v>162</v>
      </c>
      <c r="K43" s="56" t="s">
        <v>163</v>
      </c>
      <c r="L43" s="47" t="s">
        <v>99</v>
      </c>
      <c r="M43" s="47" t="s">
        <v>66</v>
      </c>
      <c r="N43" s="63" t="s">
        <v>67</v>
      </c>
      <c r="O43" s="64">
        <v>25</v>
      </c>
      <c r="P43" s="65" t="s">
        <v>164</v>
      </c>
      <c r="Q43" s="64" t="s">
        <v>165</v>
      </c>
      <c r="R43" s="47" t="s">
        <v>166</v>
      </c>
    </row>
    <row r="44" spans="1:18" ht="185.25">
      <c r="A44" s="44" t="s">
        <v>56</v>
      </c>
      <c r="B44" s="55" t="s">
        <v>167</v>
      </c>
      <c r="C44" s="25" t="s">
        <v>168</v>
      </c>
      <c r="D44" s="33" t="s">
        <v>169</v>
      </c>
      <c r="E44" s="33" t="s">
        <v>170</v>
      </c>
      <c r="F44" s="33" t="s">
        <v>171</v>
      </c>
      <c r="G44" s="33" t="s">
        <v>60</v>
      </c>
      <c r="H44" s="47" t="s">
        <v>61</v>
      </c>
      <c r="I44" s="56" t="s">
        <v>172</v>
      </c>
      <c r="J44" s="56" t="s">
        <v>173</v>
      </c>
      <c r="K44" s="56">
        <v>4</v>
      </c>
      <c r="L44" s="47" t="s">
        <v>99</v>
      </c>
      <c r="M44" s="33" t="s">
        <v>88</v>
      </c>
      <c r="N44" s="33">
        <v>1853</v>
      </c>
      <c r="O44" s="33">
        <v>6000</v>
      </c>
      <c r="P44" s="52">
        <v>2044.5</v>
      </c>
      <c r="Q44" s="34" t="s">
        <v>174</v>
      </c>
      <c r="R44" s="33" t="s">
        <v>175</v>
      </c>
    </row>
    <row r="45" spans="1:18" ht="213.75">
      <c r="A45" s="53"/>
      <c r="B45" s="66"/>
      <c r="C45" s="9" t="s">
        <v>176</v>
      </c>
      <c r="D45" s="33" t="s">
        <v>177</v>
      </c>
      <c r="E45" s="33" t="s">
        <v>178</v>
      </c>
      <c r="F45" s="33" t="s">
        <v>179</v>
      </c>
      <c r="G45" s="33" t="s">
        <v>60</v>
      </c>
      <c r="H45" s="33" t="s">
        <v>95</v>
      </c>
      <c r="I45" s="56" t="s">
        <v>180</v>
      </c>
      <c r="J45" s="56" t="s">
        <v>181</v>
      </c>
      <c r="K45" s="56" t="s">
        <v>182</v>
      </c>
      <c r="L45" s="47" t="s">
        <v>99</v>
      </c>
      <c r="M45" s="33" t="s">
        <v>66</v>
      </c>
      <c r="N45" s="48">
        <v>22</v>
      </c>
      <c r="O45" s="48">
        <v>22</v>
      </c>
      <c r="P45" s="52" t="s">
        <v>183</v>
      </c>
      <c r="Q45" s="48" t="s">
        <v>174</v>
      </c>
      <c r="R45" s="33" t="s">
        <v>184</v>
      </c>
    </row>
    <row r="46" spans="1:18" ht="128.25">
      <c r="A46" s="44" t="s">
        <v>71</v>
      </c>
      <c r="B46" s="54"/>
      <c r="C46" s="50" t="s">
        <v>185</v>
      </c>
      <c r="D46" s="33" t="s">
        <v>186</v>
      </c>
      <c r="E46" s="33" t="s">
        <v>187</v>
      </c>
      <c r="F46" s="33" t="s">
        <v>188</v>
      </c>
      <c r="G46" s="33" t="s">
        <v>60</v>
      </c>
      <c r="H46" s="33" t="s">
        <v>95</v>
      </c>
      <c r="I46" s="56" t="s">
        <v>189</v>
      </c>
      <c r="J46" s="56" t="s">
        <v>190</v>
      </c>
      <c r="K46" s="56" t="s">
        <v>191</v>
      </c>
      <c r="L46" s="47" t="s">
        <v>99</v>
      </c>
      <c r="M46" s="33" t="s">
        <v>66</v>
      </c>
      <c r="N46" s="63" t="s">
        <v>67</v>
      </c>
      <c r="O46" s="48">
        <v>22000</v>
      </c>
      <c r="P46" s="52" t="s">
        <v>192</v>
      </c>
      <c r="Q46" s="48" t="s">
        <v>111</v>
      </c>
      <c r="R46" s="33" t="s">
        <v>193</v>
      </c>
    </row>
    <row r="47" spans="1:18" ht="285">
      <c r="A47" s="44"/>
      <c r="B47" s="55" t="s">
        <v>80</v>
      </c>
      <c r="C47" s="25" t="s">
        <v>194</v>
      </c>
      <c r="D47" s="33" t="s">
        <v>195</v>
      </c>
      <c r="E47" s="33" t="s">
        <v>196</v>
      </c>
      <c r="F47" s="33" t="s">
        <v>197</v>
      </c>
      <c r="G47" s="33" t="s">
        <v>60</v>
      </c>
      <c r="H47" s="33" t="s">
        <v>61</v>
      </c>
      <c r="I47" s="56" t="s">
        <v>198</v>
      </c>
      <c r="J47" s="56" t="s">
        <v>199</v>
      </c>
      <c r="K47" s="56" t="s">
        <v>200</v>
      </c>
      <c r="L47" s="47" t="s">
        <v>99</v>
      </c>
      <c r="M47" s="33" t="s">
        <v>66</v>
      </c>
      <c r="N47" s="63" t="s">
        <v>67</v>
      </c>
      <c r="O47" s="34">
        <v>7920</v>
      </c>
      <c r="P47" s="52" t="s">
        <v>201</v>
      </c>
      <c r="Q47" s="34" t="s">
        <v>202</v>
      </c>
      <c r="R47" s="33" t="s">
        <v>203</v>
      </c>
    </row>
    <row r="48" spans="1:18" ht="142.5">
      <c r="A48" s="44" t="s">
        <v>71</v>
      </c>
      <c r="B48" s="66"/>
      <c r="C48" s="9" t="s">
        <v>204</v>
      </c>
      <c r="D48" s="62" t="s">
        <v>205</v>
      </c>
      <c r="E48" s="33" t="s">
        <v>206</v>
      </c>
      <c r="F48" s="33" t="s">
        <v>207</v>
      </c>
      <c r="G48" s="33" t="s">
        <v>60</v>
      </c>
      <c r="H48" s="33" t="s">
        <v>95</v>
      </c>
      <c r="I48" s="56" t="s">
        <v>208</v>
      </c>
      <c r="J48" s="56" t="s">
        <v>209</v>
      </c>
      <c r="K48" s="56" t="s">
        <v>210</v>
      </c>
      <c r="L48" s="47" t="s">
        <v>99</v>
      </c>
      <c r="M48" s="33" t="s">
        <v>66</v>
      </c>
      <c r="N48" s="63" t="s">
        <v>67</v>
      </c>
      <c r="O48" s="48">
        <v>7250</v>
      </c>
      <c r="P48" s="35" t="s">
        <v>211</v>
      </c>
      <c r="Q48" s="48" t="s">
        <v>202</v>
      </c>
      <c r="R48" s="33" t="s">
        <v>212</v>
      </c>
    </row>
    <row r="49" spans="1:18" ht="156.75">
      <c r="A49" s="44" t="s">
        <v>71</v>
      </c>
      <c r="C49" s="50" t="s">
        <v>213</v>
      </c>
      <c r="D49" s="62" t="s">
        <v>214</v>
      </c>
      <c r="E49" s="33" t="s">
        <v>215</v>
      </c>
      <c r="F49" s="33" t="s">
        <v>216</v>
      </c>
      <c r="G49" s="33" t="s">
        <v>60</v>
      </c>
      <c r="H49" s="33" t="s">
        <v>95</v>
      </c>
      <c r="I49" s="56" t="s">
        <v>217</v>
      </c>
      <c r="J49" s="56" t="s">
        <v>218</v>
      </c>
      <c r="K49" s="56" t="s">
        <v>210</v>
      </c>
      <c r="L49" s="47" t="s">
        <v>99</v>
      </c>
      <c r="M49" s="33" t="s">
        <v>66</v>
      </c>
      <c r="N49" s="63" t="s">
        <v>67</v>
      </c>
      <c r="O49" s="48">
        <v>670</v>
      </c>
      <c r="P49" s="35" t="s">
        <v>219</v>
      </c>
      <c r="Q49" s="48" t="s">
        <v>202</v>
      </c>
      <c r="R49" s="33" t="s">
        <v>220</v>
      </c>
    </row>
    <row r="50" spans="1:18" ht="15.75">
      <c r="A50" s="16"/>
      <c r="C50" s="67"/>
      <c r="D50" s="68"/>
      <c r="E50" s="69"/>
      <c r="F50" s="69"/>
      <c r="G50" s="70"/>
      <c r="H50" s="70"/>
      <c r="I50" s="69"/>
      <c r="J50" s="71"/>
      <c r="K50" s="71"/>
      <c r="L50" s="70"/>
      <c r="M50" s="70"/>
      <c r="N50" s="72"/>
      <c r="O50" s="69"/>
      <c r="P50" s="72"/>
      <c r="Q50" s="69"/>
      <c r="R50" s="70"/>
    </row>
    <row r="51" spans="1:18" ht="15.75">
      <c r="A51" s="16"/>
      <c r="D51" s="73"/>
      <c r="E51" s="73"/>
      <c r="F51" s="73"/>
      <c r="G51" s="73"/>
      <c r="H51" s="73"/>
    </row>
    <row r="52" spans="1:18" ht="15.75">
      <c r="A52" s="16"/>
      <c r="D52" s="73"/>
      <c r="E52" s="73"/>
      <c r="F52" s="73"/>
      <c r="G52" s="73"/>
      <c r="H52" s="73"/>
    </row>
    <row r="53" spans="1:18" ht="15.75">
      <c r="A53" s="16"/>
      <c r="D53" s="73"/>
      <c r="E53" s="73"/>
      <c r="F53" s="73"/>
      <c r="G53" s="73"/>
      <c r="H53" s="73"/>
    </row>
    <row r="54" spans="1:18" ht="15.75">
      <c r="A54" s="16"/>
      <c r="D54" s="73"/>
      <c r="E54" s="73"/>
      <c r="F54" s="73"/>
      <c r="G54" s="73"/>
      <c r="H54" s="73"/>
    </row>
    <row r="55" spans="1:18" ht="15.75">
      <c r="A55" s="16"/>
      <c r="D55" s="73"/>
      <c r="E55" s="73"/>
      <c r="F55" s="73"/>
      <c r="G55" s="73"/>
      <c r="H55" s="73"/>
    </row>
    <row r="56" spans="1:18" ht="15.75">
      <c r="A56" s="53"/>
      <c r="B56" s="74"/>
      <c r="C56" s="74"/>
      <c r="D56" s="73"/>
      <c r="E56" s="73"/>
      <c r="F56" s="73"/>
      <c r="G56" s="73"/>
      <c r="H56" s="73"/>
      <c r="I56" s="74"/>
      <c r="J56" s="74"/>
      <c r="K56" s="74"/>
      <c r="L56" s="74"/>
      <c r="M56" s="74"/>
      <c r="N56" s="74"/>
      <c r="O56" s="74"/>
      <c r="P56" s="74"/>
      <c r="Q56" s="74"/>
      <c r="R56" s="74"/>
    </row>
    <row r="57" spans="1:18" ht="15.75">
      <c r="A57" s="16"/>
      <c r="D57" s="73"/>
      <c r="E57" s="73"/>
      <c r="F57" s="73"/>
      <c r="G57" s="73"/>
      <c r="H57" s="73"/>
    </row>
    <row r="58" spans="1:18" ht="15.75">
      <c r="A58" s="16"/>
      <c r="D58" s="73"/>
      <c r="E58" s="73"/>
      <c r="F58" s="73"/>
      <c r="G58" s="73"/>
      <c r="H58" s="73"/>
    </row>
    <row r="59" spans="1:18" ht="15.75">
      <c r="A59" s="16"/>
      <c r="D59" s="73"/>
      <c r="E59" s="73"/>
      <c r="F59" s="73"/>
      <c r="G59" s="73"/>
      <c r="H59" s="73"/>
    </row>
    <row r="60" spans="1:18" ht="15.75">
      <c r="A60" s="16"/>
      <c r="D60" s="73"/>
      <c r="E60" s="73"/>
      <c r="F60" s="73"/>
      <c r="G60" s="73"/>
      <c r="H60" s="73"/>
    </row>
    <row r="61" spans="1:18" ht="15.75">
      <c r="A61" s="16"/>
      <c r="D61" s="73"/>
      <c r="E61" s="73"/>
      <c r="F61" s="73"/>
      <c r="G61" s="73"/>
      <c r="H61" s="73"/>
    </row>
    <row r="62" spans="1:18" ht="15.75">
      <c r="A62" s="16"/>
      <c r="D62" s="73"/>
      <c r="E62" s="73"/>
      <c r="F62" s="73"/>
      <c r="G62" s="73"/>
      <c r="H62" s="73"/>
    </row>
    <row r="63" spans="1:18" ht="15.75">
      <c r="A63" s="16"/>
      <c r="D63" s="73"/>
      <c r="E63" s="73"/>
      <c r="F63" s="73"/>
      <c r="G63" s="73"/>
      <c r="H63" s="73"/>
    </row>
    <row r="64" spans="1:18" ht="15.75">
      <c r="A64" s="16"/>
      <c r="D64" s="73"/>
      <c r="E64" s="73"/>
      <c r="F64" s="73"/>
      <c r="G64" s="73"/>
      <c r="H64" s="73"/>
    </row>
    <row r="65" spans="1:8" ht="15.75">
      <c r="A65" s="16"/>
      <c r="D65" s="73"/>
      <c r="E65" s="73"/>
      <c r="F65" s="73"/>
      <c r="G65" s="73"/>
      <c r="H65" s="73"/>
    </row>
    <row r="66" spans="1:8" ht="15.75">
      <c r="A66" s="16"/>
      <c r="D66" s="73"/>
      <c r="E66" s="73"/>
      <c r="F66" s="73"/>
      <c r="G66" s="73"/>
      <c r="H66" s="73"/>
    </row>
    <row r="67" spans="1:8" ht="15.75">
      <c r="A67" s="16"/>
      <c r="D67" s="73"/>
      <c r="E67" s="73"/>
      <c r="F67" s="73"/>
      <c r="G67" s="73"/>
      <c r="H67" s="73"/>
    </row>
    <row r="68" spans="1:8" ht="15.75">
      <c r="A68" s="16"/>
      <c r="D68" s="73"/>
      <c r="E68" s="73"/>
      <c r="F68" s="73"/>
      <c r="G68" s="73"/>
      <c r="H68" s="73"/>
    </row>
    <row r="69" spans="1:8" ht="15.75">
      <c r="A69" s="16"/>
      <c r="D69" s="73"/>
      <c r="E69" s="73"/>
      <c r="F69" s="73"/>
      <c r="G69" s="73"/>
      <c r="H69" s="73"/>
    </row>
    <row r="70" spans="1:8" ht="15.75">
      <c r="A70" s="16"/>
      <c r="D70" s="73"/>
      <c r="E70" s="73"/>
      <c r="F70" s="73"/>
      <c r="G70" s="73"/>
      <c r="H70" s="73"/>
    </row>
    <row r="71" spans="1:8" ht="15.75">
      <c r="A71" s="16"/>
      <c r="D71" s="73"/>
      <c r="E71" s="73"/>
      <c r="F71" s="73"/>
      <c r="G71" s="73"/>
      <c r="H71" s="73"/>
    </row>
    <row r="72" spans="1:8" ht="15.75">
      <c r="A72" s="16"/>
      <c r="D72" s="73"/>
      <c r="E72" s="73"/>
      <c r="F72" s="73"/>
      <c r="G72" s="73"/>
      <c r="H72" s="73"/>
    </row>
    <row r="73" spans="1:8" ht="15.75">
      <c r="A73" s="16"/>
      <c r="D73" s="73"/>
      <c r="E73" s="73"/>
      <c r="F73" s="73"/>
      <c r="G73" s="73"/>
      <c r="H73" s="73"/>
    </row>
    <row r="74" spans="1:8" ht="15.75">
      <c r="A74" s="16"/>
      <c r="D74" s="73"/>
      <c r="E74" s="73"/>
      <c r="F74" s="73"/>
      <c r="G74" s="73"/>
      <c r="H74" s="73"/>
    </row>
    <row r="75" spans="1:8" ht="15.75">
      <c r="A75" s="16"/>
      <c r="D75" s="73"/>
      <c r="E75" s="73"/>
      <c r="F75" s="73"/>
      <c r="G75" s="73"/>
      <c r="H75" s="73"/>
    </row>
    <row r="76" spans="1:8" ht="15.75">
      <c r="A76" s="16"/>
      <c r="D76" s="73"/>
      <c r="E76" s="73"/>
      <c r="F76" s="73"/>
      <c r="G76" s="73"/>
      <c r="H76" s="73"/>
    </row>
    <row r="77" spans="1:8" ht="15.75">
      <c r="A77" s="16"/>
      <c r="D77" s="73"/>
      <c r="E77" s="73"/>
      <c r="F77" s="73"/>
      <c r="G77" s="73"/>
      <c r="H77" s="73"/>
    </row>
    <row r="78" spans="1:8" ht="15.75">
      <c r="A78" s="16"/>
      <c r="D78" s="73"/>
      <c r="E78" s="73"/>
      <c r="F78" s="73"/>
      <c r="G78" s="73"/>
      <c r="H78" s="73"/>
    </row>
    <row r="79" spans="1:8" ht="15.75">
      <c r="A79" s="16"/>
      <c r="D79" s="73"/>
      <c r="E79" s="73"/>
      <c r="F79" s="73"/>
      <c r="G79" s="73"/>
      <c r="H79" s="73"/>
    </row>
    <row r="80" spans="1:8" ht="15.75">
      <c r="A80" s="16"/>
      <c r="D80" s="73"/>
      <c r="E80" s="73"/>
      <c r="F80" s="73"/>
      <c r="G80" s="73"/>
      <c r="H80" s="73"/>
    </row>
    <row r="81" spans="1:8" ht="15.75">
      <c r="A81" s="16"/>
      <c r="D81" s="73"/>
      <c r="E81" s="73"/>
      <c r="F81" s="73"/>
      <c r="G81" s="73"/>
      <c r="H81" s="73"/>
    </row>
    <row r="82" spans="1:8" ht="15.75">
      <c r="A82" s="16"/>
      <c r="D82" s="73"/>
      <c r="E82" s="73"/>
      <c r="F82" s="73"/>
      <c r="G82" s="73"/>
      <c r="H82" s="73"/>
    </row>
    <row r="83" spans="1:8" ht="15.75">
      <c r="A83" s="16"/>
      <c r="D83" s="73"/>
      <c r="E83" s="73"/>
      <c r="F83" s="73"/>
      <c r="G83" s="73"/>
      <c r="H83" s="73"/>
    </row>
    <row r="84" spans="1:8" ht="15.75">
      <c r="A84" s="16"/>
      <c r="D84" s="73"/>
      <c r="E84" s="73"/>
      <c r="F84" s="73"/>
      <c r="G84" s="73"/>
      <c r="H84" s="73"/>
    </row>
    <row r="85" spans="1:8" ht="15.75">
      <c r="A85" s="16"/>
      <c r="D85" s="73"/>
      <c r="E85" s="73"/>
      <c r="F85" s="73"/>
      <c r="G85" s="73"/>
      <c r="H85" s="73"/>
    </row>
    <row r="86" spans="1:8" ht="15.75">
      <c r="A86" s="16"/>
      <c r="D86" s="73"/>
      <c r="E86" s="73"/>
      <c r="F86" s="73"/>
      <c r="G86" s="73"/>
      <c r="H86" s="73"/>
    </row>
    <row r="87" spans="1:8" ht="15.75">
      <c r="A87" s="16"/>
      <c r="D87" s="73"/>
      <c r="E87" s="73"/>
      <c r="F87" s="73"/>
      <c r="G87" s="73"/>
      <c r="H87" s="73"/>
    </row>
    <row r="88" spans="1:8" ht="15.75">
      <c r="A88" s="16"/>
      <c r="D88" s="73"/>
      <c r="E88" s="73"/>
      <c r="F88" s="73"/>
      <c r="G88" s="73"/>
      <c r="H88" s="73"/>
    </row>
    <row r="89" spans="1:8" ht="15.75">
      <c r="A89" s="16"/>
      <c r="D89" s="73"/>
      <c r="E89" s="73"/>
      <c r="F89" s="73"/>
      <c r="G89" s="73"/>
      <c r="H89" s="73"/>
    </row>
    <row r="90" spans="1:8" ht="15.75">
      <c r="A90" s="16"/>
      <c r="D90" s="73"/>
      <c r="E90" s="73"/>
      <c r="F90" s="73"/>
      <c r="G90" s="73"/>
      <c r="H90" s="73"/>
    </row>
    <row r="91" spans="1:8" ht="15.75">
      <c r="A91" s="16"/>
      <c r="D91" s="73"/>
      <c r="E91" s="73"/>
      <c r="F91" s="73"/>
      <c r="G91" s="73"/>
      <c r="H91" s="73"/>
    </row>
    <row r="92" spans="1:8" ht="15.75">
      <c r="A92" s="16"/>
      <c r="D92" s="73"/>
      <c r="E92" s="73"/>
      <c r="F92" s="73"/>
      <c r="G92" s="73"/>
      <c r="H92" s="73"/>
    </row>
    <row r="93" spans="1:8" ht="15.75">
      <c r="A93" s="16"/>
      <c r="D93" s="73"/>
      <c r="E93" s="73"/>
      <c r="F93" s="73"/>
      <c r="G93" s="73"/>
      <c r="H93" s="73"/>
    </row>
    <row r="94" spans="1:8" ht="15.75">
      <c r="A94" s="16"/>
      <c r="D94" s="73"/>
      <c r="E94" s="73"/>
      <c r="F94" s="73"/>
      <c r="G94" s="73"/>
      <c r="H94" s="73"/>
    </row>
    <row r="95" spans="1:8" ht="15.75">
      <c r="A95" s="16"/>
      <c r="D95" s="73"/>
      <c r="E95" s="73"/>
      <c r="F95" s="73"/>
      <c r="G95" s="73"/>
      <c r="H95" s="73"/>
    </row>
    <row r="96" spans="1:8" ht="15.75">
      <c r="A96" s="16"/>
      <c r="D96" s="73"/>
      <c r="E96" s="73"/>
      <c r="F96" s="73"/>
      <c r="G96" s="73"/>
      <c r="H96" s="73"/>
    </row>
    <row r="97" spans="1:8" ht="15.75">
      <c r="A97" s="16"/>
      <c r="D97" s="73"/>
      <c r="E97" s="73"/>
      <c r="F97" s="73"/>
      <c r="G97" s="73"/>
      <c r="H97" s="73"/>
    </row>
    <row r="98" spans="1:8" ht="15.75">
      <c r="A98" s="16"/>
      <c r="D98" s="73"/>
      <c r="E98" s="73"/>
      <c r="F98" s="73"/>
      <c r="G98" s="73"/>
      <c r="H98" s="73"/>
    </row>
    <row r="99" spans="1:8" ht="15.75">
      <c r="A99" s="16"/>
      <c r="D99" s="73"/>
      <c r="E99" s="73"/>
      <c r="F99" s="73"/>
      <c r="G99" s="73"/>
      <c r="H99" s="73"/>
    </row>
    <row r="100" spans="1:8" ht="15.75">
      <c r="A100" s="16"/>
      <c r="D100" s="73"/>
      <c r="E100" s="73"/>
      <c r="F100" s="73"/>
      <c r="G100" s="73"/>
      <c r="H100" s="73"/>
    </row>
    <row r="101" spans="1:8" ht="15.75">
      <c r="A101" s="16"/>
      <c r="D101" s="73"/>
      <c r="E101" s="73"/>
      <c r="F101" s="73"/>
      <c r="G101" s="73"/>
      <c r="H101" s="73"/>
    </row>
    <row r="102" spans="1:8" ht="15.75">
      <c r="A102" s="16"/>
      <c r="D102" s="73"/>
      <c r="E102" s="73"/>
      <c r="F102" s="73"/>
      <c r="G102" s="73"/>
      <c r="H102" s="73"/>
    </row>
    <row r="103" spans="1:8" ht="15.75">
      <c r="A103" s="16"/>
      <c r="D103" s="73"/>
      <c r="E103" s="73"/>
      <c r="F103" s="73"/>
      <c r="G103" s="73"/>
      <c r="H103" s="73"/>
    </row>
    <row r="104" spans="1:8" ht="15.75">
      <c r="A104" s="16"/>
      <c r="D104" s="73"/>
      <c r="E104" s="73"/>
      <c r="F104" s="73"/>
      <c r="G104" s="73"/>
      <c r="H104" s="73"/>
    </row>
    <row r="105" spans="1:8" ht="15.75">
      <c r="A105" s="16"/>
      <c r="D105" s="73"/>
      <c r="E105" s="73"/>
      <c r="F105" s="73"/>
      <c r="G105" s="73"/>
      <c r="H105" s="73"/>
    </row>
    <row r="106" spans="1:8" ht="15.75">
      <c r="A106" s="16"/>
      <c r="D106" s="73"/>
      <c r="E106" s="73"/>
      <c r="F106" s="73"/>
      <c r="G106" s="73"/>
      <c r="H106" s="73"/>
    </row>
    <row r="107" spans="1:8" ht="15.75">
      <c r="A107" s="16"/>
      <c r="D107" s="73"/>
      <c r="E107" s="73"/>
      <c r="F107" s="73"/>
      <c r="G107" s="73"/>
      <c r="H107" s="73"/>
    </row>
    <row r="108" spans="1:8" ht="15.75">
      <c r="A108" s="16"/>
      <c r="D108" s="73"/>
      <c r="E108" s="73"/>
      <c r="F108" s="73"/>
      <c r="G108" s="73"/>
      <c r="H108" s="73"/>
    </row>
    <row r="109" spans="1:8" ht="15.75">
      <c r="A109" s="16"/>
      <c r="D109" s="73"/>
      <c r="E109" s="73"/>
      <c r="F109" s="73"/>
      <c r="G109" s="73"/>
      <c r="H109" s="73"/>
    </row>
    <row r="110" spans="1:8" ht="15.75">
      <c r="A110" s="16"/>
      <c r="D110" s="73"/>
      <c r="E110" s="73"/>
      <c r="F110" s="73"/>
      <c r="G110" s="73"/>
      <c r="H110" s="73"/>
    </row>
    <row r="111" spans="1:8" ht="15.75">
      <c r="A111" s="16"/>
      <c r="D111" s="73"/>
      <c r="E111" s="73"/>
      <c r="F111" s="73"/>
      <c r="G111" s="73"/>
      <c r="H111" s="73"/>
    </row>
    <row r="112" spans="1:8" ht="15.75">
      <c r="A112" s="16"/>
      <c r="D112" s="73"/>
      <c r="E112" s="73"/>
      <c r="F112" s="73"/>
      <c r="G112" s="73"/>
      <c r="H112" s="73"/>
    </row>
    <row r="113" spans="1:8" ht="15.75">
      <c r="A113" s="16"/>
      <c r="D113" s="73"/>
      <c r="E113" s="73"/>
      <c r="F113" s="73"/>
      <c r="G113" s="73"/>
      <c r="H113" s="73"/>
    </row>
    <row r="114" spans="1:8" ht="15.75">
      <c r="A114" s="16"/>
      <c r="D114" s="73"/>
      <c r="E114" s="73"/>
      <c r="F114" s="73"/>
      <c r="G114" s="73"/>
      <c r="H114" s="73"/>
    </row>
    <row r="115" spans="1:8" ht="15.75">
      <c r="A115" s="16"/>
      <c r="D115" s="73"/>
      <c r="E115" s="73"/>
      <c r="F115" s="73"/>
      <c r="G115" s="73"/>
      <c r="H115" s="73"/>
    </row>
    <row r="116" spans="1:8" ht="15.75">
      <c r="A116" s="16"/>
      <c r="D116" s="73"/>
      <c r="E116" s="73"/>
      <c r="F116" s="73"/>
      <c r="G116" s="73"/>
      <c r="H116" s="73"/>
    </row>
    <row r="117" spans="1:8" ht="15.75">
      <c r="A117" s="16"/>
      <c r="D117" s="73"/>
      <c r="E117" s="73"/>
      <c r="F117" s="73"/>
      <c r="G117" s="73"/>
      <c r="H117" s="73"/>
    </row>
    <row r="118" spans="1:8" ht="15.75">
      <c r="A118" s="16"/>
      <c r="D118" s="73"/>
      <c r="E118" s="73"/>
      <c r="F118" s="73"/>
      <c r="G118" s="73"/>
      <c r="H118" s="73"/>
    </row>
    <row r="119" spans="1:8" ht="15.75">
      <c r="A119" s="16"/>
      <c r="D119" s="73"/>
      <c r="E119" s="73"/>
      <c r="F119" s="73"/>
      <c r="G119" s="73"/>
      <c r="H119" s="73"/>
    </row>
    <row r="120" spans="1:8" ht="15.75">
      <c r="A120" s="16"/>
      <c r="D120" s="73"/>
      <c r="E120" s="73"/>
      <c r="F120" s="73"/>
      <c r="G120" s="73"/>
      <c r="H120" s="73"/>
    </row>
    <row r="121" spans="1:8" ht="15.75">
      <c r="A121" s="16"/>
      <c r="D121" s="73"/>
      <c r="E121" s="73"/>
      <c r="F121" s="73"/>
      <c r="G121" s="73"/>
      <c r="H121" s="73"/>
    </row>
    <row r="122" spans="1:8" ht="15.75">
      <c r="A122" s="16"/>
      <c r="D122" s="73"/>
      <c r="E122" s="73"/>
      <c r="F122" s="73"/>
      <c r="G122" s="73"/>
      <c r="H122" s="73"/>
    </row>
    <row r="123" spans="1:8" ht="15.75">
      <c r="A123" s="16"/>
      <c r="D123" s="73"/>
      <c r="E123" s="73"/>
      <c r="F123" s="73"/>
      <c r="G123" s="73"/>
      <c r="H123" s="73"/>
    </row>
    <row r="124" spans="1:8" ht="15.75">
      <c r="A124" s="16"/>
      <c r="D124" s="73"/>
      <c r="E124" s="73"/>
      <c r="F124" s="73"/>
      <c r="G124" s="73"/>
      <c r="H124" s="73"/>
    </row>
    <row r="125" spans="1:8" ht="15.75">
      <c r="A125" s="16"/>
      <c r="D125" s="73"/>
      <c r="E125" s="73"/>
      <c r="F125" s="73"/>
      <c r="G125" s="73"/>
      <c r="H125" s="73"/>
    </row>
    <row r="126" spans="1:8" ht="15.75">
      <c r="A126" s="16"/>
      <c r="D126" s="73"/>
      <c r="E126" s="73"/>
      <c r="F126" s="73"/>
      <c r="G126" s="73"/>
      <c r="H126" s="73"/>
    </row>
    <row r="127" spans="1:8" ht="15.75">
      <c r="A127" s="16"/>
      <c r="D127" s="73"/>
      <c r="E127" s="73"/>
      <c r="F127" s="73"/>
      <c r="G127" s="73"/>
      <c r="H127" s="73"/>
    </row>
    <row r="128" spans="1:8" ht="15.75">
      <c r="A128" s="16"/>
      <c r="D128" s="73"/>
      <c r="E128" s="73"/>
      <c r="F128" s="73"/>
      <c r="G128" s="73"/>
      <c r="H128" s="73"/>
    </row>
    <row r="129" spans="1:8" ht="15.75">
      <c r="A129" s="16"/>
      <c r="D129" s="73"/>
      <c r="E129" s="73"/>
      <c r="F129" s="73"/>
      <c r="G129" s="73"/>
      <c r="H129" s="73"/>
    </row>
    <row r="130" spans="1:8" ht="15.75">
      <c r="A130" s="16"/>
      <c r="D130" s="73"/>
      <c r="E130" s="73"/>
      <c r="F130" s="73"/>
      <c r="G130" s="73"/>
      <c r="H130" s="73"/>
    </row>
    <row r="131" spans="1:8" ht="15.75">
      <c r="A131" s="16"/>
      <c r="D131" s="73"/>
      <c r="E131" s="73"/>
      <c r="F131" s="73"/>
      <c r="G131" s="73"/>
      <c r="H131" s="73"/>
    </row>
    <row r="132" spans="1:8" ht="15.75">
      <c r="A132" s="16"/>
      <c r="D132" s="73"/>
      <c r="E132" s="73"/>
      <c r="F132" s="73"/>
      <c r="G132" s="73"/>
      <c r="H132" s="73"/>
    </row>
    <row r="133" spans="1:8" ht="15.75">
      <c r="A133" s="16"/>
      <c r="D133" s="73"/>
      <c r="E133" s="73"/>
      <c r="F133" s="73"/>
      <c r="G133" s="73"/>
      <c r="H133" s="73"/>
    </row>
    <row r="134" spans="1:8" ht="15.75">
      <c r="A134" s="16"/>
      <c r="D134" s="73"/>
      <c r="E134" s="73"/>
      <c r="F134" s="73"/>
      <c r="G134" s="73"/>
      <c r="H134" s="73"/>
    </row>
    <row r="135" spans="1:8" ht="15.75">
      <c r="A135" s="16"/>
      <c r="D135" s="73"/>
      <c r="E135" s="73"/>
      <c r="F135" s="73"/>
      <c r="G135" s="73"/>
      <c r="H135" s="73"/>
    </row>
    <row r="136" spans="1:8" ht="15.75">
      <c r="A136" s="16"/>
      <c r="D136" s="73"/>
      <c r="E136" s="73"/>
      <c r="F136" s="73"/>
      <c r="G136" s="73"/>
      <c r="H136" s="73"/>
    </row>
    <row r="137" spans="1:8" ht="15.75">
      <c r="A137" s="16"/>
      <c r="D137" s="73"/>
      <c r="E137" s="73"/>
      <c r="F137" s="73"/>
      <c r="G137" s="73"/>
      <c r="H137" s="73"/>
    </row>
    <row r="138" spans="1:8" ht="15.75">
      <c r="A138" s="16"/>
      <c r="D138" s="73"/>
      <c r="E138" s="73"/>
      <c r="F138" s="73"/>
      <c r="G138" s="73"/>
      <c r="H138" s="73"/>
    </row>
    <row r="139" spans="1:8" ht="15.75">
      <c r="A139" s="16"/>
      <c r="D139" s="73"/>
      <c r="E139" s="73"/>
      <c r="F139" s="73"/>
      <c r="G139" s="73"/>
      <c r="H139" s="73"/>
    </row>
    <row r="140" spans="1:8" ht="15.75">
      <c r="A140" s="16"/>
      <c r="D140" s="73"/>
      <c r="E140" s="73"/>
      <c r="F140" s="73"/>
      <c r="G140" s="73"/>
      <c r="H140" s="73"/>
    </row>
    <row r="141" spans="1:8" ht="15.75">
      <c r="A141" s="16"/>
      <c r="D141" s="73"/>
      <c r="E141" s="73"/>
      <c r="F141" s="73"/>
      <c r="G141" s="73"/>
      <c r="H141" s="73"/>
    </row>
    <row r="142" spans="1:8" ht="15.75">
      <c r="A142" s="16"/>
      <c r="D142" s="73"/>
      <c r="E142" s="73"/>
      <c r="F142" s="73"/>
      <c r="G142" s="73"/>
      <c r="H142" s="73"/>
    </row>
    <row r="143" spans="1:8" ht="15.75">
      <c r="A143" s="16"/>
      <c r="D143" s="73"/>
      <c r="E143" s="73"/>
      <c r="F143" s="73"/>
      <c r="G143" s="73"/>
      <c r="H143" s="73"/>
    </row>
    <row r="144" spans="1:8" ht="15.75">
      <c r="A144" s="16"/>
      <c r="D144" s="73"/>
      <c r="E144" s="73"/>
      <c r="F144" s="73"/>
      <c r="G144" s="73"/>
      <c r="H144" s="73"/>
    </row>
    <row r="145" spans="1:8" ht="15.75">
      <c r="A145" s="16"/>
      <c r="D145" s="73"/>
      <c r="E145" s="73"/>
      <c r="F145" s="73"/>
      <c r="G145" s="73"/>
      <c r="H145" s="73"/>
    </row>
    <row r="146" spans="1:8" ht="15.75">
      <c r="A146" s="16"/>
      <c r="D146" s="73"/>
      <c r="E146" s="73"/>
      <c r="F146" s="73"/>
      <c r="G146" s="73"/>
      <c r="H146" s="73"/>
    </row>
    <row r="147" spans="1:8" ht="15.75">
      <c r="A147" s="16"/>
      <c r="D147" s="73"/>
      <c r="E147" s="73"/>
      <c r="F147" s="73"/>
      <c r="G147" s="73"/>
      <c r="H147" s="73"/>
    </row>
    <row r="148" spans="1:8" ht="15.75">
      <c r="A148" s="16"/>
      <c r="D148" s="73"/>
      <c r="E148" s="73"/>
      <c r="F148" s="73"/>
      <c r="G148" s="73"/>
      <c r="H148" s="73"/>
    </row>
    <row r="149" spans="1:8" ht="15.75">
      <c r="A149" s="16"/>
      <c r="D149" s="73"/>
      <c r="E149" s="73"/>
      <c r="F149" s="73"/>
      <c r="G149" s="73"/>
      <c r="H149" s="73"/>
    </row>
    <row r="150" spans="1:8" ht="15.75">
      <c r="A150" s="16"/>
      <c r="D150" s="73"/>
      <c r="E150" s="73"/>
      <c r="F150" s="73"/>
      <c r="G150" s="73"/>
      <c r="H150" s="73"/>
    </row>
    <row r="151" spans="1:8" ht="15.75">
      <c r="A151" s="16"/>
      <c r="D151" s="73"/>
      <c r="E151" s="73"/>
      <c r="F151" s="73"/>
      <c r="G151" s="73"/>
      <c r="H151" s="73"/>
    </row>
    <row r="152" spans="1:8" ht="15.75">
      <c r="A152" s="16"/>
      <c r="D152" s="73"/>
      <c r="E152" s="73"/>
      <c r="F152" s="73"/>
      <c r="G152" s="73"/>
      <c r="H152" s="73"/>
    </row>
    <row r="153" spans="1:8" ht="15.75">
      <c r="A153" s="16"/>
      <c r="D153" s="73"/>
      <c r="E153" s="73"/>
      <c r="F153" s="73"/>
      <c r="G153" s="73"/>
      <c r="H153" s="73"/>
    </row>
    <row r="154" spans="1:8" ht="15.75">
      <c r="A154" s="16"/>
      <c r="D154" s="73"/>
      <c r="E154" s="73"/>
      <c r="F154" s="73"/>
      <c r="G154" s="73"/>
      <c r="H154" s="73"/>
    </row>
    <row r="155" spans="1:8" ht="15.75">
      <c r="A155" s="16"/>
      <c r="D155" s="73"/>
      <c r="E155" s="73"/>
      <c r="F155" s="73"/>
      <c r="G155" s="73"/>
      <c r="H155" s="73"/>
    </row>
    <row r="156" spans="1:8" ht="15.75">
      <c r="A156" s="16"/>
      <c r="D156" s="73"/>
      <c r="E156" s="73"/>
      <c r="F156" s="73"/>
      <c r="G156" s="73"/>
      <c r="H156" s="73"/>
    </row>
    <row r="157" spans="1:8" ht="15.75">
      <c r="A157" s="16"/>
      <c r="D157" s="73"/>
      <c r="E157" s="73"/>
      <c r="F157" s="73"/>
      <c r="G157" s="73"/>
      <c r="H157" s="73"/>
    </row>
    <row r="158" spans="1:8" ht="15.75">
      <c r="A158" s="16"/>
      <c r="D158" s="73"/>
      <c r="E158" s="73"/>
      <c r="F158" s="73"/>
      <c r="G158" s="73"/>
      <c r="H158" s="73"/>
    </row>
    <row r="159" spans="1:8" ht="15.75">
      <c r="A159" s="16"/>
      <c r="D159" s="73"/>
      <c r="E159" s="73"/>
      <c r="F159" s="73"/>
      <c r="G159" s="73"/>
      <c r="H159" s="73"/>
    </row>
    <row r="160" spans="1:8" ht="15.75">
      <c r="A160" s="16"/>
      <c r="D160" s="73"/>
      <c r="E160" s="73"/>
      <c r="F160" s="73"/>
      <c r="G160" s="73"/>
      <c r="H160" s="73"/>
    </row>
    <row r="161" spans="1:8" ht="15.75">
      <c r="A161" s="16"/>
      <c r="D161" s="73"/>
      <c r="E161" s="73"/>
      <c r="F161" s="73"/>
      <c r="G161" s="73"/>
      <c r="H161" s="73"/>
    </row>
    <row r="162" spans="1:8" ht="15.75">
      <c r="A162" s="16"/>
      <c r="D162" s="73"/>
      <c r="E162" s="73"/>
      <c r="F162" s="73"/>
      <c r="G162" s="73"/>
      <c r="H162" s="73"/>
    </row>
    <row r="163" spans="1:8" ht="15.75">
      <c r="A163" s="16"/>
      <c r="D163" s="73"/>
      <c r="E163" s="73"/>
      <c r="F163" s="73"/>
      <c r="G163" s="73"/>
      <c r="H163" s="73"/>
    </row>
    <row r="164" spans="1:8" ht="15.75">
      <c r="A164" s="16"/>
      <c r="D164" s="73"/>
      <c r="E164" s="73"/>
      <c r="F164" s="73"/>
      <c r="G164" s="73"/>
      <c r="H164" s="73"/>
    </row>
    <row r="165" spans="1:8" ht="15.75">
      <c r="A165" s="16"/>
      <c r="D165" s="73"/>
      <c r="E165" s="73"/>
      <c r="F165" s="73"/>
      <c r="G165" s="73"/>
      <c r="H165" s="73"/>
    </row>
    <row r="166" spans="1:8" ht="15.75">
      <c r="A166" s="16"/>
      <c r="D166" s="73"/>
      <c r="E166" s="73"/>
      <c r="F166" s="73"/>
      <c r="G166" s="73"/>
      <c r="H166" s="73"/>
    </row>
    <row r="167" spans="1:8" ht="15.75">
      <c r="A167" s="16"/>
      <c r="D167" s="73"/>
      <c r="E167" s="73"/>
      <c r="F167" s="73"/>
      <c r="G167" s="73"/>
      <c r="H167" s="73"/>
    </row>
    <row r="168" spans="1:8" ht="15.75">
      <c r="A168" s="16"/>
      <c r="D168" s="73"/>
      <c r="E168" s="73"/>
      <c r="F168" s="73"/>
      <c r="G168" s="73"/>
      <c r="H168" s="73"/>
    </row>
    <row r="169" spans="1:8" ht="15.75">
      <c r="A169" s="16"/>
      <c r="D169" s="73"/>
      <c r="E169" s="73"/>
      <c r="F169" s="73"/>
      <c r="G169" s="73"/>
      <c r="H169" s="73"/>
    </row>
    <row r="170" spans="1:8" ht="15.75">
      <c r="A170" s="16"/>
      <c r="D170" s="73"/>
      <c r="E170" s="73"/>
      <c r="F170" s="73"/>
      <c r="G170" s="73"/>
      <c r="H170" s="73"/>
    </row>
    <row r="171" spans="1:8" ht="15.75">
      <c r="A171" s="16"/>
      <c r="D171" s="73"/>
      <c r="E171" s="73"/>
      <c r="F171" s="73"/>
      <c r="G171" s="73"/>
      <c r="H171" s="73"/>
    </row>
    <row r="172" spans="1:8" ht="15.75">
      <c r="A172" s="16"/>
      <c r="D172" s="73"/>
      <c r="E172" s="73"/>
      <c r="F172" s="73"/>
      <c r="G172" s="73"/>
      <c r="H172" s="73"/>
    </row>
    <row r="173" spans="1:8" ht="15.75">
      <c r="A173" s="16"/>
      <c r="D173" s="73"/>
      <c r="E173" s="73"/>
      <c r="F173" s="73"/>
      <c r="G173" s="73"/>
      <c r="H173" s="73"/>
    </row>
    <row r="174" spans="1:8" ht="15.75">
      <c r="A174" s="16"/>
      <c r="D174" s="73"/>
      <c r="E174" s="73"/>
      <c r="F174" s="73"/>
      <c r="G174" s="73"/>
      <c r="H174" s="73"/>
    </row>
    <row r="175" spans="1:8" ht="15.75">
      <c r="A175" s="16"/>
      <c r="D175" s="73"/>
      <c r="E175" s="73"/>
      <c r="F175" s="73"/>
      <c r="G175" s="73"/>
      <c r="H175" s="73"/>
    </row>
    <row r="176" spans="1:8" ht="15.75">
      <c r="A176" s="16"/>
      <c r="D176" s="73"/>
      <c r="E176" s="73"/>
      <c r="F176" s="73"/>
      <c r="G176" s="73"/>
      <c r="H176" s="73"/>
    </row>
    <row r="177" spans="1:8" ht="15.75">
      <c r="A177" s="16"/>
      <c r="D177" s="73"/>
      <c r="E177" s="73"/>
      <c r="F177" s="73"/>
      <c r="G177" s="73"/>
      <c r="H177" s="73"/>
    </row>
    <row r="178" spans="1:8" ht="15.75">
      <c r="A178" s="16"/>
      <c r="D178" s="73"/>
      <c r="E178" s="73"/>
      <c r="F178" s="73"/>
      <c r="G178" s="73"/>
      <c r="H178" s="73"/>
    </row>
    <row r="179" spans="1:8" ht="15.75">
      <c r="A179" s="16"/>
      <c r="D179" s="73"/>
      <c r="E179" s="73"/>
      <c r="F179" s="73"/>
      <c r="G179" s="73"/>
      <c r="H179" s="73"/>
    </row>
    <row r="180" spans="1:8" ht="15.75">
      <c r="A180" s="16"/>
      <c r="D180" s="73"/>
      <c r="E180" s="73"/>
      <c r="F180" s="73"/>
      <c r="G180" s="73"/>
      <c r="H180" s="73"/>
    </row>
    <row r="181" spans="1:8" ht="15.75">
      <c r="A181" s="16"/>
      <c r="D181" s="73"/>
      <c r="E181" s="73"/>
      <c r="F181" s="73"/>
      <c r="G181" s="73"/>
      <c r="H181" s="73"/>
    </row>
    <row r="182" spans="1:8" ht="15.75">
      <c r="A182" s="16"/>
      <c r="D182" s="73"/>
      <c r="E182" s="73"/>
      <c r="F182" s="73"/>
      <c r="G182" s="73"/>
      <c r="H182" s="73"/>
    </row>
    <row r="183" spans="1:8" ht="15.75">
      <c r="A183" s="16"/>
      <c r="D183" s="73"/>
      <c r="E183" s="73"/>
      <c r="F183" s="73"/>
      <c r="G183" s="73"/>
      <c r="H183" s="73"/>
    </row>
    <row r="184" spans="1:8" ht="15.75">
      <c r="A184" s="16"/>
      <c r="D184" s="73"/>
      <c r="E184" s="73"/>
      <c r="F184" s="73"/>
      <c r="G184" s="73"/>
      <c r="H184" s="73"/>
    </row>
    <row r="185" spans="1:8" ht="15.75">
      <c r="A185" s="16"/>
      <c r="D185" s="73"/>
      <c r="E185" s="73"/>
      <c r="F185" s="73"/>
      <c r="G185" s="73"/>
      <c r="H185" s="73"/>
    </row>
    <row r="186" spans="1:8" ht="15.75">
      <c r="A186" s="16"/>
      <c r="D186" s="73"/>
      <c r="E186" s="73"/>
      <c r="F186" s="73"/>
      <c r="G186" s="73"/>
      <c r="H186" s="73"/>
    </row>
    <row r="187" spans="1:8" ht="15.75">
      <c r="A187" s="16"/>
      <c r="D187" s="73"/>
      <c r="E187" s="73"/>
      <c r="F187" s="73"/>
      <c r="G187" s="73"/>
      <c r="H187" s="73"/>
    </row>
    <row r="188" spans="1:8" ht="15.75">
      <c r="A188" s="16"/>
      <c r="D188" s="73"/>
      <c r="E188" s="73"/>
      <c r="F188" s="73"/>
      <c r="G188" s="73"/>
      <c r="H188" s="73"/>
    </row>
    <row r="189" spans="1:8" ht="15.75">
      <c r="A189" s="16"/>
      <c r="D189" s="73"/>
      <c r="E189" s="73"/>
      <c r="F189" s="73"/>
      <c r="G189" s="73"/>
      <c r="H189" s="73"/>
    </row>
    <row r="190" spans="1:8" ht="15.75">
      <c r="A190" s="16"/>
      <c r="D190" s="73"/>
      <c r="E190" s="73"/>
      <c r="F190" s="73"/>
      <c r="G190" s="73"/>
      <c r="H190" s="73"/>
    </row>
    <row r="191" spans="1:8" ht="15.75">
      <c r="A191" s="16"/>
      <c r="D191" s="73"/>
      <c r="E191" s="73"/>
      <c r="F191" s="73"/>
      <c r="G191" s="73"/>
      <c r="H191" s="73"/>
    </row>
    <row r="192" spans="1:8" ht="15.75">
      <c r="A192" s="16"/>
      <c r="D192" s="73"/>
      <c r="E192" s="73"/>
      <c r="F192" s="73"/>
      <c r="G192" s="73"/>
      <c r="H192" s="73"/>
    </row>
    <row r="193" spans="1:8" ht="15.75">
      <c r="A193" s="16"/>
      <c r="D193" s="73"/>
      <c r="E193" s="73"/>
      <c r="F193" s="73"/>
      <c r="G193" s="73"/>
      <c r="H193" s="73"/>
    </row>
    <row r="194" spans="1:8" ht="15.75">
      <c r="A194" s="16"/>
      <c r="D194" s="73"/>
      <c r="E194" s="73"/>
      <c r="F194" s="73"/>
      <c r="G194" s="73"/>
      <c r="H194" s="73"/>
    </row>
    <row r="195" spans="1:8" ht="15.75">
      <c r="A195" s="16"/>
      <c r="D195" s="73"/>
      <c r="E195" s="73"/>
      <c r="F195" s="73"/>
      <c r="G195" s="73"/>
      <c r="H195" s="73"/>
    </row>
    <row r="196" spans="1:8" ht="15.75">
      <c r="A196" s="16"/>
      <c r="D196" s="73"/>
      <c r="E196" s="73"/>
      <c r="F196" s="73"/>
      <c r="G196" s="73"/>
      <c r="H196" s="73"/>
    </row>
    <row r="197" spans="1:8" ht="15.75">
      <c r="A197" s="16"/>
      <c r="D197" s="73"/>
      <c r="E197" s="73"/>
      <c r="F197" s="73"/>
      <c r="G197" s="73"/>
      <c r="H197" s="73"/>
    </row>
    <row r="198" spans="1:8" ht="15.75">
      <c r="A198" s="16"/>
      <c r="D198" s="73"/>
      <c r="E198" s="73"/>
      <c r="F198" s="73"/>
      <c r="G198" s="73"/>
      <c r="H198" s="73"/>
    </row>
    <row r="199" spans="1:8" ht="15.75">
      <c r="A199" s="16"/>
      <c r="D199" s="73"/>
      <c r="E199" s="73"/>
      <c r="F199" s="73"/>
      <c r="G199" s="73"/>
      <c r="H199" s="73"/>
    </row>
    <row r="200" spans="1:8" ht="15.75">
      <c r="A200" s="16"/>
      <c r="D200" s="73"/>
      <c r="E200" s="73"/>
      <c r="F200" s="73"/>
      <c r="G200" s="73"/>
      <c r="H200" s="73"/>
    </row>
    <row r="201" spans="1:8" ht="15.75">
      <c r="A201" s="16"/>
      <c r="D201" s="73"/>
      <c r="E201" s="73"/>
      <c r="F201" s="73"/>
      <c r="G201" s="73"/>
      <c r="H201" s="73"/>
    </row>
    <row r="202" spans="1:8" ht="15.75">
      <c r="A202" s="16"/>
      <c r="D202" s="73"/>
      <c r="E202" s="73"/>
      <c r="F202" s="73"/>
      <c r="G202" s="73"/>
      <c r="H202" s="73"/>
    </row>
    <row r="203" spans="1:8" ht="15.75">
      <c r="A203" s="16"/>
      <c r="D203" s="73"/>
      <c r="E203" s="73"/>
      <c r="F203" s="73"/>
      <c r="G203" s="73"/>
      <c r="H203" s="73"/>
    </row>
    <row r="204" spans="1:8" ht="15.75">
      <c r="A204" s="16"/>
      <c r="D204" s="73"/>
      <c r="E204" s="73"/>
      <c r="F204" s="73"/>
      <c r="G204" s="73"/>
      <c r="H204" s="73"/>
    </row>
    <row r="205" spans="1:8" ht="15.75">
      <c r="A205" s="16"/>
      <c r="D205" s="73"/>
      <c r="E205" s="73"/>
      <c r="F205" s="73"/>
      <c r="G205" s="73"/>
      <c r="H205" s="73"/>
    </row>
    <row r="206" spans="1:8" ht="15.75">
      <c r="A206" s="16"/>
      <c r="D206" s="73"/>
      <c r="E206" s="73"/>
      <c r="F206" s="73"/>
      <c r="G206" s="73"/>
      <c r="H206" s="73"/>
    </row>
    <row r="207" spans="1:8" ht="15.75">
      <c r="A207" s="16"/>
      <c r="D207" s="73"/>
      <c r="E207" s="73"/>
      <c r="F207" s="73"/>
      <c r="G207" s="73"/>
      <c r="H207" s="73"/>
    </row>
    <row r="208" spans="1:8" ht="15.75">
      <c r="A208" s="16"/>
      <c r="D208" s="73"/>
      <c r="E208" s="73"/>
      <c r="F208" s="73"/>
      <c r="G208" s="73"/>
      <c r="H208" s="73"/>
    </row>
    <row r="209" spans="1:8" ht="15.75">
      <c r="A209" s="16"/>
      <c r="D209" s="73"/>
      <c r="E209" s="73"/>
      <c r="F209" s="73"/>
      <c r="G209" s="73"/>
      <c r="H209" s="73"/>
    </row>
    <row r="210" spans="1:8" ht="15.75">
      <c r="A210" s="16"/>
      <c r="D210" s="73"/>
      <c r="E210" s="73"/>
      <c r="F210" s="73"/>
      <c r="G210" s="73"/>
      <c r="H210" s="73"/>
    </row>
    <row r="211" spans="1:8" ht="15.75">
      <c r="A211" s="16"/>
      <c r="D211" s="73"/>
      <c r="E211" s="73"/>
      <c r="F211" s="73"/>
      <c r="G211" s="73"/>
      <c r="H211" s="73"/>
    </row>
    <row r="212" spans="1:8" ht="15.75">
      <c r="A212" s="16"/>
      <c r="D212" s="73"/>
      <c r="E212" s="73"/>
      <c r="F212" s="73"/>
      <c r="G212" s="73"/>
      <c r="H212" s="73"/>
    </row>
    <row r="213" spans="1:8" ht="15.75">
      <c r="A213" s="16"/>
      <c r="D213" s="73"/>
      <c r="E213" s="73"/>
      <c r="F213" s="73"/>
      <c r="G213" s="73"/>
      <c r="H213" s="73"/>
    </row>
    <row r="214" spans="1:8" ht="15.75">
      <c r="A214" s="16"/>
      <c r="D214" s="73"/>
      <c r="E214" s="73"/>
      <c r="F214" s="73"/>
      <c r="G214" s="73"/>
      <c r="H214" s="73"/>
    </row>
    <row r="215" spans="1:8" ht="15.75">
      <c r="A215" s="16"/>
      <c r="D215" s="73"/>
      <c r="E215" s="73"/>
      <c r="F215" s="73"/>
      <c r="G215" s="73"/>
      <c r="H215" s="73"/>
    </row>
    <row r="216" spans="1:8" ht="15.75">
      <c r="A216" s="16"/>
      <c r="D216" s="73"/>
      <c r="E216" s="73"/>
      <c r="F216" s="73"/>
      <c r="G216" s="73"/>
      <c r="H216" s="73"/>
    </row>
    <row r="217" spans="1:8" ht="15.75">
      <c r="A217" s="16"/>
      <c r="D217" s="73"/>
      <c r="E217" s="73"/>
      <c r="F217" s="73"/>
      <c r="G217" s="73"/>
      <c r="H217" s="73"/>
    </row>
    <row r="218" spans="1:8" ht="15.75">
      <c r="A218" s="16"/>
      <c r="D218" s="73"/>
      <c r="E218" s="73"/>
      <c r="F218" s="73"/>
      <c r="G218" s="73"/>
      <c r="H218" s="73"/>
    </row>
    <row r="219" spans="1:8" ht="15.75">
      <c r="A219" s="16"/>
      <c r="D219" s="73"/>
      <c r="E219" s="73"/>
      <c r="F219" s="73"/>
      <c r="G219" s="73"/>
      <c r="H219" s="73"/>
    </row>
    <row r="220" spans="1:8" ht="15.75">
      <c r="A220" s="16"/>
      <c r="D220" s="73"/>
      <c r="E220" s="73"/>
      <c r="F220" s="73"/>
      <c r="G220" s="73"/>
      <c r="H220" s="73"/>
    </row>
    <row r="221" spans="1:8" ht="15.75">
      <c r="A221" s="16"/>
      <c r="D221" s="73"/>
      <c r="E221" s="73"/>
      <c r="F221" s="73"/>
      <c r="G221" s="73"/>
      <c r="H221" s="73"/>
    </row>
    <row r="222" spans="1:8" ht="15.75">
      <c r="A222" s="16"/>
      <c r="D222" s="73"/>
      <c r="E222" s="73"/>
      <c r="F222" s="73"/>
      <c r="G222" s="73"/>
      <c r="H222" s="73"/>
    </row>
    <row r="223" spans="1:8" ht="15.75">
      <c r="A223" s="16"/>
      <c r="D223" s="73"/>
      <c r="E223" s="73"/>
      <c r="F223" s="73"/>
      <c r="G223" s="73"/>
      <c r="H223" s="73"/>
    </row>
    <row r="224" spans="1:8" ht="15.75">
      <c r="A224" s="16"/>
      <c r="D224" s="73"/>
      <c r="E224" s="73"/>
      <c r="F224" s="73"/>
      <c r="G224" s="73"/>
      <c r="H224" s="73"/>
    </row>
    <row r="225" spans="1:8" ht="15.75">
      <c r="A225" s="16"/>
      <c r="D225" s="73"/>
      <c r="E225" s="73"/>
      <c r="F225" s="73"/>
      <c r="G225" s="73"/>
      <c r="H225" s="73"/>
    </row>
    <row r="226" spans="1:8" ht="15.75">
      <c r="A226" s="16"/>
      <c r="D226" s="73"/>
      <c r="E226" s="73"/>
      <c r="F226" s="73"/>
      <c r="G226" s="73"/>
      <c r="H226" s="73"/>
    </row>
    <row r="227" spans="1:8" ht="15.75">
      <c r="A227" s="16"/>
      <c r="D227" s="73"/>
      <c r="E227" s="73"/>
      <c r="F227" s="73"/>
      <c r="G227" s="73"/>
      <c r="H227" s="73"/>
    </row>
    <row r="228" spans="1:8" ht="15.75">
      <c r="A228" s="16"/>
      <c r="D228" s="73"/>
      <c r="E228" s="73"/>
      <c r="F228" s="73"/>
      <c r="G228" s="73"/>
      <c r="H228" s="73"/>
    </row>
    <row r="229" spans="1:8" ht="15.75">
      <c r="A229" s="16"/>
      <c r="D229" s="73"/>
      <c r="E229" s="73"/>
      <c r="F229" s="73"/>
      <c r="G229" s="73"/>
      <c r="H229" s="73"/>
    </row>
    <row r="230" spans="1:8" ht="15.75">
      <c r="A230" s="16"/>
      <c r="D230" s="73"/>
      <c r="E230" s="73"/>
      <c r="F230" s="73"/>
      <c r="G230" s="73"/>
      <c r="H230" s="73"/>
    </row>
    <row r="231" spans="1:8" ht="15.75">
      <c r="A231" s="16"/>
      <c r="D231" s="73"/>
      <c r="E231" s="73"/>
      <c r="F231" s="73"/>
      <c r="G231" s="73"/>
      <c r="H231" s="73"/>
    </row>
    <row r="232" spans="1:8" ht="15.75">
      <c r="A232" s="16"/>
      <c r="D232" s="73"/>
      <c r="E232" s="73"/>
      <c r="F232" s="73"/>
      <c r="G232" s="73"/>
      <c r="H232" s="73"/>
    </row>
    <row r="233" spans="1:8" ht="15.75">
      <c r="A233" s="16"/>
      <c r="D233" s="73"/>
      <c r="E233" s="73"/>
      <c r="F233" s="73"/>
      <c r="G233" s="73"/>
      <c r="H233" s="73"/>
    </row>
    <row r="234" spans="1:8" ht="15.75">
      <c r="A234" s="16"/>
      <c r="D234" s="73"/>
      <c r="E234" s="73"/>
      <c r="F234" s="73"/>
      <c r="G234" s="73"/>
      <c r="H234" s="73"/>
    </row>
    <row r="235" spans="1:8" ht="15.75">
      <c r="A235" s="16"/>
      <c r="D235" s="73"/>
      <c r="E235" s="73"/>
      <c r="F235" s="73"/>
      <c r="G235" s="73"/>
      <c r="H235" s="73"/>
    </row>
    <row r="236" spans="1:8" ht="15.75">
      <c r="A236" s="16"/>
      <c r="D236" s="73"/>
      <c r="E236" s="73"/>
      <c r="F236" s="73"/>
      <c r="G236" s="73"/>
      <c r="H236" s="73"/>
    </row>
    <row r="237" spans="1:8" ht="15.75">
      <c r="A237" s="16"/>
      <c r="D237" s="73"/>
      <c r="E237" s="73"/>
      <c r="F237" s="73"/>
      <c r="G237" s="73"/>
      <c r="H237" s="73"/>
    </row>
    <row r="238" spans="1:8" ht="15.75">
      <c r="A238" s="16"/>
      <c r="D238" s="73"/>
      <c r="E238" s="73"/>
      <c r="F238" s="73"/>
      <c r="G238" s="73"/>
      <c r="H238" s="73"/>
    </row>
    <row r="239" spans="1:8" ht="15.75">
      <c r="A239" s="16"/>
      <c r="D239" s="73"/>
      <c r="E239" s="73"/>
      <c r="F239" s="73"/>
      <c r="G239" s="73"/>
      <c r="H239" s="73"/>
    </row>
    <row r="240" spans="1:8" ht="15.75">
      <c r="A240" s="16"/>
      <c r="D240" s="73"/>
      <c r="E240" s="73"/>
      <c r="F240" s="73"/>
      <c r="G240" s="73"/>
      <c r="H240" s="73"/>
    </row>
    <row r="241" spans="1:8" ht="15.75">
      <c r="A241" s="16"/>
      <c r="D241" s="73"/>
      <c r="E241" s="73"/>
      <c r="F241" s="73"/>
      <c r="G241" s="73"/>
      <c r="H241" s="73"/>
    </row>
    <row r="242" spans="1:8" ht="15.75">
      <c r="A242" s="16"/>
      <c r="D242" s="73"/>
      <c r="E242" s="73"/>
      <c r="F242" s="73"/>
      <c r="G242" s="73"/>
      <c r="H242" s="73"/>
    </row>
    <row r="243" spans="1:8" ht="15.75">
      <c r="A243" s="16"/>
      <c r="D243" s="73"/>
      <c r="E243" s="73"/>
      <c r="F243" s="73"/>
      <c r="G243" s="73"/>
      <c r="H243" s="73"/>
    </row>
    <row r="244" spans="1:8" ht="15.75">
      <c r="A244" s="16"/>
      <c r="D244" s="73"/>
      <c r="E244" s="73"/>
      <c r="F244" s="73"/>
      <c r="G244" s="73"/>
      <c r="H244" s="73"/>
    </row>
    <row r="245" spans="1:8" ht="15.75">
      <c r="A245" s="16"/>
      <c r="D245" s="73"/>
      <c r="E245" s="73"/>
      <c r="F245" s="73"/>
      <c r="G245" s="73"/>
      <c r="H245" s="73"/>
    </row>
    <row r="246" spans="1:8" ht="15.75">
      <c r="A246" s="16"/>
      <c r="D246" s="73"/>
      <c r="E246" s="73"/>
      <c r="F246" s="73"/>
      <c r="G246" s="73"/>
      <c r="H246" s="73"/>
    </row>
    <row r="247" spans="1:8" ht="15.75">
      <c r="A247" s="16"/>
      <c r="D247" s="73"/>
      <c r="E247" s="73"/>
      <c r="F247" s="73"/>
      <c r="G247" s="73"/>
      <c r="H247" s="73"/>
    </row>
    <row r="248" spans="1:8" ht="15.75">
      <c r="A248" s="16"/>
      <c r="D248" s="73"/>
      <c r="E248" s="73"/>
      <c r="F248" s="73"/>
      <c r="G248" s="73"/>
      <c r="H248" s="73"/>
    </row>
    <row r="249" spans="1:8" ht="15.75">
      <c r="A249" s="16"/>
      <c r="D249" s="73"/>
      <c r="E249" s="73"/>
      <c r="F249" s="73"/>
      <c r="G249" s="73"/>
      <c r="H249" s="73"/>
    </row>
    <row r="250" spans="1:8" ht="15.75">
      <c r="A250" s="16"/>
      <c r="D250" s="73"/>
      <c r="E250" s="73"/>
      <c r="F250" s="73"/>
      <c r="G250" s="73"/>
      <c r="H250" s="73"/>
    </row>
    <row r="251" spans="1:8" ht="15.75">
      <c r="A251" s="16"/>
      <c r="D251" s="73"/>
      <c r="E251" s="73"/>
      <c r="F251" s="73"/>
      <c r="G251" s="73"/>
      <c r="H251" s="73"/>
    </row>
    <row r="252" spans="1:8" ht="15.75">
      <c r="A252" s="16"/>
      <c r="D252" s="73"/>
      <c r="E252" s="73"/>
      <c r="F252" s="73"/>
      <c r="G252" s="73"/>
      <c r="H252" s="73"/>
    </row>
    <row r="253" spans="1:8" ht="15.75">
      <c r="A253" s="16"/>
      <c r="D253" s="73"/>
      <c r="E253" s="73"/>
      <c r="F253" s="73"/>
      <c r="G253" s="73"/>
      <c r="H253" s="73"/>
    </row>
    <row r="254" spans="1:8" ht="15.75">
      <c r="A254" s="16"/>
      <c r="D254" s="73"/>
      <c r="E254" s="73"/>
      <c r="F254" s="73"/>
      <c r="G254" s="73"/>
      <c r="H254" s="73"/>
    </row>
    <row r="255" spans="1:8" ht="15.75">
      <c r="A255" s="16"/>
      <c r="D255" s="73"/>
      <c r="E255" s="73"/>
      <c r="F255" s="73"/>
      <c r="G255" s="73"/>
      <c r="H255" s="73"/>
    </row>
    <row r="256" spans="1:8" ht="15.75">
      <c r="A256" s="16"/>
      <c r="D256" s="73"/>
      <c r="E256" s="73"/>
      <c r="F256" s="73"/>
      <c r="G256" s="73"/>
      <c r="H256" s="73"/>
    </row>
    <row r="257" spans="1:8" ht="15.75">
      <c r="A257" s="16"/>
      <c r="D257" s="73"/>
      <c r="E257" s="73"/>
      <c r="F257" s="73"/>
      <c r="G257" s="73"/>
      <c r="H257" s="73"/>
    </row>
    <row r="258" spans="1:8" ht="15.75">
      <c r="A258" s="16"/>
      <c r="D258" s="73"/>
      <c r="E258" s="73"/>
      <c r="F258" s="73"/>
      <c r="G258" s="73"/>
      <c r="H258" s="73"/>
    </row>
    <row r="259" spans="1:8" ht="15.75">
      <c r="A259" s="16"/>
      <c r="D259" s="73"/>
      <c r="E259" s="73"/>
      <c r="F259" s="73"/>
      <c r="G259" s="73"/>
      <c r="H259" s="73"/>
    </row>
    <row r="260" spans="1:8" ht="15.75">
      <c r="A260" s="16"/>
      <c r="D260" s="73"/>
      <c r="E260" s="73"/>
      <c r="F260" s="73"/>
      <c r="G260" s="73"/>
      <c r="H260" s="73"/>
    </row>
    <row r="261" spans="1:8" ht="15.75">
      <c r="A261" s="16"/>
      <c r="D261" s="73"/>
      <c r="E261" s="73"/>
      <c r="F261" s="73"/>
      <c r="G261" s="73"/>
      <c r="H261" s="73"/>
    </row>
    <row r="262" spans="1:8" ht="15.75">
      <c r="A262" s="16"/>
      <c r="D262" s="73"/>
      <c r="E262" s="73"/>
      <c r="F262" s="73"/>
      <c r="G262" s="73"/>
      <c r="H262" s="73"/>
    </row>
    <row r="263" spans="1:8" ht="15.75">
      <c r="A263" s="16"/>
      <c r="D263" s="73"/>
      <c r="E263" s="73"/>
      <c r="F263" s="73"/>
      <c r="G263" s="73"/>
      <c r="H263" s="73"/>
    </row>
    <row r="264" spans="1:8" ht="15.75">
      <c r="A264" s="16"/>
      <c r="D264" s="73"/>
      <c r="E264" s="73"/>
      <c r="F264" s="73"/>
      <c r="G264" s="73"/>
      <c r="H264" s="73"/>
    </row>
    <row r="265" spans="1:8" ht="15.75">
      <c r="A265" s="16"/>
      <c r="D265" s="73"/>
      <c r="E265" s="73"/>
      <c r="F265" s="73"/>
      <c r="G265" s="73"/>
      <c r="H265" s="73"/>
    </row>
    <row r="266" spans="1:8" ht="15.75">
      <c r="A266" s="16"/>
      <c r="D266" s="73"/>
      <c r="E266" s="73"/>
      <c r="F266" s="73"/>
      <c r="G266" s="73"/>
      <c r="H266" s="73"/>
    </row>
    <row r="267" spans="1:8" ht="15.75">
      <c r="A267" s="16"/>
      <c r="D267" s="73"/>
      <c r="E267" s="73"/>
      <c r="F267" s="73"/>
      <c r="G267" s="73"/>
      <c r="H267" s="73"/>
    </row>
    <row r="268" spans="1:8" ht="15.75">
      <c r="A268" s="16"/>
      <c r="D268" s="73"/>
      <c r="E268" s="73"/>
      <c r="F268" s="73"/>
      <c r="G268" s="73"/>
      <c r="H268" s="73"/>
    </row>
    <row r="269" spans="1:8" ht="15.75">
      <c r="A269" s="16"/>
      <c r="D269" s="73"/>
      <c r="E269" s="73"/>
      <c r="F269" s="73"/>
      <c r="G269" s="73"/>
      <c r="H269" s="73"/>
    </row>
    <row r="270" spans="1:8" ht="15.75">
      <c r="A270" s="16"/>
      <c r="D270" s="73"/>
      <c r="E270" s="73"/>
      <c r="F270" s="73"/>
      <c r="G270" s="73"/>
      <c r="H270" s="73"/>
    </row>
    <row r="271" spans="1:8" ht="15.75">
      <c r="A271" s="16"/>
      <c r="D271" s="73"/>
      <c r="E271" s="73"/>
      <c r="F271" s="73"/>
      <c r="G271" s="73"/>
      <c r="H271" s="73"/>
    </row>
    <row r="272" spans="1:8" ht="15.75">
      <c r="A272" s="16"/>
      <c r="D272" s="73"/>
      <c r="E272" s="73"/>
      <c r="F272" s="73"/>
      <c r="G272" s="73"/>
      <c r="H272" s="73"/>
    </row>
    <row r="273" spans="1:8" ht="15.75">
      <c r="A273" s="16"/>
      <c r="D273" s="73"/>
      <c r="E273" s="73"/>
      <c r="F273" s="73"/>
      <c r="G273" s="73"/>
      <c r="H273" s="73"/>
    </row>
    <row r="274" spans="1:8" ht="15.75">
      <c r="A274" s="16"/>
      <c r="D274" s="73"/>
      <c r="E274" s="73"/>
      <c r="F274" s="73"/>
      <c r="G274" s="73"/>
      <c r="H274" s="73"/>
    </row>
    <row r="275" spans="1:8" ht="15.75">
      <c r="A275" s="16"/>
      <c r="D275" s="73"/>
      <c r="E275" s="73"/>
      <c r="F275" s="73"/>
      <c r="G275" s="73"/>
      <c r="H275" s="73"/>
    </row>
    <row r="276" spans="1:8" ht="15.75">
      <c r="A276" s="16"/>
      <c r="D276" s="73"/>
      <c r="E276" s="73"/>
      <c r="F276" s="73"/>
      <c r="G276" s="73"/>
      <c r="H276" s="73"/>
    </row>
    <row r="277" spans="1:8" ht="15.75">
      <c r="A277" s="16"/>
      <c r="D277" s="73"/>
      <c r="E277" s="73"/>
      <c r="F277" s="73"/>
      <c r="G277" s="73"/>
      <c r="H277" s="73"/>
    </row>
    <row r="278" spans="1:8" ht="15.75">
      <c r="A278" s="16"/>
      <c r="D278" s="73"/>
      <c r="E278" s="73"/>
      <c r="F278" s="73"/>
      <c r="G278" s="73"/>
      <c r="H278" s="73"/>
    </row>
    <row r="279" spans="1:8" ht="15.75">
      <c r="A279" s="16"/>
      <c r="D279" s="73"/>
      <c r="E279" s="73"/>
      <c r="F279" s="73"/>
      <c r="G279" s="73"/>
      <c r="H279" s="73"/>
    </row>
    <row r="280" spans="1:8" ht="15.75">
      <c r="A280" s="16"/>
      <c r="D280" s="73"/>
      <c r="E280" s="73"/>
      <c r="F280" s="73"/>
      <c r="G280" s="73"/>
      <c r="H280" s="73"/>
    </row>
    <row r="281" spans="1:8" ht="15.75">
      <c r="A281" s="16"/>
      <c r="D281" s="73"/>
      <c r="E281" s="73"/>
      <c r="F281" s="73"/>
      <c r="G281" s="73"/>
      <c r="H281" s="73"/>
    </row>
    <row r="282" spans="1:8" ht="15.75">
      <c r="A282" s="16"/>
      <c r="D282" s="73"/>
      <c r="E282" s="73"/>
      <c r="F282" s="73"/>
      <c r="G282" s="73"/>
      <c r="H282" s="73"/>
    </row>
    <row r="283" spans="1:8" ht="15.75">
      <c r="A283" s="16"/>
      <c r="D283" s="73"/>
      <c r="E283" s="73"/>
      <c r="F283" s="73"/>
      <c r="G283" s="73"/>
      <c r="H283" s="73"/>
    </row>
    <row r="284" spans="1:8" ht="15.75">
      <c r="A284" s="16"/>
      <c r="D284" s="73"/>
      <c r="E284" s="73"/>
      <c r="F284" s="73"/>
      <c r="G284" s="73"/>
      <c r="H284" s="73"/>
    </row>
    <row r="285" spans="1:8" ht="15.75">
      <c r="A285" s="16"/>
      <c r="D285" s="73"/>
      <c r="E285" s="73"/>
      <c r="F285" s="73"/>
      <c r="G285" s="73"/>
      <c r="H285" s="73"/>
    </row>
    <row r="286" spans="1:8" ht="15.75">
      <c r="A286" s="16"/>
      <c r="D286" s="73"/>
      <c r="E286" s="73"/>
      <c r="F286" s="73"/>
      <c r="G286" s="73"/>
      <c r="H286" s="73"/>
    </row>
    <row r="287" spans="1:8" ht="15.75">
      <c r="A287" s="16"/>
      <c r="D287" s="73"/>
      <c r="E287" s="73"/>
      <c r="F287" s="73"/>
      <c r="G287" s="73"/>
      <c r="H287" s="73"/>
    </row>
    <row r="288" spans="1:8" ht="15.75">
      <c r="A288" s="16"/>
      <c r="D288" s="73"/>
      <c r="E288" s="73"/>
      <c r="F288" s="73"/>
      <c r="G288" s="73"/>
      <c r="H288" s="73"/>
    </row>
    <row r="289" spans="1:8" ht="15.75">
      <c r="A289" s="16"/>
      <c r="D289" s="73"/>
      <c r="E289" s="73"/>
      <c r="F289" s="73"/>
      <c r="G289" s="73"/>
      <c r="H289" s="73"/>
    </row>
    <row r="290" spans="1:8" ht="15.75">
      <c r="A290" s="16"/>
      <c r="D290" s="73"/>
      <c r="E290" s="73"/>
      <c r="F290" s="73"/>
      <c r="G290" s="73"/>
      <c r="H290" s="73"/>
    </row>
    <row r="291" spans="1:8" ht="15.75">
      <c r="A291" s="16"/>
      <c r="D291" s="73"/>
      <c r="E291" s="73"/>
      <c r="F291" s="73"/>
      <c r="G291" s="73"/>
      <c r="H291" s="73"/>
    </row>
    <row r="292" spans="1:8" ht="15.75">
      <c r="A292" s="16"/>
      <c r="D292" s="73"/>
      <c r="E292" s="73"/>
      <c r="F292" s="73"/>
      <c r="G292" s="73"/>
      <c r="H292" s="73"/>
    </row>
    <row r="293" spans="1:8" ht="15.75">
      <c r="A293" s="16"/>
      <c r="D293" s="73"/>
      <c r="E293" s="73"/>
      <c r="F293" s="73"/>
      <c r="G293" s="73"/>
      <c r="H293" s="73"/>
    </row>
    <row r="294" spans="1:8" ht="15.75">
      <c r="A294" s="16"/>
      <c r="D294" s="73"/>
      <c r="E294" s="73"/>
      <c r="F294" s="73"/>
      <c r="G294" s="73"/>
      <c r="H294" s="73"/>
    </row>
    <row r="295" spans="1:8" ht="15.75">
      <c r="A295" s="16"/>
      <c r="D295" s="73"/>
      <c r="E295" s="73"/>
      <c r="F295" s="73"/>
      <c r="G295" s="73"/>
      <c r="H295" s="73"/>
    </row>
    <row r="296" spans="1:8" ht="15.75">
      <c r="A296" s="16"/>
      <c r="D296" s="73"/>
      <c r="E296" s="73"/>
      <c r="F296" s="73"/>
      <c r="G296" s="73"/>
      <c r="H296" s="73"/>
    </row>
    <row r="297" spans="1:8" ht="15.75">
      <c r="A297" s="16"/>
      <c r="D297" s="73"/>
      <c r="E297" s="73"/>
      <c r="F297" s="73"/>
      <c r="G297" s="73"/>
      <c r="H297" s="73"/>
    </row>
    <row r="298" spans="1:8" ht="15.75">
      <c r="A298" s="16"/>
      <c r="D298" s="73"/>
      <c r="E298" s="73"/>
      <c r="F298" s="73"/>
      <c r="G298" s="73"/>
      <c r="H298" s="73"/>
    </row>
    <row r="299" spans="1:8" ht="15.75">
      <c r="A299" s="16"/>
      <c r="D299" s="73"/>
      <c r="E299" s="73"/>
      <c r="F299" s="73"/>
      <c r="G299" s="73"/>
      <c r="H299" s="73"/>
    </row>
    <row r="300" spans="1:8" ht="15.75">
      <c r="A300" s="16"/>
      <c r="D300" s="73"/>
      <c r="E300" s="73"/>
      <c r="F300" s="73"/>
      <c r="G300" s="73"/>
      <c r="H300" s="73"/>
    </row>
    <row r="301" spans="1:8" ht="15.75">
      <c r="A301" s="16"/>
      <c r="D301" s="73"/>
      <c r="E301" s="73"/>
      <c r="F301" s="73"/>
      <c r="G301" s="73"/>
      <c r="H301" s="73"/>
    </row>
    <row r="302" spans="1:8" ht="15.75">
      <c r="A302" s="16"/>
      <c r="D302" s="73"/>
      <c r="E302" s="73"/>
      <c r="F302" s="73"/>
      <c r="G302" s="73"/>
      <c r="H302" s="73"/>
    </row>
    <row r="303" spans="1:8" ht="15.75">
      <c r="A303" s="16"/>
      <c r="D303" s="73"/>
      <c r="E303" s="73"/>
      <c r="F303" s="73"/>
      <c r="G303" s="73"/>
      <c r="H303" s="73"/>
    </row>
    <row r="304" spans="1:8" ht="15.75">
      <c r="A304" s="16"/>
      <c r="D304" s="73"/>
      <c r="E304" s="73"/>
      <c r="F304" s="73"/>
      <c r="G304" s="73"/>
      <c r="H304" s="73"/>
    </row>
    <row r="305" spans="1:8" ht="15.75">
      <c r="A305" s="16"/>
      <c r="D305" s="73"/>
      <c r="E305" s="73"/>
      <c r="F305" s="73"/>
      <c r="G305" s="73"/>
      <c r="H305" s="73"/>
    </row>
    <row r="306" spans="1:8" ht="15.75">
      <c r="A306" s="16"/>
      <c r="D306" s="73"/>
      <c r="E306" s="73"/>
      <c r="F306" s="73"/>
      <c r="G306" s="73"/>
      <c r="H306" s="73"/>
    </row>
    <row r="307" spans="1:8" ht="15.75">
      <c r="A307" s="16"/>
      <c r="D307" s="73"/>
      <c r="E307" s="73"/>
      <c r="F307" s="73"/>
      <c r="G307" s="73"/>
      <c r="H307" s="73"/>
    </row>
    <row r="308" spans="1:8" ht="15.75">
      <c r="A308" s="16"/>
      <c r="D308" s="73"/>
      <c r="E308" s="73"/>
      <c r="F308" s="73"/>
      <c r="G308" s="73"/>
      <c r="H308" s="73"/>
    </row>
    <row r="309" spans="1:8" ht="15.75">
      <c r="A309" s="16"/>
      <c r="D309" s="73"/>
      <c r="E309" s="73"/>
      <c r="F309" s="73"/>
      <c r="G309" s="73"/>
      <c r="H309" s="73"/>
    </row>
    <row r="310" spans="1:8" ht="15.75">
      <c r="A310" s="16"/>
      <c r="D310" s="73"/>
      <c r="E310" s="73"/>
      <c r="F310" s="73"/>
      <c r="G310" s="73"/>
      <c r="H310" s="73"/>
    </row>
    <row r="311" spans="1:8" ht="15.75">
      <c r="A311" s="16"/>
      <c r="D311" s="73"/>
      <c r="E311" s="73"/>
      <c r="F311" s="73"/>
      <c r="G311" s="73"/>
      <c r="H311" s="73"/>
    </row>
    <row r="312" spans="1:8" ht="15.75">
      <c r="A312" s="16"/>
      <c r="D312" s="73"/>
      <c r="E312" s="73"/>
      <c r="F312" s="73"/>
      <c r="G312" s="73"/>
      <c r="H312" s="73"/>
    </row>
    <row r="313" spans="1:8" ht="15.75">
      <c r="A313" s="16"/>
      <c r="D313" s="73"/>
      <c r="E313" s="73"/>
      <c r="F313" s="73"/>
      <c r="G313" s="73"/>
      <c r="H313" s="73"/>
    </row>
    <row r="314" spans="1:8" ht="15.75">
      <c r="A314" s="16"/>
      <c r="D314" s="73"/>
      <c r="E314" s="73"/>
      <c r="F314" s="73"/>
      <c r="G314" s="73"/>
      <c r="H314" s="73"/>
    </row>
    <row r="315" spans="1:8" ht="15.75">
      <c r="A315" s="16"/>
      <c r="D315" s="73"/>
      <c r="E315" s="73"/>
      <c r="F315" s="73"/>
      <c r="G315" s="73"/>
      <c r="H315" s="73"/>
    </row>
    <row r="316" spans="1:8" ht="15.75">
      <c r="A316" s="16"/>
      <c r="D316" s="73"/>
      <c r="E316" s="73"/>
      <c r="F316" s="73"/>
      <c r="G316" s="73"/>
      <c r="H316" s="73"/>
    </row>
    <row r="317" spans="1:8" ht="15.75">
      <c r="A317" s="16"/>
      <c r="D317" s="73"/>
      <c r="E317" s="73"/>
      <c r="F317" s="73"/>
      <c r="G317" s="73"/>
      <c r="H317" s="73"/>
    </row>
    <row r="318" spans="1:8" ht="15.75">
      <c r="A318" s="16"/>
      <c r="D318" s="73"/>
      <c r="E318" s="73"/>
      <c r="F318" s="73"/>
      <c r="G318" s="73"/>
      <c r="H318" s="73"/>
    </row>
    <row r="319" spans="1:8" ht="15.75">
      <c r="A319" s="16"/>
      <c r="D319" s="73"/>
      <c r="E319" s="73"/>
      <c r="F319" s="73"/>
      <c r="G319" s="73"/>
      <c r="H319" s="73"/>
    </row>
    <row r="320" spans="1:8" ht="15.75">
      <c r="A320" s="16"/>
      <c r="D320" s="73"/>
      <c r="E320" s="73"/>
      <c r="F320" s="73"/>
      <c r="G320" s="73"/>
      <c r="H320" s="73"/>
    </row>
    <row r="321" spans="1:8" ht="15.75">
      <c r="A321" s="16"/>
      <c r="D321" s="73"/>
      <c r="E321" s="73"/>
      <c r="F321" s="73"/>
      <c r="G321" s="73"/>
      <c r="H321" s="73"/>
    </row>
    <row r="322" spans="1:8" ht="15.75">
      <c r="A322" s="16"/>
      <c r="D322" s="73"/>
      <c r="E322" s="73"/>
      <c r="F322" s="73"/>
      <c r="G322" s="73"/>
      <c r="H322" s="73"/>
    </row>
    <row r="323" spans="1:8" ht="15.75">
      <c r="A323" s="16"/>
      <c r="D323" s="73"/>
      <c r="E323" s="73"/>
      <c r="F323" s="73"/>
      <c r="G323" s="73"/>
      <c r="H323" s="73"/>
    </row>
    <row r="324" spans="1:8" ht="15.75">
      <c r="A324" s="16"/>
      <c r="D324" s="73"/>
      <c r="E324" s="73"/>
      <c r="F324" s="73"/>
      <c r="G324" s="73"/>
      <c r="H324" s="73"/>
    </row>
    <row r="325" spans="1:8" ht="15.75">
      <c r="A325" s="16"/>
      <c r="D325" s="73"/>
      <c r="E325" s="73"/>
      <c r="F325" s="73"/>
      <c r="G325" s="73"/>
      <c r="H325" s="73"/>
    </row>
    <row r="326" spans="1:8" ht="15.75">
      <c r="A326" s="16"/>
      <c r="D326" s="73"/>
      <c r="E326" s="73"/>
      <c r="F326" s="73"/>
      <c r="G326" s="73"/>
      <c r="H326" s="73"/>
    </row>
    <row r="327" spans="1:8" ht="15.75">
      <c r="A327" s="16"/>
      <c r="D327" s="73"/>
      <c r="E327" s="73"/>
      <c r="F327" s="73"/>
      <c r="G327" s="73"/>
      <c r="H327" s="73"/>
    </row>
    <row r="328" spans="1:8" ht="15.75">
      <c r="A328" s="16"/>
      <c r="D328" s="73"/>
      <c r="E328" s="73"/>
      <c r="F328" s="73"/>
      <c r="G328" s="73"/>
      <c r="H328" s="73"/>
    </row>
    <row r="329" spans="1:8" ht="15.75">
      <c r="A329" s="16"/>
      <c r="D329" s="73"/>
      <c r="E329" s="73"/>
      <c r="F329" s="73"/>
      <c r="G329" s="73"/>
      <c r="H329" s="73"/>
    </row>
    <row r="330" spans="1:8" ht="15.75">
      <c r="A330" s="16"/>
      <c r="D330" s="73"/>
      <c r="E330" s="73"/>
      <c r="F330" s="73"/>
      <c r="G330" s="73"/>
      <c r="H330" s="73"/>
    </row>
    <row r="331" spans="1:8" ht="15.75">
      <c r="A331" s="16"/>
      <c r="D331" s="73"/>
      <c r="E331" s="73"/>
      <c r="F331" s="73"/>
      <c r="G331" s="73"/>
      <c r="H331" s="73"/>
    </row>
    <row r="332" spans="1:8" ht="15.75">
      <c r="A332" s="16"/>
      <c r="D332" s="73"/>
      <c r="E332" s="73"/>
      <c r="F332" s="73"/>
      <c r="G332" s="73"/>
      <c r="H332" s="73"/>
    </row>
    <row r="333" spans="1:8" ht="15.75">
      <c r="A333" s="16"/>
      <c r="D333" s="73"/>
      <c r="E333" s="73"/>
      <c r="F333" s="73"/>
      <c r="G333" s="73"/>
      <c r="H333" s="73"/>
    </row>
    <row r="334" spans="1:8" ht="15.75">
      <c r="A334" s="16"/>
      <c r="D334" s="73"/>
      <c r="E334" s="73"/>
      <c r="F334" s="73"/>
      <c r="G334" s="73"/>
      <c r="H334" s="73"/>
    </row>
    <row r="335" spans="1:8" ht="15.75">
      <c r="A335" s="16"/>
      <c r="D335" s="73"/>
      <c r="E335" s="73"/>
      <c r="F335" s="73"/>
      <c r="G335" s="73"/>
      <c r="H335" s="73"/>
    </row>
    <row r="336" spans="1:8" ht="15.75">
      <c r="A336" s="16"/>
      <c r="D336" s="73"/>
      <c r="E336" s="73"/>
      <c r="F336" s="73"/>
      <c r="G336" s="73"/>
      <c r="H336" s="73"/>
    </row>
    <row r="337" spans="1:8" ht="15.75">
      <c r="A337" s="16"/>
      <c r="D337" s="73"/>
      <c r="E337" s="73"/>
      <c r="F337" s="73"/>
      <c r="G337" s="73"/>
      <c r="H337" s="73"/>
    </row>
    <row r="338" spans="1:8" ht="15.75">
      <c r="A338" s="16"/>
      <c r="D338" s="73"/>
      <c r="E338" s="73"/>
      <c r="F338" s="73"/>
      <c r="G338" s="73"/>
      <c r="H338" s="73"/>
    </row>
    <row r="339" spans="1:8" ht="15.75">
      <c r="A339" s="16"/>
      <c r="D339" s="73"/>
      <c r="E339" s="73"/>
      <c r="F339" s="73"/>
      <c r="G339" s="73"/>
      <c r="H339" s="73"/>
    </row>
    <row r="340" spans="1:8" ht="15.75">
      <c r="A340" s="16"/>
      <c r="D340" s="73"/>
      <c r="E340" s="73"/>
      <c r="F340" s="73"/>
      <c r="G340" s="73"/>
      <c r="H340" s="73"/>
    </row>
    <row r="341" spans="1:8" ht="15.75">
      <c r="A341" s="16"/>
      <c r="D341" s="73"/>
      <c r="E341" s="73"/>
      <c r="F341" s="73"/>
      <c r="G341" s="73"/>
      <c r="H341" s="73"/>
    </row>
    <row r="342" spans="1:8" ht="15.75">
      <c r="A342" s="16"/>
      <c r="D342" s="73"/>
      <c r="E342" s="73"/>
      <c r="F342" s="73"/>
      <c r="G342" s="73"/>
      <c r="H342" s="73"/>
    </row>
    <row r="343" spans="1:8" ht="15.75">
      <c r="A343" s="16"/>
      <c r="D343" s="73"/>
      <c r="E343" s="73"/>
      <c r="F343" s="73"/>
      <c r="G343" s="73"/>
      <c r="H343" s="73"/>
    </row>
    <row r="344" spans="1:8" ht="15.75">
      <c r="A344" s="16"/>
      <c r="D344" s="73"/>
      <c r="E344" s="73"/>
      <c r="F344" s="73"/>
      <c r="G344" s="73"/>
      <c r="H344" s="73"/>
    </row>
    <row r="345" spans="1:8" ht="15.75">
      <c r="A345" s="16"/>
      <c r="D345" s="73"/>
      <c r="E345" s="73"/>
      <c r="F345" s="73"/>
      <c r="G345" s="73"/>
      <c r="H345" s="73"/>
    </row>
    <row r="346" spans="1:8" ht="15.75">
      <c r="A346" s="16"/>
      <c r="D346" s="73"/>
      <c r="E346" s="73"/>
      <c r="F346" s="73"/>
      <c r="G346" s="73"/>
      <c r="H346" s="73"/>
    </row>
    <row r="347" spans="1:8" ht="15.75">
      <c r="A347" s="16"/>
      <c r="D347" s="73"/>
      <c r="E347" s="73"/>
      <c r="F347" s="73"/>
      <c r="G347" s="73"/>
      <c r="H347" s="73"/>
    </row>
    <row r="348" spans="1:8" ht="15.75">
      <c r="A348" s="16"/>
      <c r="D348" s="73"/>
      <c r="E348" s="73"/>
      <c r="F348" s="73"/>
      <c r="G348" s="73"/>
      <c r="H348" s="73"/>
    </row>
    <row r="349" spans="1:8" ht="15.75">
      <c r="A349" s="16"/>
      <c r="D349" s="73"/>
      <c r="E349" s="73"/>
      <c r="F349" s="73"/>
      <c r="G349" s="73"/>
      <c r="H349" s="73"/>
    </row>
    <row r="350" spans="1:8" ht="15.75">
      <c r="A350" s="16"/>
      <c r="D350" s="73"/>
      <c r="E350" s="73"/>
      <c r="F350" s="73"/>
      <c r="G350" s="73"/>
      <c r="H350" s="73"/>
    </row>
    <row r="351" spans="1:8" ht="15.75">
      <c r="A351" s="16"/>
      <c r="D351" s="73"/>
      <c r="E351" s="73"/>
      <c r="F351" s="73"/>
      <c r="G351" s="73"/>
      <c r="H351" s="73"/>
    </row>
    <row r="352" spans="1:8" ht="15.75">
      <c r="A352" s="16"/>
      <c r="D352" s="73"/>
      <c r="E352" s="73"/>
      <c r="F352" s="73"/>
      <c r="G352" s="73"/>
      <c r="H352" s="73"/>
    </row>
    <row r="353" spans="1:8" ht="15.75">
      <c r="A353" s="16"/>
      <c r="D353" s="73"/>
      <c r="E353" s="73"/>
      <c r="F353" s="73"/>
      <c r="G353" s="73"/>
      <c r="H353" s="73"/>
    </row>
    <row r="354" spans="1:8" ht="15.75">
      <c r="A354" s="16"/>
      <c r="D354" s="73"/>
      <c r="E354" s="73"/>
      <c r="F354" s="73"/>
      <c r="G354" s="73"/>
      <c r="H354" s="73"/>
    </row>
    <row r="355" spans="1:8" ht="15.75">
      <c r="A355" s="16"/>
      <c r="D355" s="73"/>
      <c r="E355" s="73"/>
      <c r="F355" s="73"/>
      <c r="G355" s="73"/>
      <c r="H355" s="73"/>
    </row>
    <row r="356" spans="1:8" ht="15.75">
      <c r="A356" s="16"/>
      <c r="D356" s="73"/>
      <c r="E356" s="73"/>
      <c r="F356" s="73"/>
      <c r="G356" s="73"/>
      <c r="H356" s="73"/>
    </row>
    <row r="357" spans="1:8" ht="15.75">
      <c r="A357" s="16"/>
      <c r="D357" s="73"/>
      <c r="E357" s="73"/>
      <c r="F357" s="73"/>
      <c r="G357" s="73"/>
      <c r="H357" s="73"/>
    </row>
    <row r="358" spans="1:8" ht="15.75">
      <c r="A358" s="16"/>
      <c r="D358" s="73"/>
      <c r="E358" s="73"/>
      <c r="F358" s="73"/>
      <c r="G358" s="73"/>
      <c r="H358" s="73"/>
    </row>
    <row r="359" spans="1:8" ht="15.75">
      <c r="A359" s="16"/>
      <c r="D359" s="73"/>
      <c r="E359" s="73"/>
      <c r="F359" s="73"/>
      <c r="G359" s="73"/>
      <c r="H359" s="73"/>
    </row>
    <row r="360" spans="1:8" ht="15.75">
      <c r="A360" s="16"/>
      <c r="D360" s="73"/>
      <c r="E360" s="73"/>
      <c r="F360" s="73"/>
      <c r="G360" s="73"/>
      <c r="H360" s="73"/>
    </row>
    <row r="361" spans="1:8" ht="15.75">
      <c r="A361" s="16"/>
      <c r="D361" s="73"/>
      <c r="E361" s="73"/>
      <c r="F361" s="73"/>
      <c r="G361" s="73"/>
      <c r="H361" s="73"/>
    </row>
    <row r="362" spans="1:8" ht="15.75">
      <c r="A362" s="16"/>
      <c r="D362" s="73"/>
      <c r="E362" s="73"/>
      <c r="F362" s="73"/>
      <c r="G362" s="73"/>
      <c r="H362" s="73"/>
    </row>
    <row r="363" spans="1:8" ht="15.75">
      <c r="A363" s="16"/>
      <c r="D363" s="73"/>
      <c r="E363" s="73"/>
      <c r="F363" s="73"/>
      <c r="G363" s="73"/>
      <c r="H363" s="73"/>
    </row>
    <row r="364" spans="1:8" ht="15.75">
      <c r="A364" s="16"/>
      <c r="D364" s="73"/>
      <c r="E364" s="73"/>
      <c r="F364" s="73"/>
      <c r="G364" s="73"/>
      <c r="H364" s="73"/>
    </row>
    <row r="365" spans="1:8" ht="15.75">
      <c r="A365" s="16"/>
      <c r="D365" s="73"/>
      <c r="E365" s="73"/>
      <c r="F365" s="73"/>
      <c r="G365" s="73"/>
      <c r="H365" s="73"/>
    </row>
    <row r="366" spans="1:8" ht="15.75">
      <c r="A366" s="16"/>
      <c r="D366" s="73"/>
      <c r="E366" s="73"/>
      <c r="F366" s="73"/>
      <c r="G366" s="73"/>
      <c r="H366" s="73"/>
    </row>
    <row r="367" spans="1:8" ht="15.75">
      <c r="A367" s="16"/>
      <c r="D367" s="73"/>
      <c r="E367" s="73"/>
      <c r="F367" s="73"/>
      <c r="G367" s="73"/>
      <c r="H367" s="73"/>
    </row>
    <row r="368" spans="1:8" ht="15.75">
      <c r="A368" s="16"/>
      <c r="D368" s="73"/>
      <c r="E368" s="73"/>
      <c r="F368" s="73"/>
      <c r="G368" s="73"/>
      <c r="H368" s="73"/>
    </row>
    <row r="369" spans="1:8" ht="15.75">
      <c r="A369" s="16"/>
      <c r="D369" s="73"/>
      <c r="E369" s="73"/>
      <c r="F369" s="73"/>
      <c r="G369" s="73"/>
      <c r="H369" s="73"/>
    </row>
    <row r="370" spans="1:8" ht="15.75">
      <c r="A370" s="16"/>
      <c r="D370" s="73"/>
      <c r="E370" s="73"/>
      <c r="F370" s="73"/>
      <c r="G370" s="73"/>
      <c r="H370" s="73"/>
    </row>
    <row r="371" spans="1:8" ht="15.75">
      <c r="A371" s="16"/>
      <c r="D371" s="73"/>
      <c r="E371" s="73"/>
      <c r="F371" s="73"/>
      <c r="G371" s="73"/>
      <c r="H371" s="73"/>
    </row>
    <row r="372" spans="1:8" ht="15.75">
      <c r="A372" s="16"/>
      <c r="D372" s="73"/>
      <c r="E372" s="73"/>
      <c r="F372" s="73"/>
      <c r="G372" s="73"/>
      <c r="H372" s="73"/>
    </row>
    <row r="373" spans="1:8" ht="15.75">
      <c r="A373" s="16"/>
      <c r="D373" s="73"/>
      <c r="E373" s="73"/>
      <c r="F373" s="73"/>
      <c r="G373" s="73"/>
      <c r="H373" s="73"/>
    </row>
    <row r="374" spans="1:8" ht="15.75">
      <c r="A374" s="16"/>
      <c r="D374" s="73"/>
      <c r="E374" s="73"/>
      <c r="F374" s="73"/>
      <c r="G374" s="73"/>
      <c r="H374" s="73"/>
    </row>
    <row r="375" spans="1:8" ht="15.75">
      <c r="A375" s="16"/>
      <c r="D375" s="73"/>
      <c r="E375" s="73"/>
      <c r="F375" s="73"/>
      <c r="G375" s="73"/>
      <c r="H375" s="73"/>
    </row>
    <row r="376" spans="1:8" ht="15.75">
      <c r="A376" s="16"/>
      <c r="D376" s="73"/>
      <c r="E376" s="73"/>
      <c r="F376" s="73"/>
      <c r="G376" s="73"/>
      <c r="H376" s="73"/>
    </row>
    <row r="377" spans="1:8" ht="15.75">
      <c r="A377" s="16"/>
      <c r="D377" s="73"/>
      <c r="E377" s="73"/>
      <c r="F377" s="73"/>
      <c r="G377" s="73"/>
      <c r="H377" s="73"/>
    </row>
    <row r="378" spans="1:8" ht="15.75">
      <c r="A378" s="16"/>
      <c r="D378" s="73"/>
      <c r="E378" s="73"/>
      <c r="F378" s="73"/>
      <c r="G378" s="73"/>
      <c r="H378" s="73"/>
    </row>
    <row r="379" spans="1:8" ht="15.75">
      <c r="A379" s="16"/>
      <c r="D379" s="73"/>
      <c r="E379" s="73"/>
      <c r="F379" s="73"/>
      <c r="G379" s="73"/>
      <c r="H379" s="73"/>
    </row>
    <row r="380" spans="1:8" ht="15.75">
      <c r="A380" s="16"/>
      <c r="D380" s="73"/>
      <c r="E380" s="73"/>
      <c r="F380" s="73"/>
      <c r="G380" s="73"/>
      <c r="H380" s="73"/>
    </row>
    <row r="381" spans="1:8" ht="15.75">
      <c r="A381" s="16"/>
      <c r="D381" s="73"/>
      <c r="E381" s="73"/>
      <c r="F381" s="73"/>
      <c r="G381" s="73"/>
      <c r="H381" s="73"/>
    </row>
    <row r="382" spans="1:8" ht="15.75">
      <c r="A382" s="16"/>
      <c r="D382" s="73"/>
      <c r="E382" s="73"/>
      <c r="F382" s="73"/>
      <c r="G382" s="73"/>
      <c r="H382" s="73"/>
    </row>
    <row r="383" spans="1:8" ht="15.75">
      <c r="A383" s="16"/>
      <c r="D383" s="73"/>
      <c r="E383" s="73"/>
      <c r="F383" s="73"/>
      <c r="G383" s="73"/>
      <c r="H383" s="73"/>
    </row>
    <row r="384" spans="1:8" ht="15.75">
      <c r="A384" s="16"/>
      <c r="D384" s="73"/>
      <c r="E384" s="73"/>
      <c r="F384" s="73"/>
      <c r="G384" s="73"/>
      <c r="H384" s="73"/>
    </row>
    <row r="385" spans="1:8" ht="15.75">
      <c r="A385" s="16"/>
      <c r="D385" s="73"/>
      <c r="E385" s="73"/>
      <c r="F385" s="73"/>
      <c r="G385" s="73"/>
      <c r="H385" s="73"/>
    </row>
    <row r="386" spans="1:8" ht="15.75">
      <c r="A386" s="16"/>
      <c r="D386" s="73"/>
      <c r="E386" s="73"/>
      <c r="F386" s="73"/>
      <c r="G386" s="73"/>
      <c r="H386" s="73"/>
    </row>
    <row r="387" spans="1:8" ht="15.75">
      <c r="A387" s="16"/>
      <c r="D387" s="73"/>
      <c r="E387" s="73"/>
      <c r="F387" s="73"/>
      <c r="G387" s="73"/>
      <c r="H387" s="73"/>
    </row>
    <row r="388" spans="1:8" ht="15.75">
      <c r="A388" s="16"/>
      <c r="D388" s="73"/>
      <c r="E388" s="73"/>
      <c r="F388" s="73"/>
      <c r="G388" s="73"/>
      <c r="H388" s="73"/>
    </row>
    <row r="389" spans="1:8" ht="15.75">
      <c r="A389" s="16"/>
      <c r="D389" s="73"/>
      <c r="E389" s="73"/>
      <c r="F389" s="73"/>
      <c r="G389" s="73"/>
      <c r="H389" s="73"/>
    </row>
    <row r="390" spans="1:8" ht="15.75">
      <c r="A390" s="16"/>
      <c r="D390" s="73"/>
      <c r="E390" s="73"/>
      <c r="F390" s="73"/>
      <c r="G390" s="73"/>
      <c r="H390" s="73"/>
    </row>
    <row r="391" spans="1:8" ht="15.75">
      <c r="A391" s="16"/>
      <c r="D391" s="73"/>
      <c r="E391" s="73"/>
      <c r="F391" s="73"/>
      <c r="G391" s="73"/>
      <c r="H391" s="73"/>
    </row>
    <row r="392" spans="1:8" ht="15.75">
      <c r="A392" s="16"/>
      <c r="D392" s="73"/>
      <c r="E392" s="73"/>
      <c r="F392" s="73"/>
      <c r="G392" s="73"/>
      <c r="H392" s="73"/>
    </row>
    <row r="393" spans="1:8" ht="15.75">
      <c r="A393" s="16"/>
      <c r="D393" s="73"/>
      <c r="E393" s="73"/>
      <c r="F393" s="73"/>
      <c r="G393" s="73"/>
      <c r="H393" s="73"/>
    </row>
    <row r="394" spans="1:8" ht="15.75">
      <c r="A394" s="16"/>
      <c r="D394" s="73"/>
      <c r="E394" s="73"/>
      <c r="F394" s="73"/>
      <c r="G394" s="73"/>
      <c r="H394" s="73"/>
    </row>
    <row r="395" spans="1:8" ht="15.75">
      <c r="A395" s="16"/>
      <c r="D395" s="73"/>
      <c r="E395" s="73"/>
      <c r="F395" s="73"/>
      <c r="G395" s="73"/>
      <c r="H395" s="73"/>
    </row>
    <row r="396" spans="1:8" ht="15.75">
      <c r="A396" s="16"/>
      <c r="D396" s="73"/>
      <c r="E396" s="73"/>
      <c r="F396" s="73"/>
      <c r="G396" s="73"/>
      <c r="H396" s="73"/>
    </row>
    <row r="397" spans="1:8" ht="15.75">
      <c r="A397" s="16"/>
      <c r="D397" s="73"/>
      <c r="E397" s="73"/>
      <c r="F397" s="73"/>
      <c r="G397" s="73"/>
      <c r="H397" s="73"/>
    </row>
    <row r="398" spans="1:8" ht="15.75">
      <c r="A398" s="16"/>
      <c r="D398" s="73"/>
      <c r="E398" s="73"/>
      <c r="F398" s="73"/>
      <c r="G398" s="73"/>
      <c r="H398" s="73"/>
    </row>
    <row r="399" spans="1:8" ht="15.75">
      <c r="A399" s="16"/>
      <c r="D399" s="73"/>
      <c r="E399" s="73"/>
      <c r="F399" s="73"/>
      <c r="G399" s="73"/>
      <c r="H399" s="73"/>
    </row>
    <row r="400" spans="1:8" ht="15.75">
      <c r="A400" s="16"/>
      <c r="D400" s="73"/>
      <c r="E400" s="73"/>
      <c r="F400" s="73"/>
      <c r="G400" s="73"/>
      <c r="H400" s="73"/>
    </row>
    <row r="401" spans="1:8" ht="15.75">
      <c r="A401" s="16"/>
      <c r="D401" s="73"/>
      <c r="E401" s="73"/>
      <c r="F401" s="73"/>
      <c r="G401" s="73"/>
      <c r="H401" s="73"/>
    </row>
    <row r="402" spans="1:8" ht="15.75">
      <c r="A402" s="16"/>
      <c r="D402" s="73"/>
      <c r="E402" s="73"/>
      <c r="F402" s="73"/>
      <c r="G402" s="73"/>
      <c r="H402" s="73"/>
    </row>
    <row r="403" spans="1:8" ht="15.75">
      <c r="A403" s="16"/>
      <c r="D403" s="73"/>
      <c r="E403" s="73"/>
      <c r="F403" s="73"/>
      <c r="G403" s="73"/>
      <c r="H403" s="73"/>
    </row>
    <row r="404" spans="1:8" ht="15.75">
      <c r="A404" s="16"/>
      <c r="D404" s="73"/>
      <c r="E404" s="73"/>
      <c r="F404" s="73"/>
      <c r="G404" s="73"/>
      <c r="H404" s="73"/>
    </row>
    <row r="405" spans="1:8" ht="15.75">
      <c r="A405" s="16"/>
      <c r="D405" s="73"/>
      <c r="E405" s="73"/>
      <c r="F405" s="73"/>
      <c r="G405" s="73"/>
      <c r="H405" s="73"/>
    </row>
    <row r="406" spans="1:8" ht="15.75">
      <c r="A406" s="16"/>
      <c r="D406" s="73"/>
      <c r="E406" s="73"/>
      <c r="F406" s="73"/>
      <c r="G406" s="73"/>
      <c r="H406" s="73"/>
    </row>
    <row r="407" spans="1:8" ht="15.75">
      <c r="A407" s="16"/>
      <c r="D407" s="73"/>
      <c r="E407" s="73"/>
      <c r="F407" s="73"/>
      <c r="G407" s="73"/>
      <c r="H407" s="73"/>
    </row>
    <row r="408" spans="1:8" ht="15.75">
      <c r="A408" s="16"/>
      <c r="D408" s="73"/>
      <c r="E408" s="73"/>
      <c r="F408" s="73"/>
      <c r="G408" s="73"/>
      <c r="H408" s="73"/>
    </row>
    <row r="409" spans="1:8" ht="15.75">
      <c r="A409" s="16"/>
      <c r="D409" s="73"/>
      <c r="E409" s="73"/>
      <c r="F409" s="73"/>
      <c r="G409" s="73"/>
      <c r="H409" s="73"/>
    </row>
    <row r="410" spans="1:8" ht="15.75">
      <c r="A410" s="16"/>
      <c r="D410" s="73"/>
      <c r="E410" s="73"/>
      <c r="F410" s="73"/>
      <c r="G410" s="73"/>
      <c r="H410" s="73"/>
    </row>
    <row r="411" spans="1:8" ht="15.75">
      <c r="A411" s="16"/>
      <c r="D411" s="73"/>
      <c r="E411" s="73"/>
      <c r="F411" s="73"/>
      <c r="G411" s="73"/>
      <c r="H411" s="73"/>
    </row>
    <row r="412" spans="1:8" ht="15.75">
      <c r="A412" s="16"/>
      <c r="D412" s="73"/>
      <c r="E412" s="73"/>
      <c r="F412" s="73"/>
      <c r="G412" s="73"/>
      <c r="H412" s="73"/>
    </row>
    <row r="413" spans="1:8" ht="15.75">
      <c r="A413" s="16"/>
      <c r="D413" s="73"/>
      <c r="E413" s="73"/>
      <c r="F413" s="73"/>
      <c r="G413" s="73"/>
      <c r="H413" s="73"/>
    </row>
    <row r="414" spans="1:8" ht="15.75">
      <c r="A414" s="16"/>
      <c r="D414" s="73"/>
      <c r="E414" s="73"/>
      <c r="F414" s="73"/>
      <c r="G414" s="73"/>
      <c r="H414" s="73"/>
    </row>
    <row r="415" spans="1:8" ht="15.75">
      <c r="A415" s="16"/>
      <c r="D415" s="73"/>
      <c r="E415" s="73"/>
      <c r="F415" s="73"/>
      <c r="G415" s="73"/>
      <c r="H415" s="73"/>
    </row>
    <row r="416" spans="1:8" ht="15.75">
      <c r="A416" s="16"/>
      <c r="D416" s="73"/>
      <c r="E416" s="73"/>
      <c r="F416" s="73"/>
      <c r="G416" s="73"/>
      <c r="H416" s="73"/>
    </row>
    <row r="417" spans="1:8" ht="15.75">
      <c r="A417" s="16"/>
      <c r="D417" s="73"/>
      <c r="E417" s="73"/>
      <c r="F417" s="73"/>
      <c r="G417" s="73"/>
      <c r="H417" s="73"/>
    </row>
    <row r="418" spans="1:8" ht="15.75">
      <c r="A418" s="16"/>
      <c r="D418" s="73"/>
      <c r="E418" s="73"/>
      <c r="F418" s="73"/>
      <c r="G418" s="73"/>
      <c r="H418" s="73"/>
    </row>
    <row r="419" spans="1:8" ht="15.75">
      <c r="A419" s="16"/>
      <c r="D419" s="73"/>
      <c r="E419" s="73"/>
      <c r="F419" s="73"/>
      <c r="G419" s="73"/>
      <c r="H419" s="73"/>
    </row>
    <row r="420" spans="1:8" ht="15.75">
      <c r="A420" s="16"/>
      <c r="D420" s="73"/>
      <c r="E420" s="73"/>
      <c r="F420" s="73"/>
      <c r="G420" s="73"/>
      <c r="H420" s="73"/>
    </row>
    <row r="421" spans="1:8" ht="15.75">
      <c r="A421" s="16"/>
      <c r="D421" s="73"/>
      <c r="E421" s="73"/>
      <c r="F421" s="73"/>
      <c r="G421" s="73"/>
      <c r="H421" s="73"/>
    </row>
    <row r="422" spans="1:8" ht="15.75">
      <c r="A422" s="16"/>
      <c r="D422" s="73"/>
      <c r="E422" s="73"/>
      <c r="F422" s="73"/>
      <c r="G422" s="73"/>
      <c r="H422" s="73"/>
    </row>
    <row r="423" spans="1:8" ht="15.75">
      <c r="A423" s="16"/>
      <c r="D423" s="73"/>
      <c r="E423" s="73"/>
      <c r="F423" s="73"/>
      <c r="G423" s="73"/>
      <c r="H423" s="73"/>
    </row>
    <row r="424" spans="1:8" ht="15.75">
      <c r="A424" s="16"/>
      <c r="D424" s="73"/>
      <c r="E424" s="73"/>
      <c r="F424" s="73"/>
      <c r="G424" s="73"/>
      <c r="H424" s="73"/>
    </row>
    <row r="425" spans="1:8" ht="15.75">
      <c r="A425" s="16"/>
      <c r="D425" s="73"/>
      <c r="E425" s="73"/>
      <c r="F425" s="73"/>
      <c r="G425" s="73"/>
      <c r="H425" s="73"/>
    </row>
    <row r="426" spans="1:8" ht="15.75">
      <c r="A426" s="16"/>
      <c r="D426" s="73"/>
      <c r="E426" s="73"/>
      <c r="F426" s="73"/>
      <c r="G426" s="73"/>
      <c r="H426" s="73"/>
    </row>
    <row r="427" spans="1:8" ht="15.75">
      <c r="A427" s="16"/>
      <c r="D427" s="73"/>
      <c r="E427" s="73"/>
      <c r="F427" s="73"/>
      <c r="G427" s="73"/>
      <c r="H427" s="73"/>
    </row>
    <row r="428" spans="1:8" ht="15.75">
      <c r="A428" s="16"/>
      <c r="D428" s="73"/>
      <c r="E428" s="73"/>
      <c r="F428" s="73"/>
      <c r="G428" s="73"/>
      <c r="H428" s="73"/>
    </row>
    <row r="429" spans="1:8" ht="15.75">
      <c r="A429" s="16"/>
      <c r="D429" s="73"/>
      <c r="E429" s="73"/>
      <c r="F429" s="73"/>
      <c r="G429" s="73"/>
      <c r="H429" s="73"/>
    </row>
    <row r="430" spans="1:8" ht="15.75">
      <c r="A430" s="16"/>
      <c r="D430" s="73"/>
      <c r="E430" s="73"/>
      <c r="F430" s="73"/>
      <c r="G430" s="73"/>
      <c r="H430" s="73"/>
    </row>
    <row r="431" spans="1:8" ht="15.75">
      <c r="A431" s="16"/>
      <c r="D431" s="73"/>
      <c r="E431" s="73"/>
      <c r="F431" s="73"/>
      <c r="G431" s="73"/>
      <c r="H431" s="73"/>
    </row>
    <row r="432" spans="1:8" ht="15.75">
      <c r="A432" s="16"/>
      <c r="D432" s="73"/>
      <c r="E432" s="73"/>
      <c r="F432" s="73"/>
      <c r="G432" s="73"/>
      <c r="H432" s="73"/>
    </row>
    <row r="433" spans="1:8" ht="15.75">
      <c r="A433" s="16"/>
      <c r="D433" s="73"/>
      <c r="E433" s="73"/>
      <c r="F433" s="73"/>
      <c r="G433" s="73"/>
      <c r="H433" s="73"/>
    </row>
    <row r="434" spans="1:8" ht="15.75">
      <c r="A434" s="16"/>
      <c r="D434" s="73"/>
      <c r="E434" s="73"/>
      <c r="F434" s="73"/>
      <c r="G434" s="73"/>
      <c r="H434" s="73"/>
    </row>
    <row r="435" spans="1:8" ht="15.75">
      <c r="A435" s="16"/>
      <c r="D435" s="73"/>
      <c r="E435" s="73"/>
      <c r="F435" s="73"/>
      <c r="G435" s="73"/>
      <c r="H435" s="73"/>
    </row>
    <row r="436" spans="1:8" ht="15.75">
      <c r="A436" s="16"/>
      <c r="D436" s="73"/>
      <c r="E436" s="73"/>
      <c r="F436" s="73"/>
      <c r="G436" s="73"/>
      <c r="H436" s="73"/>
    </row>
    <row r="437" spans="1:8" ht="15.75">
      <c r="A437" s="16"/>
      <c r="D437" s="73"/>
      <c r="E437" s="73"/>
      <c r="F437" s="73"/>
      <c r="G437" s="73"/>
      <c r="H437" s="73"/>
    </row>
    <row r="438" spans="1:8" ht="15.75">
      <c r="A438" s="16"/>
      <c r="D438" s="73"/>
      <c r="E438" s="73"/>
      <c r="F438" s="73"/>
      <c r="G438" s="73"/>
      <c r="H438" s="73"/>
    </row>
    <row r="439" spans="1:8" ht="15.75">
      <c r="A439" s="16"/>
      <c r="D439" s="73"/>
      <c r="E439" s="73"/>
      <c r="F439" s="73"/>
      <c r="G439" s="73"/>
      <c r="H439" s="73"/>
    </row>
    <row r="440" spans="1:8" ht="15.75">
      <c r="A440" s="16"/>
      <c r="D440" s="73"/>
      <c r="E440" s="73"/>
      <c r="F440" s="73"/>
      <c r="G440" s="73"/>
      <c r="H440" s="73"/>
    </row>
    <row r="441" spans="1:8" ht="15.75">
      <c r="A441" s="16"/>
      <c r="D441" s="73"/>
      <c r="E441" s="73"/>
      <c r="F441" s="73"/>
      <c r="G441" s="73"/>
      <c r="H441" s="73"/>
    </row>
    <row r="442" spans="1:8" ht="15.75">
      <c r="A442" s="16"/>
      <c r="D442" s="73"/>
      <c r="E442" s="73"/>
      <c r="F442" s="73"/>
      <c r="G442" s="73"/>
      <c r="H442" s="73"/>
    </row>
    <row r="443" spans="1:8" ht="15.75">
      <c r="A443" s="16"/>
      <c r="D443" s="73"/>
      <c r="E443" s="73"/>
      <c r="F443" s="73"/>
      <c r="G443" s="73"/>
      <c r="H443" s="73"/>
    </row>
    <row r="444" spans="1:8" ht="15.75">
      <c r="A444" s="16"/>
      <c r="D444" s="73"/>
      <c r="E444" s="73"/>
      <c r="F444" s="73"/>
      <c r="G444" s="73"/>
      <c r="H444" s="73"/>
    </row>
    <row r="445" spans="1:8" ht="15.75">
      <c r="A445" s="16"/>
      <c r="D445" s="73"/>
      <c r="E445" s="73"/>
      <c r="F445" s="73"/>
      <c r="G445" s="73"/>
      <c r="H445" s="73"/>
    </row>
    <row r="446" spans="1:8" ht="15.75">
      <c r="A446" s="16"/>
      <c r="D446" s="73"/>
      <c r="E446" s="73"/>
      <c r="F446" s="73"/>
      <c r="G446" s="73"/>
      <c r="H446" s="73"/>
    </row>
    <row r="447" spans="1:8" ht="15.75">
      <c r="A447" s="16"/>
      <c r="D447" s="73"/>
      <c r="E447" s="73"/>
      <c r="F447" s="73"/>
      <c r="G447" s="73"/>
      <c r="H447" s="73"/>
    </row>
    <row r="448" spans="1:8" ht="15.75">
      <c r="A448" s="16"/>
      <c r="D448" s="73"/>
      <c r="E448" s="73"/>
      <c r="F448" s="73"/>
      <c r="G448" s="73"/>
      <c r="H448" s="73"/>
    </row>
    <row r="449" spans="1:8" ht="15.75">
      <c r="A449" s="16"/>
      <c r="D449" s="73"/>
      <c r="E449" s="73"/>
      <c r="F449" s="73"/>
      <c r="G449" s="73"/>
      <c r="H449" s="73"/>
    </row>
    <row r="450" spans="1:8" ht="15.75">
      <c r="A450" s="16"/>
      <c r="D450" s="73"/>
      <c r="E450" s="73"/>
      <c r="F450" s="73"/>
      <c r="G450" s="73"/>
      <c r="H450" s="73"/>
    </row>
    <row r="451" spans="1:8" ht="15.75">
      <c r="A451" s="16"/>
      <c r="D451" s="73"/>
      <c r="E451" s="73"/>
      <c r="F451" s="73"/>
      <c r="G451" s="73"/>
      <c r="H451" s="73"/>
    </row>
    <row r="452" spans="1:8" ht="15.75">
      <c r="A452" s="16"/>
      <c r="D452" s="73"/>
      <c r="E452" s="73"/>
      <c r="F452" s="73"/>
      <c r="G452" s="73"/>
      <c r="H452" s="73"/>
    </row>
    <row r="453" spans="1:8" ht="15.75">
      <c r="A453" s="16"/>
      <c r="D453" s="73"/>
      <c r="E453" s="73"/>
      <c r="F453" s="73"/>
      <c r="G453" s="73"/>
      <c r="H453" s="73"/>
    </row>
    <row r="454" spans="1:8" ht="15.75">
      <c r="A454" s="16"/>
      <c r="D454" s="73"/>
      <c r="E454" s="73"/>
      <c r="F454" s="73"/>
      <c r="G454" s="73"/>
      <c r="H454" s="73"/>
    </row>
    <row r="455" spans="1:8" ht="15.75">
      <c r="A455" s="16"/>
      <c r="D455" s="73"/>
      <c r="E455" s="73"/>
      <c r="F455" s="73"/>
      <c r="G455" s="73"/>
      <c r="H455" s="73"/>
    </row>
    <row r="456" spans="1:8" ht="15.75">
      <c r="A456" s="16"/>
      <c r="D456" s="73"/>
      <c r="E456" s="73"/>
      <c r="F456" s="73"/>
      <c r="G456" s="73"/>
      <c r="H456" s="73"/>
    </row>
    <row r="457" spans="1:8" ht="15.75">
      <c r="A457" s="16"/>
      <c r="D457" s="73"/>
      <c r="E457" s="73"/>
      <c r="F457" s="73"/>
      <c r="G457" s="73"/>
      <c r="H457" s="73"/>
    </row>
    <row r="458" spans="1:8" ht="15.75">
      <c r="A458" s="16"/>
      <c r="D458" s="73"/>
      <c r="E458" s="73"/>
      <c r="F458" s="73"/>
      <c r="G458" s="73"/>
      <c r="H458" s="73"/>
    </row>
    <row r="459" spans="1:8" ht="15.75">
      <c r="A459" s="16"/>
      <c r="D459" s="73"/>
      <c r="E459" s="73"/>
      <c r="F459" s="73"/>
      <c r="G459" s="73"/>
      <c r="H459" s="73"/>
    </row>
    <row r="460" spans="1:8" ht="15.75">
      <c r="A460" s="16"/>
      <c r="D460" s="73"/>
      <c r="E460" s="73"/>
      <c r="F460" s="73"/>
      <c r="G460" s="73"/>
      <c r="H460" s="73"/>
    </row>
    <row r="461" spans="1:8" ht="15.75">
      <c r="A461" s="16"/>
      <c r="D461" s="73"/>
      <c r="E461" s="73"/>
      <c r="F461" s="73"/>
      <c r="G461" s="73"/>
      <c r="H461" s="73"/>
    </row>
    <row r="462" spans="1:8" ht="15.75">
      <c r="A462" s="16"/>
      <c r="D462" s="73"/>
      <c r="E462" s="73"/>
      <c r="F462" s="73"/>
      <c r="G462" s="73"/>
      <c r="H462" s="73"/>
    </row>
    <row r="463" spans="1:8" ht="15.75">
      <c r="A463" s="16"/>
      <c r="D463" s="73"/>
      <c r="E463" s="73"/>
      <c r="F463" s="73"/>
      <c r="G463" s="73"/>
      <c r="H463" s="73"/>
    </row>
    <row r="464" spans="1:8" ht="15.75">
      <c r="A464" s="16"/>
      <c r="D464" s="73"/>
      <c r="E464" s="73"/>
      <c r="F464" s="73"/>
      <c r="G464" s="73"/>
      <c r="H464" s="73"/>
    </row>
    <row r="465" spans="1:8" ht="15.75">
      <c r="A465" s="16"/>
      <c r="D465" s="73"/>
      <c r="E465" s="73"/>
      <c r="F465" s="73"/>
      <c r="G465" s="73"/>
      <c r="H465" s="73"/>
    </row>
    <row r="466" spans="1:8" ht="15.75">
      <c r="A466" s="16"/>
      <c r="D466" s="73"/>
      <c r="E466" s="73"/>
      <c r="F466" s="73"/>
      <c r="G466" s="73"/>
      <c r="H466" s="73"/>
    </row>
    <row r="467" spans="1:8" ht="15.75">
      <c r="A467" s="16"/>
      <c r="D467" s="73"/>
      <c r="E467" s="73"/>
      <c r="F467" s="73"/>
      <c r="G467" s="73"/>
      <c r="H467" s="73"/>
    </row>
    <row r="468" spans="1:8" ht="15.75">
      <c r="A468" s="16"/>
      <c r="D468" s="73"/>
      <c r="E468" s="73"/>
      <c r="F468" s="73"/>
      <c r="G468" s="73"/>
      <c r="H468" s="73"/>
    </row>
    <row r="469" spans="1:8" ht="15.75">
      <c r="A469" s="16"/>
      <c r="D469" s="73"/>
      <c r="E469" s="73"/>
      <c r="F469" s="73"/>
      <c r="G469" s="73"/>
      <c r="H469" s="73"/>
    </row>
    <row r="470" spans="1:8" ht="15.75">
      <c r="A470" s="16"/>
      <c r="D470" s="73"/>
      <c r="E470" s="73"/>
      <c r="F470" s="73"/>
      <c r="G470" s="73"/>
      <c r="H470" s="73"/>
    </row>
    <row r="471" spans="1:8" ht="15.75">
      <c r="A471" s="16"/>
      <c r="D471" s="73"/>
      <c r="E471" s="73"/>
      <c r="F471" s="73"/>
      <c r="G471" s="73"/>
      <c r="H471" s="73"/>
    </row>
    <row r="472" spans="1:8" ht="15.75">
      <c r="A472" s="16"/>
      <c r="D472" s="73"/>
      <c r="E472" s="73"/>
      <c r="F472" s="73"/>
      <c r="G472" s="73"/>
      <c r="H472" s="73"/>
    </row>
    <row r="473" spans="1:8" ht="15.75">
      <c r="A473" s="16"/>
      <c r="D473" s="73"/>
      <c r="E473" s="73"/>
      <c r="F473" s="73"/>
      <c r="G473" s="73"/>
      <c r="H473" s="73"/>
    </row>
    <row r="474" spans="1:8" ht="15.75">
      <c r="A474" s="16"/>
      <c r="D474" s="73"/>
      <c r="E474" s="73"/>
      <c r="F474" s="73"/>
      <c r="G474" s="73"/>
      <c r="H474" s="73"/>
    </row>
    <row r="475" spans="1:8" ht="15.75">
      <c r="A475" s="16"/>
      <c r="D475" s="73"/>
      <c r="E475" s="73"/>
      <c r="F475" s="73"/>
      <c r="G475" s="73"/>
      <c r="H475" s="73"/>
    </row>
    <row r="476" spans="1:8" ht="15.75">
      <c r="A476" s="16"/>
      <c r="D476" s="73"/>
      <c r="E476" s="73"/>
      <c r="F476" s="73"/>
      <c r="G476" s="73"/>
      <c r="H476" s="73"/>
    </row>
    <row r="477" spans="1:8" ht="15.75">
      <c r="A477" s="16"/>
      <c r="D477" s="73"/>
      <c r="E477" s="73"/>
      <c r="F477" s="73"/>
      <c r="G477" s="73"/>
      <c r="H477" s="73"/>
    </row>
    <row r="478" spans="1:8" ht="15.75">
      <c r="A478" s="16"/>
      <c r="D478" s="73"/>
      <c r="E478" s="73"/>
      <c r="F478" s="73"/>
      <c r="G478" s="73"/>
      <c r="H478" s="73"/>
    </row>
    <row r="479" spans="1:8" ht="15.75">
      <c r="A479" s="16"/>
      <c r="D479" s="73"/>
      <c r="E479" s="73"/>
      <c r="F479" s="73"/>
      <c r="G479" s="73"/>
      <c r="H479" s="73"/>
    </row>
    <row r="480" spans="1:8" ht="15.75">
      <c r="A480" s="16"/>
      <c r="D480" s="73"/>
      <c r="E480" s="73"/>
      <c r="F480" s="73"/>
      <c r="G480" s="73"/>
      <c r="H480" s="73"/>
    </row>
    <row r="481" spans="1:8" ht="15.75">
      <c r="A481" s="16"/>
      <c r="D481" s="73"/>
      <c r="E481" s="73"/>
      <c r="F481" s="73"/>
      <c r="G481" s="73"/>
      <c r="H481" s="73"/>
    </row>
    <row r="482" spans="1:8" ht="15.75">
      <c r="A482" s="16"/>
      <c r="D482" s="73"/>
      <c r="E482" s="73"/>
      <c r="F482" s="73"/>
      <c r="G482" s="73"/>
      <c r="H482" s="73"/>
    </row>
    <row r="483" spans="1:8" ht="15.75">
      <c r="A483" s="16"/>
      <c r="D483" s="73"/>
      <c r="E483" s="73"/>
      <c r="F483" s="73"/>
      <c r="G483" s="73"/>
      <c r="H483" s="73"/>
    </row>
    <row r="484" spans="1:8" ht="15.75">
      <c r="A484" s="16"/>
      <c r="D484" s="73"/>
      <c r="E484" s="73"/>
      <c r="F484" s="73"/>
      <c r="G484" s="73"/>
      <c r="H484" s="73"/>
    </row>
    <row r="485" spans="1:8" ht="15.75">
      <c r="A485" s="16"/>
      <c r="D485" s="73"/>
      <c r="E485" s="73"/>
      <c r="F485" s="73"/>
      <c r="G485" s="73"/>
      <c r="H485" s="73"/>
    </row>
    <row r="486" spans="1:8" ht="15.75">
      <c r="A486" s="16"/>
      <c r="D486" s="73"/>
      <c r="E486" s="73"/>
      <c r="F486" s="73"/>
      <c r="G486" s="73"/>
      <c r="H486" s="73"/>
    </row>
    <row r="487" spans="1:8" ht="15.75">
      <c r="A487" s="16"/>
      <c r="D487" s="73"/>
      <c r="E487" s="73"/>
      <c r="F487" s="73"/>
      <c r="G487" s="73"/>
      <c r="H487" s="73"/>
    </row>
    <row r="488" spans="1:8" ht="15.75">
      <c r="A488" s="16"/>
      <c r="D488" s="73"/>
      <c r="E488" s="73"/>
      <c r="F488" s="73"/>
      <c r="G488" s="73"/>
      <c r="H488" s="73"/>
    </row>
    <row r="489" spans="1:8" ht="15.75">
      <c r="A489" s="16"/>
      <c r="D489" s="73"/>
      <c r="E489" s="73"/>
      <c r="F489" s="73"/>
      <c r="G489" s="73"/>
      <c r="H489" s="73"/>
    </row>
    <row r="490" spans="1:8" ht="15.75">
      <c r="A490" s="16"/>
      <c r="D490" s="73"/>
      <c r="E490" s="73"/>
      <c r="F490" s="73"/>
      <c r="G490" s="73"/>
      <c r="H490" s="73"/>
    </row>
    <row r="491" spans="1:8" ht="15.75">
      <c r="A491" s="16"/>
      <c r="D491" s="73"/>
      <c r="E491" s="73"/>
      <c r="F491" s="73"/>
      <c r="G491" s="73"/>
      <c r="H491" s="73"/>
    </row>
    <row r="492" spans="1:8" ht="15.75">
      <c r="A492" s="16"/>
      <c r="D492" s="73"/>
      <c r="E492" s="73"/>
      <c r="F492" s="73"/>
      <c r="G492" s="73"/>
      <c r="H492" s="73"/>
    </row>
    <row r="493" spans="1:8" ht="15.75">
      <c r="A493" s="16"/>
      <c r="D493" s="73"/>
      <c r="E493" s="73"/>
      <c r="F493" s="73"/>
      <c r="G493" s="73"/>
      <c r="H493" s="73"/>
    </row>
    <row r="494" spans="1:8" ht="15.75">
      <c r="A494" s="16"/>
      <c r="D494" s="73"/>
      <c r="E494" s="73"/>
      <c r="F494" s="73"/>
      <c r="G494" s="73"/>
      <c r="H494" s="73"/>
    </row>
    <row r="495" spans="1:8" ht="15.75">
      <c r="A495" s="16"/>
      <c r="D495" s="73"/>
      <c r="E495" s="73"/>
      <c r="F495" s="73"/>
      <c r="G495" s="73"/>
      <c r="H495" s="73"/>
    </row>
    <row r="496" spans="1:8" ht="15.75">
      <c r="A496" s="16"/>
      <c r="D496" s="73"/>
      <c r="E496" s="73"/>
      <c r="F496" s="73"/>
      <c r="G496" s="73"/>
      <c r="H496" s="73"/>
    </row>
    <row r="497" spans="1:8" ht="15.75">
      <c r="A497" s="16"/>
      <c r="D497" s="73"/>
      <c r="E497" s="73"/>
      <c r="F497" s="73"/>
      <c r="G497" s="73"/>
      <c r="H497" s="73"/>
    </row>
    <row r="498" spans="1:8" ht="15.75">
      <c r="A498" s="16"/>
      <c r="D498" s="73"/>
      <c r="E498" s="73"/>
      <c r="F498" s="73"/>
      <c r="G498" s="73"/>
      <c r="H498" s="73"/>
    </row>
    <row r="499" spans="1:8" ht="15.75">
      <c r="A499" s="16"/>
      <c r="D499" s="73"/>
      <c r="E499" s="73"/>
      <c r="F499" s="73"/>
      <c r="G499" s="73"/>
      <c r="H499" s="73"/>
    </row>
    <row r="500" spans="1:8" ht="15.75">
      <c r="A500" s="16"/>
      <c r="D500" s="73"/>
      <c r="E500" s="73"/>
      <c r="F500" s="73"/>
      <c r="G500" s="73"/>
      <c r="H500" s="73"/>
    </row>
    <row r="501" spans="1:8" ht="15.75">
      <c r="A501" s="16"/>
      <c r="D501" s="73"/>
      <c r="E501" s="73"/>
      <c r="F501" s="73"/>
      <c r="G501" s="73"/>
      <c r="H501" s="73"/>
    </row>
    <row r="502" spans="1:8" ht="15.75">
      <c r="A502" s="16"/>
      <c r="D502" s="73"/>
      <c r="E502" s="73"/>
      <c r="F502" s="73"/>
      <c r="G502" s="73"/>
      <c r="H502" s="73"/>
    </row>
    <row r="503" spans="1:8" ht="15.75">
      <c r="A503" s="16"/>
      <c r="D503" s="73"/>
      <c r="E503" s="73"/>
      <c r="F503" s="73"/>
      <c r="G503" s="73"/>
      <c r="H503" s="73"/>
    </row>
    <row r="504" spans="1:8" ht="15.75">
      <c r="A504" s="16"/>
      <c r="D504" s="73"/>
      <c r="E504" s="73"/>
      <c r="F504" s="73"/>
      <c r="G504" s="73"/>
      <c r="H504" s="73"/>
    </row>
    <row r="505" spans="1:8" ht="15.75">
      <c r="A505" s="16"/>
      <c r="D505" s="73"/>
      <c r="E505" s="73"/>
      <c r="F505" s="73"/>
      <c r="G505" s="73"/>
      <c r="H505" s="73"/>
    </row>
    <row r="506" spans="1:8" ht="15.75">
      <c r="A506" s="16"/>
      <c r="D506" s="73"/>
      <c r="E506" s="73"/>
      <c r="F506" s="73"/>
      <c r="G506" s="73"/>
      <c r="H506" s="73"/>
    </row>
    <row r="507" spans="1:8" ht="15.75">
      <c r="A507" s="16"/>
      <c r="D507" s="73"/>
      <c r="E507" s="73"/>
      <c r="F507" s="73"/>
      <c r="G507" s="73"/>
      <c r="H507" s="73"/>
    </row>
    <row r="508" spans="1:8" ht="15.75">
      <c r="A508" s="16"/>
      <c r="D508" s="73"/>
      <c r="E508" s="73"/>
      <c r="F508" s="73"/>
      <c r="G508" s="73"/>
      <c r="H508" s="73"/>
    </row>
    <row r="509" spans="1:8" ht="15.75">
      <c r="A509" s="16"/>
      <c r="D509" s="73"/>
      <c r="E509" s="73"/>
      <c r="F509" s="73"/>
      <c r="G509" s="73"/>
      <c r="H509" s="73"/>
    </row>
    <row r="510" spans="1:8" ht="15.75">
      <c r="A510" s="16"/>
      <c r="D510" s="73"/>
      <c r="E510" s="73"/>
      <c r="F510" s="73"/>
      <c r="G510" s="73"/>
      <c r="H510" s="73"/>
    </row>
    <row r="511" spans="1:8" ht="15.75">
      <c r="A511" s="16"/>
      <c r="D511" s="73"/>
      <c r="E511" s="73"/>
      <c r="F511" s="73"/>
      <c r="G511" s="73"/>
      <c r="H511" s="73"/>
    </row>
    <row r="512" spans="1:8" ht="15.75">
      <c r="A512" s="16"/>
      <c r="D512" s="73"/>
      <c r="E512" s="73"/>
      <c r="F512" s="73"/>
      <c r="G512" s="73"/>
      <c r="H512" s="73"/>
    </row>
    <row r="513" spans="1:8" ht="15.75">
      <c r="A513" s="16"/>
      <c r="D513" s="73"/>
      <c r="E513" s="73"/>
      <c r="F513" s="73"/>
      <c r="G513" s="73"/>
      <c r="H513" s="73"/>
    </row>
    <row r="514" spans="1:8" ht="15.75">
      <c r="A514" s="16"/>
      <c r="D514" s="73"/>
      <c r="E514" s="73"/>
      <c r="F514" s="73"/>
      <c r="G514" s="73"/>
      <c r="H514" s="73"/>
    </row>
    <row r="515" spans="1:8" ht="15.75">
      <c r="A515" s="16"/>
      <c r="D515" s="73"/>
      <c r="E515" s="73"/>
      <c r="F515" s="73"/>
      <c r="G515" s="73"/>
      <c r="H515" s="73"/>
    </row>
    <row r="516" spans="1:8" ht="15.75">
      <c r="A516" s="16"/>
      <c r="D516" s="73"/>
      <c r="E516" s="73"/>
      <c r="F516" s="73"/>
      <c r="G516" s="73"/>
      <c r="H516" s="73"/>
    </row>
    <row r="517" spans="1:8" ht="15.75">
      <c r="A517" s="16"/>
      <c r="D517" s="73"/>
      <c r="E517" s="73"/>
      <c r="F517" s="73"/>
      <c r="G517" s="73"/>
      <c r="H517" s="73"/>
    </row>
    <row r="518" spans="1:8" ht="15.75">
      <c r="A518" s="16"/>
      <c r="D518" s="73"/>
      <c r="E518" s="73"/>
      <c r="F518" s="73"/>
      <c r="G518" s="73"/>
      <c r="H518" s="73"/>
    </row>
    <row r="519" spans="1:8" ht="15.75">
      <c r="A519" s="16"/>
      <c r="D519" s="73"/>
      <c r="E519" s="73"/>
      <c r="F519" s="73"/>
      <c r="G519" s="73"/>
      <c r="H519" s="73"/>
    </row>
    <row r="520" spans="1:8" ht="15.75">
      <c r="A520" s="16"/>
      <c r="D520" s="73"/>
      <c r="E520" s="73"/>
      <c r="F520" s="73"/>
      <c r="G520" s="73"/>
      <c r="H520" s="73"/>
    </row>
    <row r="521" spans="1:8" ht="15.75">
      <c r="A521" s="16"/>
      <c r="D521" s="73"/>
      <c r="E521" s="73"/>
      <c r="F521" s="73"/>
      <c r="G521" s="73"/>
      <c r="H521" s="73"/>
    </row>
    <row r="522" spans="1:8" ht="15.75">
      <c r="A522" s="16"/>
      <c r="D522" s="73"/>
      <c r="E522" s="73"/>
      <c r="F522" s="73"/>
      <c r="G522" s="73"/>
      <c r="H522" s="73"/>
    </row>
    <row r="523" spans="1:8" ht="15.75">
      <c r="A523" s="16"/>
      <c r="D523" s="73"/>
      <c r="E523" s="73"/>
      <c r="F523" s="73"/>
      <c r="G523" s="73"/>
      <c r="H523" s="73"/>
    </row>
    <row r="524" spans="1:8" ht="15.75">
      <c r="A524" s="16"/>
      <c r="D524" s="73"/>
      <c r="E524" s="73"/>
      <c r="F524" s="73"/>
      <c r="G524" s="73"/>
      <c r="H524" s="73"/>
    </row>
    <row r="525" spans="1:8" ht="15.75">
      <c r="A525" s="16"/>
      <c r="D525" s="73"/>
      <c r="E525" s="73"/>
      <c r="F525" s="73"/>
      <c r="G525" s="73"/>
      <c r="H525" s="73"/>
    </row>
    <row r="526" spans="1:8" ht="15.75">
      <c r="A526" s="16"/>
      <c r="D526" s="73"/>
      <c r="E526" s="73"/>
      <c r="F526" s="73"/>
      <c r="G526" s="73"/>
      <c r="H526" s="73"/>
    </row>
    <row r="527" spans="1:8" ht="15.75">
      <c r="A527" s="16"/>
      <c r="D527" s="73"/>
      <c r="E527" s="73"/>
      <c r="F527" s="73"/>
      <c r="G527" s="73"/>
      <c r="H527" s="73"/>
    </row>
    <row r="528" spans="1:8" ht="15.75">
      <c r="A528" s="16"/>
      <c r="D528" s="73"/>
      <c r="E528" s="73"/>
      <c r="F528" s="73"/>
      <c r="G528" s="73"/>
      <c r="H528" s="73"/>
    </row>
    <row r="529" spans="1:8" ht="15.75">
      <c r="A529" s="16"/>
      <c r="D529" s="73"/>
      <c r="E529" s="73"/>
      <c r="F529" s="73"/>
      <c r="G529" s="73"/>
      <c r="H529" s="73"/>
    </row>
    <row r="530" spans="1:8" ht="15.75">
      <c r="A530" s="16"/>
      <c r="D530" s="73"/>
      <c r="E530" s="73"/>
      <c r="F530" s="73"/>
      <c r="G530" s="73"/>
      <c r="H530" s="73"/>
    </row>
    <row r="531" spans="1:8" ht="15.75">
      <c r="A531" s="16"/>
      <c r="D531" s="73"/>
      <c r="E531" s="73"/>
      <c r="F531" s="73"/>
      <c r="G531" s="73"/>
      <c r="H531" s="73"/>
    </row>
    <row r="532" spans="1:8" ht="15.75">
      <c r="A532" s="16"/>
      <c r="D532" s="73"/>
      <c r="E532" s="73"/>
      <c r="F532" s="73"/>
      <c r="G532" s="73"/>
      <c r="H532" s="73"/>
    </row>
    <row r="533" spans="1:8" ht="15.75">
      <c r="A533" s="16"/>
      <c r="D533" s="73"/>
      <c r="E533" s="73"/>
      <c r="F533" s="73"/>
      <c r="G533" s="73"/>
      <c r="H533" s="73"/>
    </row>
    <row r="534" spans="1:8" ht="15.75">
      <c r="A534" s="16"/>
      <c r="D534" s="73"/>
      <c r="E534" s="73"/>
      <c r="F534" s="73"/>
      <c r="G534" s="73"/>
      <c r="H534" s="73"/>
    </row>
    <row r="535" spans="1:8" ht="15.75">
      <c r="A535" s="16"/>
      <c r="D535" s="73"/>
      <c r="E535" s="73"/>
      <c r="F535" s="73"/>
      <c r="G535" s="73"/>
      <c r="H535" s="73"/>
    </row>
    <row r="536" spans="1:8" ht="15.75">
      <c r="A536" s="16"/>
      <c r="D536" s="73"/>
      <c r="E536" s="73"/>
      <c r="F536" s="73"/>
      <c r="G536" s="73"/>
      <c r="H536" s="73"/>
    </row>
    <row r="537" spans="1:8" ht="15.75">
      <c r="A537" s="16"/>
      <c r="D537" s="73"/>
      <c r="E537" s="73"/>
      <c r="F537" s="73"/>
      <c r="G537" s="73"/>
      <c r="H537" s="73"/>
    </row>
    <row r="538" spans="1:8" ht="15.75">
      <c r="A538" s="16"/>
      <c r="D538" s="73"/>
      <c r="E538" s="73"/>
      <c r="F538" s="73"/>
      <c r="G538" s="73"/>
      <c r="H538" s="73"/>
    </row>
    <row r="539" spans="1:8" ht="15.75">
      <c r="A539" s="16"/>
      <c r="D539" s="73"/>
      <c r="E539" s="73"/>
      <c r="F539" s="73"/>
      <c r="G539" s="73"/>
      <c r="H539" s="73"/>
    </row>
    <row r="540" spans="1:8" ht="15.75">
      <c r="A540" s="16"/>
      <c r="D540" s="73"/>
      <c r="E540" s="73"/>
      <c r="F540" s="73"/>
      <c r="G540" s="73"/>
      <c r="H540" s="73"/>
    </row>
    <row r="541" spans="1:8" ht="15.75">
      <c r="A541" s="16"/>
      <c r="D541" s="73"/>
      <c r="E541" s="73"/>
      <c r="F541" s="73"/>
      <c r="G541" s="73"/>
      <c r="H541" s="73"/>
    </row>
    <row r="542" spans="1:8" ht="15.75">
      <c r="A542" s="16"/>
      <c r="D542" s="73"/>
      <c r="E542" s="73"/>
      <c r="F542" s="73"/>
      <c r="G542" s="73"/>
      <c r="H542" s="73"/>
    </row>
    <row r="543" spans="1:8" ht="15.75">
      <c r="A543" s="16"/>
      <c r="D543" s="73"/>
      <c r="E543" s="73"/>
      <c r="F543" s="73"/>
      <c r="G543" s="73"/>
      <c r="H543" s="73"/>
    </row>
    <row r="544" spans="1:8" ht="15.75">
      <c r="A544" s="16"/>
      <c r="D544" s="73"/>
      <c r="E544" s="73"/>
      <c r="F544" s="73"/>
      <c r="G544" s="73"/>
      <c r="H544" s="73"/>
    </row>
    <row r="545" spans="1:8" ht="15.75">
      <c r="A545" s="16"/>
      <c r="D545" s="73"/>
      <c r="E545" s="73"/>
      <c r="F545" s="73"/>
      <c r="G545" s="73"/>
      <c r="H545" s="73"/>
    </row>
    <row r="546" spans="1:8" ht="15.75">
      <c r="A546" s="16"/>
      <c r="D546" s="73"/>
      <c r="E546" s="73"/>
      <c r="F546" s="73"/>
      <c r="G546" s="73"/>
      <c r="H546" s="73"/>
    </row>
    <row r="547" spans="1:8" ht="15.75">
      <c r="A547" s="16"/>
      <c r="D547" s="73"/>
      <c r="E547" s="73"/>
      <c r="F547" s="73"/>
      <c r="G547" s="73"/>
      <c r="H547" s="73"/>
    </row>
    <row r="548" spans="1:8" ht="15.75">
      <c r="A548" s="16"/>
      <c r="D548" s="73"/>
      <c r="E548" s="73"/>
      <c r="F548" s="73"/>
      <c r="G548" s="73"/>
      <c r="H548" s="73"/>
    </row>
    <row r="549" spans="1:8" ht="15.75">
      <c r="A549" s="16"/>
      <c r="D549" s="73"/>
      <c r="E549" s="73"/>
      <c r="F549" s="73"/>
      <c r="G549" s="73"/>
      <c r="H549" s="73"/>
    </row>
    <row r="550" spans="1:8" ht="15.75">
      <c r="A550" s="16"/>
      <c r="D550" s="73"/>
      <c r="E550" s="73"/>
      <c r="F550" s="73"/>
      <c r="G550" s="73"/>
      <c r="H550" s="73"/>
    </row>
    <row r="551" spans="1:8" ht="15.75">
      <c r="A551" s="16"/>
      <c r="D551" s="73"/>
      <c r="E551" s="73"/>
      <c r="F551" s="73"/>
      <c r="G551" s="73"/>
      <c r="H551" s="73"/>
    </row>
    <row r="552" spans="1:8" ht="15.75">
      <c r="A552" s="16"/>
      <c r="D552" s="73"/>
      <c r="E552" s="73"/>
      <c r="F552" s="73"/>
      <c r="G552" s="73"/>
      <c r="H552" s="73"/>
    </row>
    <row r="553" spans="1:8" ht="15.75">
      <c r="A553" s="16"/>
      <c r="D553" s="73"/>
      <c r="E553" s="73"/>
      <c r="F553" s="73"/>
      <c r="G553" s="73"/>
      <c r="H553" s="73"/>
    </row>
    <row r="554" spans="1:8" ht="15.75">
      <c r="A554" s="16"/>
      <c r="D554" s="73"/>
      <c r="E554" s="73"/>
      <c r="F554" s="73"/>
      <c r="G554" s="73"/>
      <c r="H554" s="73"/>
    </row>
    <row r="555" spans="1:8" ht="15.75">
      <c r="A555" s="16"/>
      <c r="D555" s="73"/>
      <c r="E555" s="73"/>
      <c r="F555" s="73"/>
      <c r="G555" s="73"/>
      <c r="H555" s="73"/>
    </row>
    <row r="556" spans="1:8" ht="15.75">
      <c r="A556" s="16"/>
      <c r="D556" s="73"/>
      <c r="E556" s="73"/>
      <c r="F556" s="73"/>
      <c r="G556" s="73"/>
      <c r="H556" s="73"/>
    </row>
    <row r="557" spans="1:8" ht="15.75">
      <c r="A557" s="16"/>
      <c r="D557" s="73"/>
      <c r="E557" s="73"/>
      <c r="F557" s="73"/>
      <c r="G557" s="73"/>
      <c r="H557" s="73"/>
    </row>
    <row r="558" spans="1:8" ht="15.75">
      <c r="A558" s="16"/>
      <c r="D558" s="73"/>
      <c r="E558" s="73"/>
      <c r="F558" s="73"/>
      <c r="G558" s="73"/>
      <c r="H558" s="73"/>
    </row>
    <row r="559" spans="1:8" ht="15.75">
      <c r="A559" s="16"/>
      <c r="D559" s="73"/>
      <c r="E559" s="73"/>
      <c r="F559" s="73"/>
      <c r="G559" s="73"/>
      <c r="H559" s="73"/>
    </row>
    <row r="560" spans="1:8" ht="15.75">
      <c r="A560" s="16"/>
      <c r="D560" s="73"/>
      <c r="E560" s="73"/>
      <c r="F560" s="73"/>
      <c r="G560" s="73"/>
      <c r="H560" s="73"/>
    </row>
    <row r="561" spans="1:8" ht="15.75">
      <c r="A561" s="16"/>
      <c r="D561" s="73"/>
      <c r="E561" s="73"/>
      <c r="F561" s="73"/>
      <c r="G561" s="73"/>
      <c r="H561" s="73"/>
    </row>
    <row r="562" spans="1:8" ht="15.75">
      <c r="A562" s="16"/>
      <c r="D562" s="73"/>
      <c r="E562" s="73"/>
      <c r="F562" s="73"/>
      <c r="G562" s="73"/>
      <c r="H562" s="73"/>
    </row>
    <row r="563" spans="1:8" ht="15.75">
      <c r="A563" s="16"/>
      <c r="D563" s="73"/>
      <c r="E563" s="73"/>
      <c r="F563" s="73"/>
      <c r="G563" s="73"/>
      <c r="H563" s="73"/>
    </row>
    <row r="564" spans="1:8" ht="15.75">
      <c r="A564" s="16"/>
      <c r="D564" s="73"/>
      <c r="E564" s="73"/>
      <c r="F564" s="73"/>
      <c r="G564" s="73"/>
      <c r="H564" s="73"/>
    </row>
    <row r="565" spans="1:8" ht="15.75">
      <c r="A565" s="16"/>
      <c r="D565" s="73"/>
      <c r="E565" s="73"/>
      <c r="F565" s="73"/>
      <c r="G565" s="73"/>
      <c r="H565" s="73"/>
    </row>
    <row r="566" spans="1:8" ht="15.75">
      <c r="A566" s="16"/>
      <c r="D566" s="73"/>
      <c r="E566" s="73"/>
      <c r="F566" s="73"/>
      <c r="G566" s="73"/>
      <c r="H566" s="73"/>
    </row>
    <row r="567" spans="1:8" ht="15.75">
      <c r="A567" s="16"/>
      <c r="D567" s="73"/>
      <c r="E567" s="73"/>
      <c r="F567" s="73"/>
      <c r="G567" s="73"/>
      <c r="H567" s="73"/>
    </row>
    <row r="568" spans="1:8" ht="15.75">
      <c r="A568" s="16"/>
      <c r="D568" s="73"/>
      <c r="E568" s="73"/>
      <c r="F568" s="73"/>
      <c r="G568" s="73"/>
      <c r="H568" s="73"/>
    </row>
    <row r="569" spans="1:8" ht="15.75">
      <c r="A569" s="16"/>
      <c r="D569" s="73"/>
      <c r="E569" s="73"/>
      <c r="F569" s="73"/>
      <c r="G569" s="73"/>
      <c r="H569" s="73"/>
    </row>
    <row r="570" spans="1:8" ht="15.75">
      <c r="A570" s="16"/>
      <c r="D570" s="73"/>
      <c r="E570" s="73"/>
      <c r="F570" s="73"/>
      <c r="G570" s="73"/>
      <c r="H570" s="73"/>
    </row>
    <row r="571" spans="1:8" ht="15.75">
      <c r="A571" s="16"/>
      <c r="D571" s="73"/>
      <c r="E571" s="73"/>
      <c r="F571" s="73"/>
      <c r="G571" s="73"/>
      <c r="H571" s="73"/>
    </row>
    <row r="572" spans="1:8" ht="15.75">
      <c r="A572" s="16"/>
      <c r="D572" s="73"/>
      <c r="E572" s="73"/>
      <c r="F572" s="73"/>
      <c r="G572" s="73"/>
      <c r="H572" s="73"/>
    </row>
    <row r="573" spans="1:8" ht="15.75">
      <c r="A573" s="16"/>
      <c r="D573" s="73"/>
      <c r="E573" s="73"/>
      <c r="F573" s="73"/>
      <c r="G573" s="73"/>
      <c r="H573" s="73"/>
    </row>
    <row r="574" spans="1:8" ht="15.75">
      <c r="A574" s="16"/>
      <c r="D574" s="73"/>
      <c r="E574" s="73"/>
      <c r="F574" s="73"/>
      <c r="G574" s="73"/>
      <c r="H574" s="73"/>
    </row>
    <row r="575" spans="1:8" ht="15.75">
      <c r="A575" s="16"/>
      <c r="D575" s="73"/>
      <c r="E575" s="73"/>
      <c r="F575" s="73"/>
      <c r="G575" s="73"/>
      <c r="H575" s="73"/>
    </row>
    <row r="576" spans="1:8" ht="15.75">
      <c r="A576" s="16"/>
      <c r="D576" s="73"/>
      <c r="E576" s="73"/>
      <c r="F576" s="73"/>
      <c r="G576" s="73"/>
      <c r="H576" s="73"/>
    </row>
    <row r="577" spans="1:8" ht="15.75">
      <c r="A577" s="16"/>
      <c r="D577" s="73"/>
      <c r="E577" s="73"/>
      <c r="F577" s="73"/>
      <c r="G577" s="73"/>
      <c r="H577" s="73"/>
    </row>
    <row r="578" spans="1:8" ht="15.75">
      <c r="A578" s="16"/>
      <c r="D578" s="73"/>
      <c r="E578" s="73"/>
      <c r="F578" s="73"/>
      <c r="G578" s="73"/>
      <c r="H578" s="73"/>
    </row>
    <row r="579" spans="1:8" ht="15.75">
      <c r="A579" s="16"/>
      <c r="D579" s="73"/>
      <c r="E579" s="73"/>
      <c r="F579" s="73"/>
      <c r="G579" s="73"/>
      <c r="H579" s="73"/>
    </row>
    <row r="580" spans="1:8" ht="15.75">
      <c r="A580" s="16"/>
      <c r="D580" s="73"/>
      <c r="E580" s="73"/>
      <c r="F580" s="73"/>
      <c r="G580" s="73"/>
      <c r="H580" s="73"/>
    </row>
    <row r="581" spans="1:8" ht="15.75">
      <c r="A581" s="16"/>
      <c r="D581" s="73"/>
      <c r="E581" s="73"/>
      <c r="F581" s="73"/>
      <c r="G581" s="73"/>
      <c r="H581" s="73"/>
    </row>
    <row r="582" spans="1:8" ht="15.75">
      <c r="A582" s="16"/>
      <c r="D582" s="73"/>
      <c r="E582" s="73"/>
      <c r="F582" s="73"/>
      <c r="G582" s="73"/>
      <c r="H582" s="73"/>
    </row>
    <row r="583" spans="1:8" ht="15.75">
      <c r="A583" s="16"/>
      <c r="D583" s="73"/>
      <c r="E583" s="73"/>
      <c r="F583" s="73"/>
      <c r="G583" s="73"/>
      <c r="H583" s="73"/>
    </row>
    <row r="584" spans="1:8" ht="15.75">
      <c r="A584" s="16"/>
      <c r="D584" s="73"/>
      <c r="E584" s="73"/>
      <c r="F584" s="73"/>
      <c r="G584" s="73"/>
      <c r="H584" s="73"/>
    </row>
    <row r="585" spans="1:8" ht="15.75">
      <c r="A585" s="16"/>
      <c r="D585" s="73"/>
      <c r="E585" s="73"/>
      <c r="F585" s="73"/>
      <c r="G585" s="73"/>
      <c r="H585" s="73"/>
    </row>
    <row r="586" spans="1:8" ht="15.75">
      <c r="A586" s="16"/>
      <c r="D586" s="73"/>
      <c r="E586" s="73"/>
      <c r="F586" s="73"/>
      <c r="G586" s="73"/>
      <c r="H586" s="73"/>
    </row>
    <row r="587" spans="1:8" ht="15.75">
      <c r="A587" s="16"/>
      <c r="D587" s="73"/>
      <c r="E587" s="73"/>
      <c r="F587" s="73"/>
      <c r="G587" s="73"/>
      <c r="H587" s="73"/>
    </row>
    <row r="588" spans="1:8" ht="15.75">
      <c r="A588" s="16"/>
      <c r="D588" s="73"/>
      <c r="E588" s="73"/>
      <c r="F588" s="73"/>
      <c r="G588" s="73"/>
      <c r="H588" s="73"/>
    </row>
    <row r="589" spans="1:8" ht="15.75">
      <c r="A589" s="16"/>
      <c r="D589" s="73"/>
      <c r="E589" s="73"/>
      <c r="F589" s="73"/>
      <c r="G589" s="73"/>
      <c r="H589" s="73"/>
    </row>
    <row r="590" spans="1:8" ht="15.75">
      <c r="A590" s="16"/>
      <c r="D590" s="73"/>
      <c r="E590" s="73"/>
      <c r="F590" s="73"/>
      <c r="G590" s="73"/>
      <c r="H590" s="73"/>
    </row>
    <row r="591" spans="1:8" ht="15.75">
      <c r="A591" s="16"/>
      <c r="D591" s="73"/>
      <c r="E591" s="73"/>
      <c r="F591" s="73"/>
      <c r="G591" s="73"/>
      <c r="H591" s="73"/>
    </row>
    <row r="592" spans="1:8" ht="15.75">
      <c r="A592" s="16"/>
      <c r="D592" s="73"/>
      <c r="E592" s="73"/>
      <c r="F592" s="73"/>
      <c r="G592" s="73"/>
      <c r="H592" s="73"/>
    </row>
    <row r="593" spans="1:8" ht="15.75">
      <c r="A593" s="16"/>
      <c r="D593" s="73"/>
      <c r="E593" s="73"/>
      <c r="F593" s="73"/>
      <c r="G593" s="73"/>
      <c r="H593" s="73"/>
    </row>
    <row r="594" spans="1:8" ht="15.75">
      <c r="A594" s="16"/>
      <c r="D594" s="73"/>
      <c r="E594" s="73"/>
      <c r="F594" s="73"/>
      <c r="G594" s="73"/>
      <c r="H594" s="73"/>
    </row>
    <row r="595" spans="1:8" ht="15.75">
      <c r="A595" s="16"/>
      <c r="D595" s="73"/>
      <c r="E595" s="73"/>
      <c r="F595" s="73"/>
      <c r="G595" s="73"/>
      <c r="H595" s="73"/>
    </row>
    <row r="596" spans="1:8" ht="15.75">
      <c r="A596" s="16"/>
      <c r="D596" s="73"/>
      <c r="E596" s="73"/>
      <c r="F596" s="73"/>
      <c r="G596" s="73"/>
      <c r="H596" s="73"/>
    </row>
    <row r="597" spans="1:8" ht="15.75">
      <c r="A597" s="16"/>
      <c r="D597" s="73"/>
      <c r="E597" s="73"/>
      <c r="F597" s="73"/>
      <c r="G597" s="73"/>
      <c r="H597" s="73"/>
    </row>
    <row r="598" spans="1:8" ht="15.75">
      <c r="A598" s="16"/>
      <c r="D598" s="73"/>
      <c r="E598" s="73"/>
      <c r="F598" s="73"/>
      <c r="G598" s="73"/>
      <c r="H598" s="73"/>
    </row>
    <row r="599" spans="1:8" ht="15.75">
      <c r="A599" s="16"/>
      <c r="D599" s="73"/>
      <c r="E599" s="73"/>
      <c r="F599" s="73"/>
      <c r="G599" s="73"/>
      <c r="H599" s="73"/>
    </row>
    <row r="600" spans="1:8" ht="15.75">
      <c r="A600" s="16"/>
      <c r="D600" s="73"/>
      <c r="E600" s="73"/>
      <c r="F600" s="73"/>
      <c r="G600" s="73"/>
      <c r="H600" s="73"/>
    </row>
    <row r="601" spans="1:8" ht="15.75">
      <c r="A601" s="16"/>
      <c r="D601" s="73"/>
      <c r="E601" s="73"/>
      <c r="F601" s="73"/>
      <c r="G601" s="73"/>
      <c r="H601" s="73"/>
    </row>
    <row r="602" spans="1:8" ht="15.75">
      <c r="A602" s="16"/>
      <c r="D602" s="73"/>
      <c r="E602" s="73"/>
      <c r="F602" s="73"/>
      <c r="G602" s="73"/>
      <c r="H602" s="73"/>
    </row>
    <row r="603" spans="1:8" ht="15.75">
      <c r="A603" s="16"/>
      <c r="D603" s="73"/>
      <c r="E603" s="73"/>
      <c r="F603" s="73"/>
      <c r="G603" s="73"/>
      <c r="H603" s="73"/>
    </row>
    <row r="604" spans="1:8" ht="15.75">
      <c r="A604" s="16"/>
      <c r="D604" s="73"/>
      <c r="E604" s="73"/>
      <c r="F604" s="73"/>
      <c r="G604" s="73"/>
      <c r="H604" s="73"/>
    </row>
    <row r="605" spans="1:8" ht="15.75">
      <c r="A605" s="16"/>
      <c r="D605" s="73"/>
      <c r="E605" s="73"/>
      <c r="F605" s="73"/>
      <c r="G605" s="73"/>
      <c r="H605" s="73"/>
    </row>
    <row r="606" spans="1:8" ht="15.75">
      <c r="A606" s="16"/>
      <c r="D606" s="73"/>
      <c r="E606" s="73"/>
      <c r="F606" s="73"/>
      <c r="G606" s="73"/>
      <c r="H606" s="73"/>
    </row>
    <row r="607" spans="1:8" ht="15.75">
      <c r="A607" s="16"/>
      <c r="D607" s="73"/>
      <c r="E607" s="73"/>
      <c r="F607" s="73"/>
      <c r="G607" s="73"/>
      <c r="H607" s="73"/>
    </row>
    <row r="608" spans="1:8" ht="15.75">
      <c r="A608" s="16"/>
      <c r="D608" s="73"/>
      <c r="E608" s="73"/>
      <c r="F608" s="73"/>
      <c r="G608" s="73"/>
      <c r="H608" s="73"/>
    </row>
    <row r="609" spans="1:8" ht="15.75">
      <c r="A609" s="16"/>
      <c r="D609" s="73"/>
      <c r="E609" s="73"/>
      <c r="F609" s="73"/>
      <c r="G609" s="73"/>
      <c r="H609" s="73"/>
    </row>
    <row r="610" spans="1:8" ht="15.75">
      <c r="A610" s="16"/>
      <c r="D610" s="73"/>
      <c r="E610" s="73"/>
      <c r="F610" s="73"/>
      <c r="G610" s="73"/>
      <c r="H610" s="73"/>
    </row>
    <row r="611" spans="1:8" ht="15.75">
      <c r="A611" s="16"/>
      <c r="D611" s="73"/>
      <c r="E611" s="73"/>
      <c r="F611" s="73"/>
      <c r="G611" s="73"/>
      <c r="H611" s="73"/>
    </row>
    <row r="612" spans="1:8" ht="15.75">
      <c r="A612" s="16"/>
      <c r="D612" s="73"/>
      <c r="E612" s="73"/>
      <c r="F612" s="73"/>
      <c r="G612" s="73"/>
      <c r="H612" s="73"/>
    </row>
    <row r="613" spans="1:8" ht="15.75">
      <c r="A613" s="16"/>
      <c r="D613" s="73"/>
      <c r="E613" s="73"/>
      <c r="F613" s="73"/>
      <c r="G613" s="73"/>
      <c r="H613" s="73"/>
    </row>
    <row r="614" spans="1:8" ht="15.75">
      <c r="A614" s="16"/>
      <c r="D614" s="73"/>
      <c r="E614" s="73"/>
      <c r="F614" s="73"/>
      <c r="G614" s="73"/>
      <c r="H614" s="73"/>
    </row>
    <row r="615" spans="1:8" ht="15.75">
      <c r="A615" s="16"/>
      <c r="D615" s="73"/>
      <c r="E615" s="73"/>
      <c r="F615" s="73"/>
      <c r="G615" s="73"/>
      <c r="H615" s="73"/>
    </row>
    <row r="616" spans="1:8" ht="15.75">
      <c r="A616" s="16"/>
      <c r="D616" s="73"/>
      <c r="E616" s="73"/>
      <c r="F616" s="73"/>
      <c r="G616" s="73"/>
      <c r="H616" s="73"/>
    </row>
    <row r="617" spans="1:8" ht="15.75">
      <c r="A617" s="16"/>
      <c r="D617" s="73"/>
      <c r="E617" s="73"/>
      <c r="F617" s="73"/>
      <c r="G617" s="73"/>
      <c r="H617" s="73"/>
    </row>
    <row r="618" spans="1:8" ht="15.75">
      <c r="A618" s="16"/>
      <c r="D618" s="73"/>
      <c r="E618" s="73"/>
      <c r="F618" s="73"/>
      <c r="G618" s="73"/>
      <c r="H618" s="73"/>
    </row>
    <row r="619" spans="1:8" ht="15.75">
      <c r="A619" s="16"/>
      <c r="D619" s="73"/>
      <c r="E619" s="73"/>
      <c r="F619" s="73"/>
      <c r="G619" s="73"/>
      <c r="H619" s="73"/>
    </row>
    <row r="620" spans="1:8" ht="15.75">
      <c r="A620" s="16"/>
      <c r="D620" s="73"/>
      <c r="E620" s="73"/>
      <c r="F620" s="73"/>
      <c r="G620" s="73"/>
      <c r="H620" s="73"/>
    </row>
    <row r="621" spans="1:8" ht="15.75">
      <c r="A621" s="16"/>
      <c r="D621" s="73"/>
      <c r="E621" s="73"/>
      <c r="F621" s="73"/>
      <c r="G621" s="73"/>
      <c r="H621" s="73"/>
    </row>
    <row r="622" spans="1:8" ht="15.75">
      <c r="A622" s="16"/>
      <c r="D622" s="73"/>
      <c r="E622" s="73"/>
      <c r="F622" s="73"/>
      <c r="G622" s="73"/>
      <c r="H622" s="73"/>
    </row>
    <row r="623" spans="1:8" ht="15.75">
      <c r="A623" s="16"/>
      <c r="D623" s="73"/>
      <c r="E623" s="73"/>
      <c r="F623" s="73"/>
      <c r="G623" s="73"/>
      <c r="H623" s="73"/>
    </row>
    <row r="624" spans="1:8" ht="15.75">
      <c r="A624" s="16"/>
      <c r="D624" s="73"/>
      <c r="E624" s="73"/>
      <c r="F624" s="73"/>
      <c r="G624" s="73"/>
      <c r="H624" s="73"/>
    </row>
    <row r="625" spans="1:8" ht="15.75">
      <c r="A625" s="16"/>
      <c r="D625" s="73"/>
      <c r="E625" s="73"/>
      <c r="F625" s="73"/>
      <c r="G625" s="73"/>
      <c r="H625" s="73"/>
    </row>
    <row r="626" spans="1:8" ht="15.75">
      <c r="A626" s="16"/>
      <c r="D626" s="73"/>
      <c r="E626" s="73"/>
      <c r="F626" s="73"/>
      <c r="G626" s="73"/>
      <c r="H626" s="73"/>
    </row>
    <row r="627" spans="1:8" ht="15.75">
      <c r="A627" s="16"/>
      <c r="D627" s="73"/>
      <c r="E627" s="73"/>
      <c r="F627" s="73"/>
      <c r="G627" s="73"/>
      <c r="H627" s="73"/>
    </row>
    <row r="628" spans="1:8" ht="15.75">
      <c r="A628" s="16"/>
      <c r="D628" s="73"/>
      <c r="E628" s="73"/>
      <c r="F628" s="73"/>
      <c r="G628" s="73"/>
      <c r="H628" s="73"/>
    </row>
    <row r="629" spans="1:8" ht="15.75">
      <c r="A629" s="16"/>
      <c r="D629" s="73"/>
      <c r="E629" s="73"/>
      <c r="F629" s="73"/>
      <c r="G629" s="73"/>
      <c r="H629" s="73"/>
    </row>
    <row r="630" spans="1:8" ht="15.75">
      <c r="A630" s="16"/>
      <c r="D630" s="73"/>
      <c r="E630" s="73"/>
      <c r="F630" s="73"/>
      <c r="G630" s="73"/>
      <c r="H630" s="73"/>
    </row>
    <row r="631" spans="1:8" ht="15.75">
      <c r="A631" s="16"/>
      <c r="D631" s="73"/>
      <c r="E631" s="73"/>
      <c r="F631" s="73"/>
      <c r="G631" s="73"/>
      <c r="H631" s="73"/>
    </row>
    <row r="632" spans="1:8" ht="15.75">
      <c r="A632" s="16"/>
      <c r="D632" s="73"/>
      <c r="E632" s="73"/>
      <c r="F632" s="73"/>
      <c r="G632" s="73"/>
      <c r="H632" s="73"/>
    </row>
    <row r="633" spans="1:8" ht="15.75">
      <c r="A633" s="16"/>
      <c r="D633" s="73"/>
      <c r="E633" s="73"/>
      <c r="F633" s="73"/>
      <c r="G633" s="73"/>
      <c r="H633" s="73"/>
    </row>
    <row r="634" spans="1:8" ht="15.75">
      <c r="A634" s="16"/>
      <c r="D634" s="73"/>
      <c r="E634" s="73"/>
      <c r="F634" s="73"/>
      <c r="G634" s="73"/>
      <c r="H634" s="73"/>
    </row>
    <row r="635" spans="1:8" ht="15.75">
      <c r="A635" s="16"/>
      <c r="D635" s="73"/>
      <c r="E635" s="73"/>
      <c r="F635" s="73"/>
      <c r="G635" s="73"/>
      <c r="H635" s="73"/>
    </row>
    <row r="636" spans="1:8" ht="15.75">
      <c r="A636" s="16"/>
      <c r="D636" s="73"/>
      <c r="E636" s="73"/>
      <c r="F636" s="73"/>
      <c r="G636" s="73"/>
      <c r="H636" s="73"/>
    </row>
    <row r="637" spans="1:8" ht="15.75">
      <c r="A637" s="16"/>
      <c r="D637" s="73"/>
      <c r="E637" s="73"/>
      <c r="F637" s="73"/>
      <c r="G637" s="73"/>
      <c r="H637" s="73"/>
    </row>
    <row r="638" spans="1:8" ht="15.75">
      <c r="A638" s="16"/>
      <c r="D638" s="73"/>
      <c r="E638" s="73"/>
      <c r="F638" s="73"/>
      <c r="G638" s="73"/>
      <c r="H638" s="73"/>
    </row>
    <row r="639" spans="1:8" ht="15.75">
      <c r="A639" s="16"/>
      <c r="D639" s="73"/>
      <c r="E639" s="73"/>
      <c r="F639" s="73"/>
      <c r="G639" s="73"/>
      <c r="H639" s="73"/>
    </row>
    <row r="640" spans="1:8" ht="15.75">
      <c r="A640" s="16"/>
      <c r="D640" s="73"/>
      <c r="E640" s="73"/>
      <c r="F640" s="73"/>
      <c r="G640" s="73"/>
      <c r="H640" s="73"/>
    </row>
    <row r="641" spans="1:8" ht="15.75">
      <c r="A641" s="16"/>
      <c r="D641" s="73"/>
      <c r="E641" s="73"/>
      <c r="F641" s="73"/>
      <c r="G641" s="73"/>
      <c r="H641" s="73"/>
    </row>
    <row r="642" spans="1:8" ht="15.75">
      <c r="A642" s="16"/>
      <c r="D642" s="73"/>
      <c r="E642" s="73"/>
      <c r="F642" s="73"/>
      <c r="G642" s="73"/>
      <c r="H642" s="73"/>
    </row>
    <row r="643" spans="1:8" ht="15.75">
      <c r="A643" s="16"/>
      <c r="D643" s="73"/>
      <c r="E643" s="73"/>
      <c r="F643" s="73"/>
      <c r="G643" s="73"/>
      <c r="H643" s="73"/>
    </row>
    <row r="644" spans="1:8" ht="15.75">
      <c r="A644" s="16"/>
      <c r="D644" s="73"/>
      <c r="E644" s="73"/>
      <c r="F644" s="73"/>
      <c r="G644" s="73"/>
      <c r="H644" s="73"/>
    </row>
    <row r="645" spans="1:8" ht="15.75">
      <c r="A645" s="16"/>
      <c r="D645" s="73"/>
      <c r="E645" s="73"/>
      <c r="F645" s="73"/>
      <c r="G645" s="73"/>
      <c r="H645" s="73"/>
    </row>
    <row r="646" spans="1:8" ht="15.75">
      <c r="A646" s="16"/>
      <c r="D646" s="73"/>
      <c r="E646" s="73"/>
      <c r="F646" s="73"/>
      <c r="G646" s="73"/>
      <c r="H646" s="73"/>
    </row>
    <row r="647" spans="1:8" ht="15.75">
      <c r="A647" s="16"/>
      <c r="D647" s="73"/>
      <c r="E647" s="73"/>
      <c r="F647" s="73"/>
      <c r="G647" s="73"/>
      <c r="H647" s="73"/>
    </row>
    <row r="648" spans="1:8" ht="15.75">
      <c r="A648" s="16"/>
      <c r="D648" s="73"/>
      <c r="E648" s="73"/>
      <c r="F648" s="73"/>
      <c r="G648" s="73"/>
      <c r="H648" s="73"/>
    </row>
    <row r="649" spans="1:8" ht="15.75">
      <c r="A649" s="16"/>
      <c r="D649" s="73"/>
      <c r="E649" s="73"/>
      <c r="F649" s="73"/>
      <c r="G649" s="73"/>
      <c r="H649" s="73"/>
    </row>
    <row r="650" spans="1:8" ht="15.75">
      <c r="A650" s="16"/>
      <c r="D650" s="73"/>
      <c r="E650" s="73"/>
      <c r="F650" s="73"/>
      <c r="G650" s="73"/>
      <c r="H650" s="73"/>
    </row>
    <row r="651" spans="1:8" ht="15.75">
      <c r="A651" s="16"/>
      <c r="D651" s="73"/>
      <c r="E651" s="73"/>
      <c r="F651" s="73"/>
      <c r="G651" s="73"/>
      <c r="H651" s="73"/>
    </row>
    <row r="652" spans="1:8" ht="15.75">
      <c r="A652" s="16"/>
      <c r="D652" s="73"/>
      <c r="E652" s="73"/>
      <c r="F652" s="73"/>
      <c r="G652" s="73"/>
      <c r="H652" s="73"/>
    </row>
    <row r="653" spans="1:8" ht="15.75">
      <c r="A653" s="16"/>
      <c r="D653" s="73"/>
      <c r="E653" s="73"/>
      <c r="F653" s="73"/>
      <c r="G653" s="73"/>
      <c r="H653" s="73"/>
    </row>
    <row r="654" spans="1:8" ht="15.75">
      <c r="A654" s="16"/>
      <c r="D654" s="73"/>
      <c r="E654" s="73"/>
      <c r="F654" s="73"/>
      <c r="G654" s="73"/>
      <c r="H654" s="73"/>
    </row>
    <row r="655" spans="1:8" ht="15.75">
      <c r="A655" s="16"/>
      <c r="D655" s="73"/>
      <c r="E655" s="73"/>
      <c r="F655" s="73"/>
      <c r="G655" s="73"/>
      <c r="H655" s="73"/>
    </row>
    <row r="656" spans="1:8" ht="15.75">
      <c r="A656" s="16"/>
      <c r="D656" s="73"/>
      <c r="E656" s="73"/>
      <c r="F656" s="73"/>
      <c r="G656" s="73"/>
      <c r="H656" s="73"/>
    </row>
    <row r="657" spans="1:8" ht="15.75">
      <c r="A657" s="16"/>
      <c r="D657" s="73"/>
      <c r="E657" s="73"/>
      <c r="F657" s="73"/>
      <c r="G657" s="73"/>
      <c r="H657" s="73"/>
    </row>
    <row r="658" spans="1:8" ht="15.75">
      <c r="A658" s="16"/>
      <c r="D658" s="73"/>
      <c r="E658" s="73"/>
      <c r="F658" s="73"/>
      <c r="G658" s="73"/>
      <c r="H658" s="73"/>
    </row>
    <row r="659" spans="1:8" ht="15.75">
      <c r="A659" s="16"/>
      <c r="D659" s="73"/>
      <c r="E659" s="73"/>
      <c r="F659" s="73"/>
      <c r="G659" s="73"/>
      <c r="H659" s="73"/>
    </row>
    <row r="660" spans="1:8" ht="15.75">
      <c r="A660" s="16"/>
      <c r="D660" s="73"/>
      <c r="E660" s="73"/>
      <c r="F660" s="73"/>
      <c r="G660" s="73"/>
      <c r="H660" s="73"/>
    </row>
    <row r="661" spans="1:8" ht="15.75">
      <c r="A661" s="16"/>
      <c r="D661" s="73"/>
      <c r="E661" s="73"/>
      <c r="F661" s="73"/>
      <c r="G661" s="73"/>
      <c r="H661" s="73"/>
    </row>
    <row r="662" spans="1:8" ht="15.75">
      <c r="A662" s="16"/>
      <c r="D662" s="73"/>
      <c r="E662" s="73"/>
      <c r="F662" s="73"/>
      <c r="G662" s="73"/>
      <c r="H662" s="73"/>
    </row>
    <row r="663" spans="1:8" ht="15.75">
      <c r="A663" s="16"/>
      <c r="D663" s="73"/>
      <c r="E663" s="73"/>
      <c r="F663" s="73"/>
      <c r="G663" s="73"/>
      <c r="H663" s="73"/>
    </row>
    <row r="664" spans="1:8" ht="15.75">
      <c r="A664" s="16"/>
      <c r="D664" s="73"/>
      <c r="E664" s="73"/>
      <c r="F664" s="73"/>
      <c r="G664" s="73"/>
      <c r="H664" s="73"/>
    </row>
    <row r="665" spans="1:8" ht="15.75">
      <c r="A665" s="16"/>
      <c r="D665" s="73"/>
      <c r="E665" s="73"/>
      <c r="F665" s="73"/>
      <c r="G665" s="73"/>
      <c r="H665" s="73"/>
    </row>
    <row r="666" spans="1:8" ht="15.75">
      <c r="A666" s="16"/>
      <c r="D666" s="73"/>
      <c r="E666" s="73"/>
      <c r="F666" s="73"/>
      <c r="G666" s="73"/>
      <c r="H666" s="73"/>
    </row>
    <row r="667" spans="1:8" ht="15.75">
      <c r="A667" s="16"/>
      <c r="D667" s="73"/>
      <c r="E667" s="73"/>
      <c r="F667" s="73"/>
      <c r="G667" s="73"/>
      <c r="H667" s="73"/>
    </row>
    <row r="668" spans="1:8" ht="15.75">
      <c r="A668" s="16"/>
      <c r="D668" s="73"/>
      <c r="E668" s="73"/>
      <c r="F668" s="73"/>
      <c r="G668" s="73"/>
      <c r="H668" s="73"/>
    </row>
    <row r="669" spans="1:8" ht="15.75">
      <c r="A669" s="16"/>
      <c r="D669" s="73"/>
      <c r="E669" s="73"/>
      <c r="F669" s="73"/>
      <c r="G669" s="73"/>
      <c r="H669" s="73"/>
    </row>
    <row r="670" spans="1:8" ht="15.75">
      <c r="A670" s="16"/>
      <c r="D670" s="73"/>
      <c r="E670" s="73"/>
      <c r="F670" s="73"/>
      <c r="G670" s="73"/>
      <c r="H670" s="73"/>
    </row>
    <row r="671" spans="1:8" ht="15.75">
      <c r="A671" s="16"/>
      <c r="D671" s="73"/>
      <c r="E671" s="73"/>
      <c r="F671" s="73"/>
      <c r="G671" s="73"/>
      <c r="H671" s="73"/>
    </row>
    <row r="672" spans="1:8" ht="15.75">
      <c r="A672" s="16"/>
      <c r="D672" s="73"/>
      <c r="E672" s="73"/>
      <c r="F672" s="73"/>
      <c r="G672" s="73"/>
      <c r="H672" s="73"/>
    </row>
    <row r="673" spans="1:8" ht="15.75">
      <c r="A673" s="16"/>
      <c r="D673" s="73"/>
      <c r="E673" s="73"/>
      <c r="F673" s="73"/>
      <c r="G673" s="73"/>
      <c r="H673" s="73"/>
    </row>
    <row r="674" spans="1:8" ht="15.75">
      <c r="A674" s="16"/>
      <c r="D674" s="73"/>
      <c r="E674" s="73"/>
      <c r="F674" s="73"/>
      <c r="G674" s="73"/>
      <c r="H674" s="73"/>
    </row>
    <row r="675" spans="1:8" ht="15.75">
      <c r="A675" s="16"/>
      <c r="D675" s="73"/>
      <c r="E675" s="73"/>
      <c r="F675" s="73"/>
      <c r="G675" s="73"/>
      <c r="H675" s="73"/>
    </row>
    <row r="676" spans="1:8" ht="15.75">
      <c r="A676" s="16"/>
      <c r="D676" s="73"/>
      <c r="E676" s="73"/>
      <c r="F676" s="73"/>
      <c r="G676" s="73"/>
      <c r="H676" s="73"/>
    </row>
    <row r="677" spans="1:8" ht="15.75">
      <c r="A677" s="16"/>
      <c r="D677" s="73"/>
      <c r="E677" s="73"/>
      <c r="F677" s="73"/>
      <c r="G677" s="73"/>
      <c r="H677" s="73"/>
    </row>
    <row r="678" spans="1:8" ht="15.75">
      <c r="A678" s="16"/>
      <c r="D678" s="73"/>
      <c r="E678" s="73"/>
      <c r="F678" s="73"/>
      <c r="G678" s="73"/>
      <c r="H678" s="73"/>
    </row>
    <row r="679" spans="1:8" ht="15.75">
      <c r="A679" s="16"/>
      <c r="D679" s="73"/>
      <c r="E679" s="73"/>
      <c r="F679" s="73"/>
      <c r="G679" s="73"/>
      <c r="H679" s="73"/>
    </row>
    <row r="680" spans="1:8" ht="15.75">
      <c r="A680" s="16"/>
      <c r="D680" s="73"/>
      <c r="E680" s="73"/>
      <c r="F680" s="73"/>
      <c r="G680" s="73"/>
      <c r="H680" s="73"/>
    </row>
    <row r="681" spans="1:8" ht="15.75">
      <c r="A681" s="16"/>
      <c r="D681" s="73"/>
      <c r="E681" s="73"/>
      <c r="F681" s="73"/>
      <c r="G681" s="73"/>
      <c r="H681" s="73"/>
    </row>
    <row r="682" spans="1:8" ht="15.75">
      <c r="A682" s="16"/>
      <c r="D682" s="73"/>
      <c r="E682" s="73"/>
      <c r="F682" s="73"/>
      <c r="G682" s="73"/>
      <c r="H682" s="73"/>
    </row>
    <row r="683" spans="1:8" ht="15.75">
      <c r="A683" s="16"/>
      <c r="D683" s="73"/>
      <c r="E683" s="73"/>
      <c r="F683" s="73"/>
      <c r="G683" s="73"/>
      <c r="H683" s="73"/>
    </row>
    <row r="684" spans="1:8" ht="15.75">
      <c r="A684" s="16"/>
      <c r="D684" s="73"/>
      <c r="E684" s="73"/>
      <c r="F684" s="73"/>
      <c r="G684" s="73"/>
      <c r="H684" s="73"/>
    </row>
    <row r="685" spans="1:8" ht="15.75">
      <c r="A685" s="16"/>
      <c r="D685" s="73"/>
      <c r="E685" s="73"/>
      <c r="F685" s="73"/>
      <c r="G685" s="73"/>
      <c r="H685" s="73"/>
    </row>
    <row r="686" spans="1:8" ht="15.75">
      <c r="A686" s="16"/>
      <c r="D686" s="73"/>
      <c r="E686" s="73"/>
      <c r="F686" s="73"/>
      <c r="G686" s="73"/>
      <c r="H686" s="73"/>
    </row>
    <row r="687" spans="1:8" ht="15.75">
      <c r="A687" s="16"/>
      <c r="D687" s="73"/>
      <c r="E687" s="73"/>
      <c r="F687" s="73"/>
      <c r="G687" s="73"/>
      <c r="H687" s="73"/>
    </row>
    <row r="688" spans="1:8" ht="15.75">
      <c r="A688" s="16"/>
      <c r="D688" s="73"/>
      <c r="E688" s="73"/>
      <c r="F688" s="73"/>
      <c r="G688" s="73"/>
      <c r="H688" s="73"/>
    </row>
    <row r="689" spans="1:8" ht="15.75">
      <c r="A689" s="16"/>
      <c r="D689" s="73"/>
      <c r="E689" s="73"/>
      <c r="F689" s="73"/>
      <c r="G689" s="73"/>
      <c r="H689" s="73"/>
    </row>
    <row r="690" spans="1:8" ht="15.75">
      <c r="A690" s="16"/>
      <c r="D690" s="73"/>
      <c r="E690" s="73"/>
      <c r="F690" s="73"/>
      <c r="G690" s="73"/>
      <c r="H690" s="73"/>
    </row>
    <row r="691" spans="1:8" ht="15.75">
      <c r="A691" s="16"/>
      <c r="D691" s="73"/>
      <c r="E691" s="73"/>
      <c r="F691" s="73"/>
      <c r="G691" s="73"/>
      <c r="H691" s="73"/>
    </row>
    <row r="692" spans="1:8" ht="15.75">
      <c r="A692" s="16"/>
      <c r="D692" s="73"/>
      <c r="E692" s="73"/>
      <c r="F692" s="73"/>
      <c r="G692" s="73"/>
      <c r="H692" s="73"/>
    </row>
    <row r="693" spans="1:8" ht="15.75">
      <c r="A693" s="16"/>
      <c r="D693" s="73"/>
      <c r="E693" s="73"/>
      <c r="F693" s="73"/>
      <c r="G693" s="73"/>
      <c r="H693" s="73"/>
    </row>
    <row r="694" spans="1:8" ht="15.75">
      <c r="A694" s="16"/>
      <c r="D694" s="73"/>
      <c r="E694" s="73"/>
      <c r="F694" s="73"/>
      <c r="G694" s="73"/>
      <c r="H694" s="73"/>
    </row>
    <row r="695" spans="1:8" ht="15.75">
      <c r="A695" s="16"/>
      <c r="D695" s="73"/>
      <c r="E695" s="73"/>
      <c r="F695" s="73"/>
      <c r="G695" s="73"/>
      <c r="H695" s="73"/>
    </row>
    <row r="696" spans="1:8" ht="15.75">
      <c r="A696" s="16"/>
      <c r="D696" s="73"/>
      <c r="E696" s="73"/>
      <c r="F696" s="73"/>
      <c r="G696" s="73"/>
      <c r="H696" s="73"/>
    </row>
    <row r="697" spans="1:8" ht="15.75">
      <c r="A697" s="16"/>
      <c r="D697" s="73"/>
      <c r="E697" s="73"/>
      <c r="F697" s="73"/>
      <c r="G697" s="73"/>
      <c r="H697" s="73"/>
    </row>
    <row r="698" spans="1:8" ht="15.75">
      <c r="A698" s="16"/>
      <c r="D698" s="73"/>
      <c r="E698" s="73"/>
      <c r="F698" s="73"/>
      <c r="G698" s="73"/>
      <c r="H698" s="73"/>
    </row>
    <row r="699" spans="1:8" ht="15.75">
      <c r="A699" s="16"/>
      <c r="D699" s="73"/>
      <c r="E699" s="73"/>
      <c r="F699" s="73"/>
      <c r="G699" s="73"/>
      <c r="H699" s="73"/>
    </row>
    <row r="700" spans="1:8" ht="15.75">
      <c r="A700" s="16"/>
      <c r="D700" s="73"/>
      <c r="E700" s="73"/>
      <c r="F700" s="73"/>
      <c r="G700" s="73"/>
      <c r="H700" s="73"/>
    </row>
    <row r="701" spans="1:8" ht="15.75">
      <c r="A701" s="16"/>
      <c r="D701" s="73"/>
      <c r="E701" s="73"/>
      <c r="F701" s="73"/>
      <c r="G701" s="73"/>
      <c r="H701" s="73"/>
    </row>
    <row r="702" spans="1:8" ht="15.75">
      <c r="A702" s="16"/>
      <c r="D702" s="73"/>
      <c r="E702" s="73"/>
      <c r="F702" s="73"/>
      <c r="G702" s="73"/>
      <c r="H702" s="73"/>
    </row>
    <row r="703" spans="1:8" ht="15.75">
      <c r="A703" s="16"/>
      <c r="D703" s="73"/>
      <c r="E703" s="73"/>
      <c r="F703" s="73"/>
      <c r="G703" s="73"/>
      <c r="H703" s="73"/>
    </row>
    <row r="704" spans="1:8" ht="15.75">
      <c r="A704" s="16"/>
      <c r="D704" s="73"/>
      <c r="E704" s="73"/>
      <c r="F704" s="73"/>
      <c r="G704" s="73"/>
      <c r="H704" s="73"/>
    </row>
    <row r="705" spans="1:8" ht="15.75">
      <c r="A705" s="16"/>
      <c r="D705" s="73"/>
      <c r="E705" s="73"/>
      <c r="F705" s="73"/>
      <c r="G705" s="73"/>
      <c r="H705" s="73"/>
    </row>
    <row r="706" spans="1:8" ht="15.75">
      <c r="A706" s="16"/>
      <c r="D706" s="73"/>
      <c r="E706" s="73"/>
      <c r="F706" s="73"/>
      <c r="G706" s="73"/>
      <c r="H706" s="73"/>
    </row>
    <row r="707" spans="1:8" ht="15.75">
      <c r="A707" s="16"/>
      <c r="D707" s="73"/>
      <c r="E707" s="73"/>
      <c r="F707" s="73"/>
      <c r="G707" s="73"/>
      <c r="H707" s="73"/>
    </row>
    <row r="708" spans="1:8" ht="15.75">
      <c r="A708" s="16"/>
      <c r="D708" s="73"/>
      <c r="E708" s="73"/>
      <c r="F708" s="73"/>
      <c r="G708" s="73"/>
      <c r="H708" s="73"/>
    </row>
    <row r="709" spans="1:8" ht="15.75">
      <c r="A709" s="16"/>
      <c r="D709" s="73"/>
      <c r="E709" s="73"/>
      <c r="F709" s="73"/>
      <c r="G709" s="73"/>
      <c r="H709" s="73"/>
    </row>
    <row r="710" spans="1:8" ht="15.75">
      <c r="A710" s="16"/>
      <c r="D710" s="73"/>
      <c r="E710" s="73"/>
      <c r="F710" s="73"/>
      <c r="G710" s="73"/>
      <c r="H710" s="73"/>
    </row>
    <row r="711" spans="1:8" ht="15.75">
      <c r="A711" s="16"/>
      <c r="D711" s="73"/>
      <c r="E711" s="73"/>
      <c r="F711" s="73"/>
      <c r="G711" s="73"/>
      <c r="H711" s="73"/>
    </row>
    <row r="712" spans="1:8" ht="15.75">
      <c r="A712" s="16"/>
      <c r="D712" s="73"/>
      <c r="E712" s="73"/>
      <c r="F712" s="73"/>
      <c r="G712" s="73"/>
      <c r="H712" s="73"/>
    </row>
    <row r="713" spans="1:8" ht="15.75">
      <c r="A713" s="16"/>
      <c r="D713" s="73"/>
      <c r="E713" s="73"/>
      <c r="F713" s="73"/>
      <c r="G713" s="73"/>
      <c r="H713" s="73"/>
    </row>
    <row r="714" spans="1:8" ht="15.75">
      <c r="A714" s="16"/>
      <c r="D714" s="73"/>
      <c r="E714" s="73"/>
      <c r="F714" s="73"/>
      <c r="G714" s="73"/>
      <c r="H714" s="73"/>
    </row>
    <row r="715" spans="1:8" ht="15.75">
      <c r="A715" s="16"/>
      <c r="D715" s="73"/>
      <c r="E715" s="73"/>
      <c r="F715" s="73"/>
      <c r="G715" s="73"/>
      <c r="H715" s="73"/>
    </row>
    <row r="716" spans="1:8" ht="15.75">
      <c r="A716" s="16"/>
      <c r="D716" s="73"/>
      <c r="E716" s="73"/>
      <c r="F716" s="73"/>
      <c r="G716" s="73"/>
      <c r="H716" s="73"/>
    </row>
    <row r="717" spans="1:8" ht="15.75">
      <c r="A717" s="16"/>
      <c r="D717" s="73"/>
      <c r="E717" s="73"/>
      <c r="F717" s="73"/>
      <c r="G717" s="73"/>
      <c r="H717" s="73"/>
    </row>
    <row r="718" spans="1:8" ht="15.75">
      <c r="A718" s="16"/>
      <c r="D718" s="73"/>
      <c r="E718" s="73"/>
      <c r="F718" s="73"/>
      <c r="G718" s="73"/>
      <c r="H718" s="73"/>
    </row>
    <row r="719" spans="1:8" ht="15.75">
      <c r="A719" s="16"/>
      <c r="D719" s="73"/>
      <c r="E719" s="73"/>
      <c r="F719" s="73"/>
      <c r="G719" s="73"/>
      <c r="H719" s="73"/>
    </row>
    <row r="720" spans="1:8" ht="15.75">
      <c r="A720" s="16"/>
      <c r="D720" s="73"/>
      <c r="E720" s="73"/>
      <c r="F720" s="73"/>
      <c r="G720" s="73"/>
      <c r="H720" s="73"/>
    </row>
    <row r="721" spans="1:8" ht="15.75">
      <c r="A721" s="16"/>
      <c r="D721" s="73"/>
      <c r="E721" s="73"/>
      <c r="F721" s="73"/>
      <c r="G721" s="73"/>
      <c r="H721" s="73"/>
    </row>
    <row r="722" spans="1:8" ht="15.75">
      <c r="A722" s="16"/>
      <c r="D722" s="73"/>
      <c r="E722" s="73"/>
      <c r="F722" s="73"/>
      <c r="G722" s="73"/>
      <c r="H722" s="73"/>
    </row>
    <row r="723" spans="1:8" ht="15.75">
      <c r="A723" s="16"/>
      <c r="D723" s="73"/>
      <c r="E723" s="73"/>
      <c r="F723" s="73"/>
      <c r="G723" s="73"/>
      <c r="H723" s="73"/>
    </row>
    <row r="724" spans="1:8" ht="15.75">
      <c r="A724" s="16"/>
      <c r="D724" s="73"/>
      <c r="E724" s="73"/>
      <c r="F724" s="73"/>
      <c r="G724" s="73"/>
      <c r="H724" s="73"/>
    </row>
    <row r="725" spans="1:8" ht="15.75">
      <c r="A725" s="16"/>
      <c r="D725" s="73"/>
      <c r="E725" s="73"/>
      <c r="F725" s="73"/>
      <c r="G725" s="73"/>
      <c r="H725" s="73"/>
    </row>
    <row r="726" spans="1:8" ht="15.75">
      <c r="A726" s="16"/>
      <c r="D726" s="73"/>
      <c r="E726" s="73"/>
      <c r="F726" s="73"/>
      <c r="G726" s="73"/>
      <c r="H726" s="73"/>
    </row>
    <row r="727" spans="1:8" ht="15.75">
      <c r="A727" s="16"/>
      <c r="D727" s="73"/>
      <c r="E727" s="73"/>
      <c r="F727" s="73"/>
      <c r="G727" s="73"/>
      <c r="H727" s="73"/>
    </row>
    <row r="728" spans="1:8" ht="15.75">
      <c r="A728" s="16"/>
      <c r="D728" s="73"/>
      <c r="E728" s="73"/>
      <c r="F728" s="73"/>
      <c r="G728" s="73"/>
      <c r="H728" s="73"/>
    </row>
    <row r="729" spans="1:8" ht="15.75">
      <c r="A729" s="16"/>
      <c r="D729" s="73"/>
      <c r="E729" s="73"/>
      <c r="F729" s="73"/>
      <c r="G729" s="73"/>
      <c r="H729" s="73"/>
    </row>
    <row r="730" spans="1:8" ht="15.75">
      <c r="A730" s="16"/>
      <c r="D730" s="73"/>
      <c r="E730" s="73"/>
      <c r="F730" s="73"/>
      <c r="G730" s="73"/>
      <c r="H730" s="73"/>
    </row>
    <row r="731" spans="1:8" ht="15.75">
      <c r="A731" s="16"/>
      <c r="D731" s="73"/>
      <c r="E731" s="73"/>
      <c r="F731" s="73"/>
      <c r="G731" s="73"/>
      <c r="H731" s="73"/>
    </row>
    <row r="732" spans="1:8" ht="15.75">
      <c r="A732" s="16"/>
      <c r="D732" s="73"/>
      <c r="E732" s="73"/>
      <c r="F732" s="73"/>
      <c r="G732" s="73"/>
      <c r="H732" s="73"/>
    </row>
    <row r="733" spans="1:8" ht="15.75">
      <c r="A733" s="16"/>
      <c r="D733" s="73"/>
      <c r="E733" s="73"/>
      <c r="F733" s="73"/>
      <c r="G733" s="73"/>
      <c r="H733" s="73"/>
    </row>
    <row r="734" spans="1:8" ht="15.75">
      <c r="A734" s="16"/>
      <c r="D734" s="73"/>
      <c r="E734" s="73"/>
      <c r="F734" s="73"/>
      <c r="G734" s="73"/>
      <c r="H734" s="73"/>
    </row>
    <row r="735" spans="1:8" ht="15.75">
      <c r="A735" s="16"/>
      <c r="D735" s="73"/>
      <c r="E735" s="73"/>
      <c r="F735" s="73"/>
      <c r="G735" s="73"/>
      <c r="H735" s="73"/>
    </row>
    <row r="736" spans="1:8" ht="15.75">
      <c r="A736" s="16"/>
      <c r="D736" s="73"/>
      <c r="E736" s="73"/>
      <c r="F736" s="73"/>
      <c r="G736" s="73"/>
      <c r="H736" s="73"/>
    </row>
    <row r="737" spans="1:8" ht="15.75">
      <c r="A737" s="16"/>
      <c r="D737" s="73"/>
      <c r="E737" s="73"/>
      <c r="F737" s="73"/>
      <c r="G737" s="73"/>
      <c r="H737" s="73"/>
    </row>
    <row r="738" spans="1:8" ht="15.75">
      <c r="A738" s="16"/>
      <c r="D738" s="73"/>
      <c r="E738" s="73"/>
      <c r="F738" s="73"/>
      <c r="G738" s="73"/>
      <c r="H738" s="73"/>
    </row>
    <row r="739" spans="1:8" ht="15.75">
      <c r="A739" s="16"/>
      <c r="D739" s="73"/>
      <c r="E739" s="73"/>
      <c r="F739" s="73"/>
      <c r="G739" s="73"/>
      <c r="H739" s="73"/>
    </row>
    <row r="740" spans="1:8" ht="15.75">
      <c r="A740" s="16"/>
      <c r="D740" s="73"/>
      <c r="E740" s="73"/>
      <c r="F740" s="73"/>
      <c r="G740" s="73"/>
      <c r="H740" s="73"/>
    </row>
    <row r="741" spans="1:8" ht="15.75">
      <c r="A741" s="16"/>
      <c r="D741" s="73"/>
      <c r="E741" s="73"/>
      <c r="F741" s="73"/>
      <c r="G741" s="73"/>
      <c r="H741" s="73"/>
    </row>
    <row r="742" spans="1:8" ht="15.75">
      <c r="A742" s="16"/>
      <c r="D742" s="73"/>
      <c r="E742" s="73"/>
      <c r="F742" s="73"/>
      <c r="G742" s="73"/>
      <c r="H742" s="73"/>
    </row>
    <row r="743" spans="1:8" ht="15.75">
      <c r="A743" s="16"/>
      <c r="D743" s="73"/>
      <c r="E743" s="73"/>
      <c r="F743" s="73"/>
      <c r="G743" s="73"/>
      <c r="H743" s="73"/>
    </row>
    <row r="744" spans="1:8" ht="15.75">
      <c r="A744" s="16"/>
      <c r="D744" s="73"/>
      <c r="E744" s="73"/>
      <c r="F744" s="73"/>
      <c r="G744" s="73"/>
      <c r="H744" s="73"/>
    </row>
    <row r="745" spans="1:8" ht="15.75">
      <c r="A745" s="16"/>
      <c r="D745" s="73"/>
      <c r="E745" s="73"/>
      <c r="F745" s="73"/>
      <c r="G745" s="73"/>
      <c r="H745" s="73"/>
    </row>
    <row r="746" spans="1:8" ht="15.75">
      <c r="A746" s="16"/>
      <c r="D746" s="73"/>
      <c r="E746" s="73"/>
      <c r="F746" s="73"/>
      <c r="G746" s="73"/>
      <c r="H746" s="73"/>
    </row>
    <row r="747" spans="1:8" ht="15.75">
      <c r="A747" s="16"/>
      <c r="D747" s="73"/>
      <c r="E747" s="73"/>
      <c r="F747" s="73"/>
      <c r="G747" s="73"/>
      <c r="H747" s="73"/>
    </row>
    <row r="748" spans="1:8" ht="15.75">
      <c r="A748" s="16"/>
      <c r="D748" s="73"/>
      <c r="E748" s="73"/>
      <c r="F748" s="73"/>
      <c r="G748" s="73"/>
      <c r="H748" s="73"/>
    </row>
    <row r="749" spans="1:8" ht="15.75">
      <c r="A749" s="16"/>
      <c r="D749" s="73"/>
      <c r="E749" s="73"/>
      <c r="F749" s="73"/>
      <c r="G749" s="73"/>
      <c r="H749" s="73"/>
    </row>
    <row r="750" spans="1:8" ht="15.75">
      <c r="A750" s="16"/>
      <c r="D750" s="73"/>
      <c r="E750" s="73"/>
      <c r="F750" s="73"/>
      <c r="G750" s="73"/>
      <c r="H750" s="73"/>
    </row>
    <row r="751" spans="1:8" ht="15.75">
      <c r="A751" s="16"/>
      <c r="D751" s="73"/>
      <c r="E751" s="73"/>
      <c r="F751" s="73"/>
      <c r="G751" s="73"/>
      <c r="H751" s="73"/>
    </row>
    <row r="752" spans="1:8" ht="15.75">
      <c r="A752" s="16"/>
      <c r="D752" s="73"/>
      <c r="E752" s="73"/>
      <c r="F752" s="73"/>
      <c r="G752" s="73"/>
      <c r="H752" s="73"/>
    </row>
    <row r="753" spans="1:8" ht="15.75">
      <c r="A753" s="16"/>
      <c r="D753" s="73"/>
      <c r="E753" s="73"/>
      <c r="F753" s="73"/>
      <c r="G753" s="73"/>
      <c r="H753" s="73"/>
    </row>
    <row r="754" spans="1:8" ht="15.75">
      <c r="A754" s="16"/>
      <c r="D754" s="73"/>
      <c r="E754" s="73"/>
      <c r="F754" s="73"/>
      <c r="G754" s="73"/>
      <c r="H754" s="73"/>
    </row>
    <row r="755" spans="1:8" ht="15.75">
      <c r="A755" s="16"/>
      <c r="D755" s="73"/>
      <c r="E755" s="73"/>
      <c r="F755" s="73"/>
      <c r="G755" s="73"/>
      <c r="H755" s="73"/>
    </row>
    <row r="756" spans="1:8" ht="15.75">
      <c r="A756" s="16"/>
      <c r="D756" s="73"/>
      <c r="E756" s="73"/>
      <c r="F756" s="73"/>
      <c r="G756" s="73"/>
      <c r="H756" s="73"/>
    </row>
    <row r="757" spans="1:8" ht="15.75">
      <c r="A757" s="16"/>
      <c r="D757" s="73"/>
      <c r="E757" s="73"/>
      <c r="F757" s="73"/>
      <c r="G757" s="73"/>
      <c r="H757" s="73"/>
    </row>
    <row r="758" spans="1:8" ht="15.75">
      <c r="A758" s="16"/>
      <c r="D758" s="73"/>
      <c r="E758" s="73"/>
      <c r="F758" s="73"/>
      <c r="G758" s="73"/>
      <c r="H758" s="73"/>
    </row>
    <row r="759" spans="1:8" ht="15.75">
      <c r="A759" s="16"/>
      <c r="D759" s="73"/>
      <c r="E759" s="73"/>
      <c r="F759" s="73"/>
      <c r="G759" s="73"/>
      <c r="H759" s="73"/>
    </row>
    <row r="760" spans="1:8" ht="15.75">
      <c r="A760" s="16"/>
      <c r="D760" s="73"/>
      <c r="E760" s="73"/>
      <c r="F760" s="73"/>
      <c r="G760" s="73"/>
      <c r="H760" s="73"/>
    </row>
    <row r="761" spans="1:8" ht="15.75">
      <c r="A761" s="16"/>
      <c r="D761" s="73"/>
      <c r="E761" s="73"/>
      <c r="F761" s="73"/>
      <c r="G761" s="73"/>
      <c r="H761" s="73"/>
    </row>
    <row r="762" spans="1:8" ht="15.75">
      <c r="A762" s="16"/>
      <c r="D762" s="73"/>
      <c r="E762" s="73"/>
      <c r="F762" s="73"/>
      <c r="G762" s="73"/>
      <c r="H762" s="73"/>
    </row>
    <row r="763" spans="1:8" ht="15.75">
      <c r="A763" s="16"/>
      <c r="D763" s="73"/>
      <c r="E763" s="73"/>
      <c r="F763" s="73"/>
      <c r="G763" s="73"/>
      <c r="H763" s="73"/>
    </row>
    <row r="764" spans="1:8" ht="15.75">
      <c r="A764" s="16"/>
      <c r="D764" s="73"/>
      <c r="E764" s="73"/>
      <c r="F764" s="73"/>
      <c r="G764" s="73"/>
      <c r="H764" s="73"/>
    </row>
    <row r="765" spans="1:8" ht="15.75">
      <c r="A765" s="16"/>
      <c r="D765" s="73"/>
      <c r="E765" s="73"/>
      <c r="F765" s="73"/>
      <c r="G765" s="73"/>
      <c r="H765" s="73"/>
    </row>
    <row r="766" spans="1:8" ht="15.75">
      <c r="A766" s="16"/>
      <c r="D766" s="73"/>
      <c r="E766" s="73"/>
      <c r="F766" s="73"/>
      <c r="G766" s="73"/>
      <c r="H766" s="73"/>
    </row>
    <row r="767" spans="1:8" ht="15.75">
      <c r="A767" s="16"/>
      <c r="D767" s="73"/>
      <c r="E767" s="73"/>
      <c r="F767" s="73"/>
      <c r="G767" s="73"/>
      <c r="H767" s="73"/>
    </row>
    <row r="768" spans="1:8" ht="15.75">
      <c r="A768" s="16"/>
      <c r="D768" s="73"/>
      <c r="E768" s="73"/>
      <c r="F768" s="73"/>
      <c r="G768" s="73"/>
      <c r="H768" s="73"/>
    </row>
    <row r="769" spans="1:8" ht="15.75">
      <c r="A769" s="16"/>
      <c r="D769" s="73"/>
      <c r="E769" s="73"/>
      <c r="F769" s="73"/>
      <c r="G769" s="73"/>
      <c r="H769" s="73"/>
    </row>
    <row r="770" spans="1:8" ht="15.75">
      <c r="A770" s="16"/>
      <c r="D770" s="73"/>
      <c r="E770" s="73"/>
      <c r="F770" s="73"/>
      <c r="G770" s="73"/>
      <c r="H770" s="73"/>
    </row>
    <row r="771" spans="1:8" ht="15.75">
      <c r="A771" s="16"/>
      <c r="D771" s="73"/>
      <c r="E771" s="73"/>
      <c r="F771" s="73"/>
      <c r="G771" s="73"/>
      <c r="H771" s="73"/>
    </row>
    <row r="772" spans="1:8" ht="15.75">
      <c r="A772" s="16"/>
      <c r="D772" s="73"/>
      <c r="E772" s="73"/>
      <c r="F772" s="73"/>
      <c r="G772" s="73"/>
      <c r="H772" s="73"/>
    </row>
    <row r="773" spans="1:8" ht="15.75">
      <c r="A773" s="16"/>
      <c r="D773" s="73"/>
      <c r="E773" s="73"/>
      <c r="F773" s="73"/>
      <c r="G773" s="73"/>
      <c r="H773" s="73"/>
    </row>
    <row r="774" spans="1:8" ht="15.75">
      <c r="A774" s="16"/>
      <c r="D774" s="73"/>
      <c r="E774" s="73"/>
      <c r="F774" s="73"/>
      <c r="G774" s="73"/>
      <c r="H774" s="73"/>
    </row>
    <row r="775" spans="1:8" ht="15.75">
      <c r="A775" s="16"/>
      <c r="D775" s="73"/>
      <c r="E775" s="73"/>
      <c r="F775" s="73"/>
      <c r="G775" s="73"/>
      <c r="H775" s="73"/>
    </row>
    <row r="776" spans="1:8" ht="15.75">
      <c r="A776" s="16"/>
      <c r="D776" s="73"/>
      <c r="E776" s="73"/>
      <c r="F776" s="73"/>
      <c r="G776" s="73"/>
      <c r="H776" s="73"/>
    </row>
    <row r="777" spans="1:8" ht="15.75">
      <c r="A777" s="16"/>
      <c r="D777" s="73"/>
      <c r="E777" s="73"/>
      <c r="F777" s="73"/>
      <c r="G777" s="73"/>
      <c r="H777" s="73"/>
    </row>
    <row r="778" spans="1:8" ht="15.75">
      <c r="A778" s="16"/>
      <c r="D778" s="73"/>
      <c r="E778" s="73"/>
      <c r="F778" s="73"/>
      <c r="G778" s="73"/>
      <c r="H778" s="73"/>
    </row>
    <row r="779" spans="1:8" ht="15.75">
      <c r="A779" s="16"/>
      <c r="D779" s="73"/>
      <c r="E779" s="73"/>
      <c r="F779" s="73"/>
      <c r="G779" s="73"/>
      <c r="H779" s="73"/>
    </row>
    <row r="780" spans="1:8" ht="15.75">
      <c r="A780" s="16"/>
      <c r="D780" s="73"/>
      <c r="E780" s="73"/>
      <c r="F780" s="73"/>
      <c r="G780" s="73"/>
      <c r="H780" s="73"/>
    </row>
    <row r="781" spans="1:8" ht="15.75">
      <c r="A781" s="16"/>
      <c r="D781" s="73"/>
      <c r="E781" s="73"/>
      <c r="F781" s="73"/>
      <c r="G781" s="73"/>
      <c r="H781" s="73"/>
    </row>
    <row r="782" spans="1:8" ht="15.75">
      <c r="A782" s="16"/>
      <c r="D782" s="73"/>
      <c r="E782" s="73"/>
      <c r="F782" s="73"/>
      <c r="G782" s="73"/>
      <c r="H782" s="73"/>
    </row>
    <row r="783" spans="1:8" ht="15.75">
      <c r="A783" s="16"/>
      <c r="D783" s="73"/>
      <c r="E783" s="73"/>
      <c r="F783" s="73"/>
      <c r="G783" s="73"/>
      <c r="H783" s="73"/>
    </row>
    <row r="784" spans="1:8" ht="15.75">
      <c r="A784" s="16"/>
      <c r="D784" s="73"/>
      <c r="E784" s="73"/>
      <c r="F784" s="73"/>
      <c r="G784" s="73"/>
      <c r="H784" s="73"/>
    </row>
    <row r="785" spans="1:8" ht="15.75">
      <c r="A785" s="16"/>
      <c r="D785" s="73"/>
      <c r="E785" s="73"/>
      <c r="F785" s="73"/>
      <c r="G785" s="73"/>
      <c r="H785" s="73"/>
    </row>
    <row r="786" spans="1:8" ht="15.75">
      <c r="A786" s="16"/>
      <c r="D786" s="73"/>
      <c r="E786" s="73"/>
      <c r="F786" s="73"/>
      <c r="G786" s="73"/>
      <c r="H786" s="73"/>
    </row>
    <row r="787" spans="1:8" ht="15.75">
      <c r="A787" s="16"/>
      <c r="D787" s="73"/>
      <c r="E787" s="73"/>
      <c r="F787" s="73"/>
      <c r="G787" s="73"/>
      <c r="H787" s="73"/>
    </row>
    <row r="788" spans="1:8" ht="15.75">
      <c r="A788" s="16"/>
      <c r="D788" s="73"/>
      <c r="E788" s="73"/>
      <c r="F788" s="73"/>
      <c r="G788" s="73"/>
      <c r="H788" s="73"/>
    </row>
    <row r="789" spans="1:8" ht="15.75">
      <c r="A789" s="16"/>
      <c r="D789" s="73"/>
      <c r="E789" s="73"/>
      <c r="F789" s="73"/>
      <c r="G789" s="73"/>
      <c r="H789" s="73"/>
    </row>
    <row r="790" spans="1:8" ht="15.75">
      <c r="A790" s="16"/>
      <c r="D790" s="73"/>
      <c r="E790" s="73"/>
      <c r="F790" s="73"/>
      <c r="G790" s="73"/>
      <c r="H790" s="73"/>
    </row>
    <row r="791" spans="1:8" ht="15.75">
      <c r="A791" s="16"/>
      <c r="D791" s="73"/>
      <c r="E791" s="73"/>
      <c r="F791" s="73"/>
      <c r="G791" s="73"/>
      <c r="H791" s="73"/>
    </row>
    <row r="792" spans="1:8" ht="15.75">
      <c r="A792" s="16"/>
      <c r="D792" s="73"/>
      <c r="E792" s="73"/>
      <c r="F792" s="73"/>
      <c r="G792" s="73"/>
      <c r="H792" s="73"/>
    </row>
    <row r="793" spans="1:8" ht="15.75">
      <c r="A793" s="16"/>
      <c r="D793" s="73"/>
      <c r="E793" s="73"/>
      <c r="F793" s="73"/>
      <c r="G793" s="73"/>
      <c r="H793" s="73"/>
    </row>
    <row r="794" spans="1:8" ht="15.75">
      <c r="A794" s="16"/>
      <c r="D794" s="73"/>
      <c r="E794" s="73"/>
      <c r="F794" s="73"/>
      <c r="G794" s="73"/>
      <c r="H794" s="73"/>
    </row>
    <row r="795" spans="1:8" ht="15.75">
      <c r="A795" s="16"/>
      <c r="D795" s="73"/>
      <c r="E795" s="73"/>
      <c r="F795" s="73"/>
      <c r="G795" s="73"/>
      <c r="H795" s="73"/>
    </row>
    <row r="796" spans="1:8" ht="15.75">
      <c r="A796" s="16"/>
      <c r="D796" s="73"/>
      <c r="E796" s="73"/>
      <c r="F796" s="73"/>
      <c r="G796" s="73"/>
      <c r="H796" s="73"/>
    </row>
    <row r="797" spans="1:8" ht="15.75">
      <c r="A797" s="16"/>
      <c r="D797" s="73"/>
      <c r="E797" s="73"/>
      <c r="F797" s="73"/>
      <c r="G797" s="73"/>
      <c r="H797" s="73"/>
    </row>
    <row r="798" spans="1:8" ht="15.75">
      <c r="A798" s="16"/>
      <c r="D798" s="73"/>
      <c r="E798" s="73"/>
      <c r="F798" s="73"/>
      <c r="G798" s="73"/>
      <c r="H798" s="73"/>
    </row>
    <row r="799" spans="1:8" ht="15.75">
      <c r="A799" s="16"/>
      <c r="D799" s="73"/>
      <c r="E799" s="73"/>
      <c r="F799" s="73"/>
      <c r="G799" s="73"/>
      <c r="H799" s="73"/>
    </row>
    <row r="800" spans="1:8" ht="15.75">
      <c r="A800" s="16"/>
      <c r="D800" s="73"/>
      <c r="E800" s="73"/>
      <c r="F800" s="73"/>
      <c r="G800" s="73"/>
      <c r="H800" s="73"/>
    </row>
    <row r="801" spans="1:8" ht="15.75">
      <c r="A801" s="16"/>
      <c r="D801" s="73"/>
      <c r="E801" s="73"/>
      <c r="F801" s="73"/>
      <c r="G801" s="73"/>
      <c r="H801" s="73"/>
    </row>
    <row r="802" spans="1:8" ht="15.75">
      <c r="A802" s="16"/>
      <c r="D802" s="73"/>
      <c r="E802" s="73"/>
      <c r="F802" s="73"/>
      <c r="G802" s="73"/>
      <c r="H802" s="73"/>
    </row>
    <row r="803" spans="1:8" ht="15.75">
      <c r="A803" s="16"/>
      <c r="D803" s="73"/>
      <c r="E803" s="73"/>
      <c r="F803" s="73"/>
      <c r="G803" s="73"/>
      <c r="H803" s="73"/>
    </row>
    <row r="804" spans="1:8" ht="15.75">
      <c r="A804" s="16"/>
      <c r="D804" s="73"/>
      <c r="E804" s="73"/>
      <c r="F804" s="73"/>
      <c r="G804" s="73"/>
      <c r="H804" s="73"/>
    </row>
    <row r="805" spans="1:8" ht="15.75">
      <c r="A805" s="16"/>
      <c r="D805" s="73"/>
      <c r="E805" s="73"/>
      <c r="F805" s="73"/>
      <c r="G805" s="73"/>
      <c r="H805" s="73"/>
    </row>
    <row r="806" spans="1:8" ht="15.75">
      <c r="A806" s="16"/>
      <c r="D806" s="73"/>
      <c r="E806" s="73"/>
      <c r="F806" s="73"/>
      <c r="G806" s="73"/>
      <c r="H806" s="73"/>
    </row>
    <row r="807" spans="1:8" ht="15.75">
      <c r="A807" s="16"/>
      <c r="D807" s="73"/>
      <c r="E807" s="73"/>
      <c r="F807" s="73"/>
      <c r="G807" s="73"/>
      <c r="H807" s="73"/>
    </row>
    <row r="808" spans="1:8" ht="15.75">
      <c r="A808" s="16"/>
      <c r="D808" s="73"/>
      <c r="E808" s="73"/>
      <c r="F808" s="73"/>
      <c r="G808" s="73"/>
      <c r="H808" s="73"/>
    </row>
    <row r="809" spans="1:8" ht="15.75">
      <c r="A809" s="16"/>
      <c r="D809" s="73"/>
      <c r="E809" s="73"/>
      <c r="F809" s="73"/>
      <c r="G809" s="73"/>
      <c r="H809" s="73"/>
    </row>
    <row r="810" spans="1:8" ht="15.75">
      <c r="A810" s="16"/>
      <c r="D810" s="73"/>
      <c r="E810" s="73"/>
      <c r="F810" s="73"/>
      <c r="G810" s="73"/>
      <c r="H810" s="73"/>
    </row>
    <row r="811" spans="1:8" ht="15.75">
      <c r="A811" s="16"/>
      <c r="D811" s="73"/>
      <c r="E811" s="73"/>
      <c r="F811" s="73"/>
      <c r="G811" s="73"/>
      <c r="H811" s="73"/>
    </row>
    <row r="812" spans="1:8" ht="15.75">
      <c r="A812" s="16"/>
      <c r="D812" s="73"/>
      <c r="E812" s="73"/>
      <c r="F812" s="73"/>
      <c r="G812" s="73"/>
      <c r="H812" s="73"/>
    </row>
    <row r="813" spans="1:8" ht="15.75">
      <c r="A813" s="16"/>
      <c r="D813" s="73"/>
      <c r="E813" s="73"/>
      <c r="F813" s="73"/>
      <c r="G813" s="73"/>
      <c r="H813" s="73"/>
    </row>
    <row r="814" spans="1:8" ht="15.75">
      <c r="A814" s="16"/>
      <c r="D814" s="73"/>
      <c r="E814" s="73"/>
      <c r="F814" s="73"/>
      <c r="G814" s="73"/>
      <c r="H814" s="73"/>
    </row>
    <row r="815" spans="1:8" ht="15.75">
      <c r="A815" s="16"/>
      <c r="D815" s="73"/>
      <c r="E815" s="73"/>
      <c r="F815" s="73"/>
      <c r="G815" s="73"/>
      <c r="H815" s="73"/>
    </row>
    <row r="816" spans="1:8" ht="15.75">
      <c r="A816" s="16"/>
      <c r="D816" s="73"/>
      <c r="E816" s="73"/>
      <c r="F816" s="73"/>
      <c r="G816" s="73"/>
      <c r="H816" s="73"/>
    </row>
    <row r="817" spans="1:8" ht="15.75">
      <c r="A817" s="16"/>
      <c r="D817" s="73"/>
      <c r="E817" s="73"/>
      <c r="F817" s="73"/>
      <c r="G817" s="73"/>
      <c r="H817" s="73"/>
    </row>
    <row r="818" spans="1:8" ht="15.75">
      <c r="A818" s="16"/>
      <c r="D818" s="73"/>
      <c r="E818" s="73"/>
      <c r="F818" s="73"/>
      <c r="G818" s="73"/>
      <c r="H818" s="73"/>
    </row>
    <row r="819" spans="1:8" ht="15.75">
      <c r="A819" s="16"/>
      <c r="D819" s="73"/>
      <c r="E819" s="73"/>
      <c r="F819" s="73"/>
      <c r="G819" s="73"/>
      <c r="H819" s="73"/>
    </row>
    <row r="820" spans="1:8" ht="15.75">
      <c r="A820" s="16"/>
      <c r="D820" s="73"/>
      <c r="E820" s="73"/>
      <c r="F820" s="73"/>
      <c r="G820" s="73"/>
      <c r="H820" s="73"/>
    </row>
    <row r="821" spans="1:8" ht="15.75">
      <c r="A821" s="16"/>
      <c r="D821" s="73"/>
      <c r="E821" s="73"/>
      <c r="F821" s="73"/>
      <c r="G821" s="73"/>
      <c r="H821" s="73"/>
    </row>
    <row r="822" spans="1:8" ht="15.75">
      <c r="A822" s="16"/>
      <c r="D822" s="73"/>
      <c r="E822" s="73"/>
      <c r="F822" s="73"/>
      <c r="G822" s="73"/>
      <c r="H822" s="73"/>
    </row>
    <row r="823" spans="1:8" ht="15.75">
      <c r="A823" s="16"/>
      <c r="D823" s="73"/>
      <c r="E823" s="73"/>
      <c r="F823" s="73"/>
      <c r="G823" s="73"/>
      <c r="H823" s="73"/>
    </row>
    <row r="824" spans="1:8" ht="15.75">
      <c r="A824" s="16"/>
      <c r="D824" s="73"/>
      <c r="E824" s="73"/>
      <c r="F824" s="73"/>
      <c r="G824" s="73"/>
      <c r="H824" s="73"/>
    </row>
    <row r="825" spans="1:8" ht="15.75">
      <c r="A825" s="16"/>
      <c r="D825" s="73"/>
      <c r="E825" s="73"/>
      <c r="F825" s="73"/>
      <c r="G825" s="73"/>
      <c r="H825" s="73"/>
    </row>
    <row r="826" spans="1:8" ht="15.75">
      <c r="A826" s="16"/>
      <c r="D826" s="73"/>
      <c r="E826" s="73"/>
      <c r="F826" s="73"/>
      <c r="G826" s="73"/>
      <c r="H826" s="73"/>
    </row>
    <row r="827" spans="1:8" ht="15.75">
      <c r="A827" s="16"/>
      <c r="D827" s="73"/>
      <c r="E827" s="73"/>
      <c r="F827" s="73"/>
      <c r="G827" s="73"/>
      <c r="H827" s="73"/>
    </row>
    <row r="828" spans="1:8" ht="15.75">
      <c r="A828" s="16"/>
      <c r="D828" s="73"/>
      <c r="E828" s="73"/>
      <c r="F828" s="73"/>
      <c r="G828" s="73"/>
      <c r="H828" s="73"/>
    </row>
    <row r="829" spans="1:8" ht="15.75">
      <c r="A829" s="16"/>
      <c r="D829" s="73"/>
      <c r="E829" s="73"/>
      <c r="F829" s="73"/>
      <c r="G829" s="73"/>
      <c r="H829" s="73"/>
    </row>
    <row r="830" spans="1:8" ht="15.75">
      <c r="A830" s="16"/>
      <c r="D830" s="73"/>
      <c r="E830" s="73"/>
      <c r="F830" s="73"/>
      <c r="G830" s="73"/>
      <c r="H830" s="73"/>
    </row>
    <row r="831" spans="1:8" ht="15.75">
      <c r="A831" s="16"/>
      <c r="D831" s="73"/>
      <c r="E831" s="73"/>
      <c r="F831" s="73"/>
      <c r="G831" s="73"/>
      <c r="H831" s="73"/>
    </row>
    <row r="832" spans="1:8" ht="15.75">
      <c r="A832" s="16"/>
      <c r="D832" s="73"/>
      <c r="E832" s="73"/>
      <c r="F832" s="73"/>
      <c r="G832" s="73"/>
      <c r="H832" s="73"/>
    </row>
    <row r="833" spans="1:8" ht="15.75">
      <c r="A833" s="16"/>
      <c r="D833" s="73"/>
      <c r="E833" s="73"/>
      <c r="F833" s="73"/>
      <c r="G833" s="73"/>
      <c r="H833" s="73"/>
    </row>
    <row r="834" spans="1:8" ht="15.75">
      <c r="A834" s="16"/>
      <c r="D834" s="73"/>
      <c r="E834" s="73"/>
      <c r="F834" s="73"/>
      <c r="G834" s="73"/>
      <c r="H834" s="73"/>
    </row>
    <row r="835" spans="1:8" ht="15.75">
      <c r="A835" s="16"/>
      <c r="D835" s="73"/>
      <c r="E835" s="73"/>
      <c r="F835" s="73"/>
      <c r="G835" s="73"/>
      <c r="H835" s="73"/>
    </row>
    <row r="836" spans="1:8" ht="15.75">
      <c r="A836" s="16"/>
      <c r="D836" s="73"/>
      <c r="E836" s="73"/>
      <c r="F836" s="73"/>
      <c r="G836" s="73"/>
      <c r="H836" s="73"/>
    </row>
    <row r="837" spans="1:8" ht="15.75">
      <c r="A837" s="16"/>
      <c r="D837" s="73"/>
      <c r="E837" s="73"/>
      <c r="F837" s="73"/>
      <c r="G837" s="73"/>
      <c r="H837" s="73"/>
    </row>
    <row r="838" spans="1:8" ht="15.75">
      <c r="A838" s="16"/>
      <c r="D838" s="73"/>
      <c r="E838" s="73"/>
      <c r="F838" s="73"/>
      <c r="G838" s="73"/>
      <c r="H838" s="73"/>
    </row>
    <row r="839" spans="1:8" ht="15.75">
      <c r="A839" s="16"/>
      <c r="D839" s="73"/>
      <c r="E839" s="73"/>
      <c r="F839" s="73"/>
      <c r="G839" s="73"/>
      <c r="H839" s="73"/>
    </row>
    <row r="840" spans="1:8" ht="15.75">
      <c r="A840" s="16"/>
      <c r="D840" s="73"/>
      <c r="E840" s="73"/>
      <c r="F840" s="73"/>
      <c r="G840" s="73"/>
      <c r="H840" s="73"/>
    </row>
    <row r="841" spans="1:8" ht="15.75">
      <c r="A841" s="16"/>
      <c r="D841" s="73"/>
      <c r="E841" s="73"/>
      <c r="F841" s="73"/>
      <c r="G841" s="73"/>
      <c r="H841" s="73"/>
    </row>
    <row r="842" spans="1:8" ht="15.75">
      <c r="A842" s="16"/>
      <c r="D842" s="73"/>
      <c r="E842" s="73"/>
      <c r="F842" s="73"/>
      <c r="G842" s="73"/>
      <c r="H842" s="73"/>
    </row>
    <row r="843" spans="1:8" ht="15.75">
      <c r="A843" s="16"/>
      <c r="D843" s="73"/>
      <c r="E843" s="73"/>
      <c r="F843" s="73"/>
      <c r="G843" s="73"/>
      <c r="H843" s="73"/>
    </row>
    <row r="844" spans="1:8" ht="15.75">
      <c r="A844" s="16"/>
      <c r="D844" s="73"/>
      <c r="E844" s="73"/>
      <c r="F844" s="73"/>
      <c r="G844" s="73"/>
      <c r="H844" s="73"/>
    </row>
    <row r="845" spans="1:8" ht="15.75">
      <c r="A845" s="16"/>
      <c r="D845" s="73"/>
      <c r="E845" s="73"/>
      <c r="F845" s="73"/>
      <c r="G845" s="73"/>
      <c r="H845" s="73"/>
    </row>
    <row r="846" spans="1:8" ht="15.75">
      <c r="A846" s="16"/>
      <c r="D846" s="73"/>
      <c r="E846" s="73"/>
      <c r="F846" s="73"/>
      <c r="G846" s="73"/>
      <c r="H846" s="73"/>
    </row>
    <row r="847" spans="1:8" ht="15.75">
      <c r="A847" s="16"/>
      <c r="D847" s="73"/>
      <c r="E847" s="73"/>
      <c r="F847" s="73"/>
      <c r="G847" s="73"/>
      <c r="H847" s="73"/>
    </row>
    <row r="848" spans="1:8" ht="15.75">
      <c r="A848" s="16"/>
      <c r="D848" s="73"/>
      <c r="E848" s="73"/>
      <c r="F848" s="73"/>
      <c r="G848" s="73"/>
      <c r="H848" s="73"/>
    </row>
    <row r="849" spans="1:8" ht="15.75">
      <c r="A849" s="16"/>
      <c r="D849" s="73"/>
      <c r="E849" s="73"/>
      <c r="F849" s="73"/>
      <c r="G849" s="73"/>
      <c r="H849" s="73"/>
    </row>
    <row r="850" spans="1:8" ht="15.75">
      <c r="A850" s="16"/>
      <c r="D850" s="73"/>
      <c r="E850" s="73"/>
      <c r="F850" s="73"/>
      <c r="G850" s="73"/>
      <c r="H850" s="73"/>
    </row>
    <row r="851" spans="1:8" ht="15.75">
      <c r="A851" s="16"/>
      <c r="D851" s="73"/>
      <c r="E851" s="73"/>
      <c r="F851" s="73"/>
      <c r="G851" s="73"/>
      <c r="H851" s="73"/>
    </row>
    <row r="852" spans="1:8" ht="15.75">
      <c r="A852" s="16"/>
      <c r="D852" s="73"/>
      <c r="E852" s="73"/>
      <c r="F852" s="73"/>
      <c r="G852" s="73"/>
      <c r="H852" s="73"/>
    </row>
    <row r="853" spans="1:8" ht="15.75">
      <c r="A853" s="16"/>
      <c r="D853" s="73"/>
      <c r="E853" s="73"/>
      <c r="F853" s="73"/>
      <c r="G853" s="73"/>
      <c r="H853" s="73"/>
    </row>
    <row r="854" spans="1:8" ht="15.75">
      <c r="A854" s="16"/>
      <c r="D854" s="73"/>
      <c r="E854" s="73"/>
      <c r="F854" s="73"/>
      <c r="G854" s="73"/>
      <c r="H854" s="73"/>
    </row>
    <row r="855" spans="1:8" ht="15.75">
      <c r="A855" s="16"/>
      <c r="D855" s="73"/>
      <c r="E855" s="73"/>
      <c r="F855" s="73"/>
      <c r="G855" s="73"/>
      <c r="H855" s="73"/>
    </row>
    <row r="856" spans="1:8" ht="15.75">
      <c r="A856" s="16"/>
      <c r="D856" s="73"/>
      <c r="E856" s="73"/>
      <c r="F856" s="73"/>
      <c r="G856" s="73"/>
      <c r="H856" s="73"/>
    </row>
    <row r="857" spans="1:8" ht="15.75">
      <c r="A857" s="16"/>
      <c r="D857" s="73"/>
      <c r="E857" s="73"/>
      <c r="F857" s="73"/>
      <c r="G857" s="73"/>
      <c r="H857" s="73"/>
    </row>
    <row r="858" spans="1:8" ht="15.75">
      <c r="A858" s="16"/>
      <c r="D858" s="73"/>
      <c r="E858" s="73"/>
      <c r="F858" s="73"/>
      <c r="G858" s="73"/>
      <c r="H858" s="73"/>
    </row>
    <row r="859" spans="1:8" ht="15.75">
      <c r="A859" s="16"/>
      <c r="D859" s="73"/>
      <c r="E859" s="73"/>
      <c r="F859" s="73"/>
      <c r="G859" s="73"/>
      <c r="H859" s="73"/>
    </row>
    <row r="860" spans="1:8" ht="15.75">
      <c r="A860" s="16"/>
      <c r="D860" s="73"/>
      <c r="E860" s="73"/>
      <c r="F860" s="73"/>
      <c r="G860" s="73"/>
      <c r="H860" s="73"/>
    </row>
    <row r="861" spans="1:8" ht="15.75">
      <c r="A861" s="16"/>
      <c r="D861" s="73"/>
      <c r="E861" s="73"/>
      <c r="F861" s="73"/>
      <c r="G861" s="73"/>
      <c r="H861" s="73"/>
    </row>
    <row r="862" spans="1:8" ht="15.75">
      <c r="A862" s="16"/>
      <c r="D862" s="73"/>
      <c r="E862" s="73"/>
      <c r="F862" s="73"/>
      <c r="G862" s="73"/>
      <c r="H862" s="73"/>
    </row>
    <row r="863" spans="1:8" ht="15.75">
      <c r="A863" s="16"/>
      <c r="D863" s="73"/>
      <c r="E863" s="73"/>
      <c r="F863" s="73"/>
      <c r="G863" s="73"/>
      <c r="H863" s="73"/>
    </row>
    <row r="864" spans="1:8" ht="15.75">
      <c r="A864" s="16"/>
      <c r="D864" s="73"/>
      <c r="E864" s="73"/>
      <c r="F864" s="73"/>
      <c r="G864" s="73"/>
      <c r="H864" s="73"/>
    </row>
    <row r="865" spans="1:8" ht="15.75">
      <c r="A865" s="16"/>
      <c r="D865" s="73"/>
      <c r="E865" s="73"/>
      <c r="F865" s="73"/>
      <c r="G865" s="73"/>
      <c r="H865" s="73"/>
    </row>
    <row r="866" spans="1:8" ht="15.75">
      <c r="A866" s="16"/>
      <c r="D866" s="73"/>
      <c r="E866" s="73"/>
      <c r="F866" s="73"/>
      <c r="G866" s="73"/>
      <c r="H866" s="73"/>
    </row>
    <row r="867" spans="1:8" ht="15.75">
      <c r="A867" s="16"/>
      <c r="D867" s="73"/>
      <c r="E867" s="73"/>
      <c r="F867" s="73"/>
      <c r="G867" s="73"/>
      <c r="H867" s="73"/>
    </row>
    <row r="868" spans="1:8" ht="15.75">
      <c r="A868" s="16"/>
      <c r="D868" s="73"/>
      <c r="E868" s="73"/>
      <c r="F868" s="73"/>
      <c r="G868" s="73"/>
      <c r="H868" s="73"/>
    </row>
    <row r="869" spans="1:8" ht="15.75">
      <c r="A869" s="16"/>
      <c r="D869" s="73"/>
      <c r="E869" s="73"/>
      <c r="F869" s="73"/>
      <c r="G869" s="73"/>
      <c r="H869" s="73"/>
    </row>
    <row r="870" spans="1:8" ht="15.75">
      <c r="A870" s="16"/>
      <c r="D870" s="73"/>
      <c r="E870" s="73"/>
      <c r="F870" s="73"/>
      <c r="G870" s="73"/>
      <c r="H870" s="73"/>
    </row>
    <row r="871" spans="1:8" ht="15.75">
      <c r="A871" s="16"/>
      <c r="D871" s="73"/>
      <c r="E871" s="73"/>
      <c r="F871" s="73"/>
      <c r="G871" s="73"/>
      <c r="H871" s="73"/>
    </row>
    <row r="872" spans="1:8" ht="15.75">
      <c r="A872" s="16"/>
      <c r="D872" s="73"/>
      <c r="E872" s="73"/>
      <c r="F872" s="73"/>
      <c r="G872" s="73"/>
      <c r="H872" s="73"/>
    </row>
    <row r="873" spans="1:8" ht="15.75">
      <c r="A873" s="16"/>
      <c r="D873" s="73"/>
      <c r="E873" s="73"/>
      <c r="F873" s="73"/>
      <c r="G873" s="73"/>
      <c r="H873" s="73"/>
    </row>
    <row r="874" spans="1:8" ht="15.75">
      <c r="A874" s="16"/>
      <c r="D874" s="73"/>
      <c r="E874" s="73"/>
      <c r="F874" s="73"/>
      <c r="G874" s="73"/>
      <c r="H874" s="73"/>
    </row>
    <row r="875" spans="1:8" ht="15.75">
      <c r="A875" s="16"/>
      <c r="D875" s="73"/>
      <c r="E875" s="73"/>
      <c r="F875" s="73"/>
      <c r="G875" s="73"/>
      <c r="H875" s="73"/>
    </row>
    <row r="876" spans="1:8" ht="15.75">
      <c r="A876" s="16"/>
      <c r="D876" s="73"/>
      <c r="E876" s="73"/>
      <c r="F876" s="73"/>
      <c r="G876" s="73"/>
      <c r="H876" s="73"/>
    </row>
    <row r="877" spans="1:8" ht="15.75">
      <c r="A877" s="16"/>
      <c r="D877" s="73"/>
      <c r="E877" s="73"/>
      <c r="F877" s="73"/>
      <c r="G877" s="73"/>
      <c r="H877" s="73"/>
    </row>
    <row r="878" spans="1:8" ht="15.75">
      <c r="A878" s="16"/>
      <c r="D878" s="73"/>
      <c r="E878" s="73"/>
      <c r="F878" s="73"/>
      <c r="G878" s="73"/>
      <c r="H878" s="73"/>
    </row>
    <row r="879" spans="1:8" ht="15.75">
      <c r="A879" s="16"/>
      <c r="D879" s="73"/>
      <c r="E879" s="73"/>
      <c r="F879" s="73"/>
      <c r="G879" s="73"/>
      <c r="H879" s="73"/>
    </row>
    <row r="880" spans="1:8" ht="15.75">
      <c r="A880" s="16"/>
      <c r="D880" s="73"/>
      <c r="E880" s="73"/>
      <c r="F880" s="73"/>
      <c r="G880" s="73"/>
      <c r="H880" s="73"/>
    </row>
    <row r="881" spans="1:8" ht="15.75">
      <c r="A881" s="16"/>
      <c r="D881" s="73"/>
      <c r="E881" s="73"/>
      <c r="F881" s="73"/>
      <c r="G881" s="73"/>
      <c r="H881" s="73"/>
    </row>
    <row r="882" spans="1:8" ht="15.75">
      <c r="A882" s="16"/>
      <c r="D882" s="73"/>
      <c r="E882" s="73"/>
      <c r="F882" s="73"/>
      <c r="G882" s="73"/>
      <c r="H882" s="73"/>
    </row>
    <row r="883" spans="1:8" ht="15.75">
      <c r="A883" s="16"/>
      <c r="D883" s="73"/>
      <c r="E883" s="73"/>
      <c r="F883" s="73"/>
      <c r="G883" s="73"/>
      <c r="H883" s="73"/>
    </row>
    <row r="884" spans="1:8" ht="15.75">
      <c r="A884" s="16"/>
      <c r="D884" s="73"/>
      <c r="E884" s="73"/>
      <c r="F884" s="73"/>
      <c r="G884" s="73"/>
      <c r="H884" s="73"/>
    </row>
    <row r="885" spans="1:8" ht="15.75">
      <c r="A885" s="16"/>
      <c r="D885" s="73"/>
      <c r="E885" s="73"/>
      <c r="F885" s="73"/>
      <c r="G885" s="73"/>
      <c r="H885" s="73"/>
    </row>
    <row r="886" spans="1:8" ht="15.75">
      <c r="A886" s="16"/>
      <c r="D886" s="73"/>
      <c r="E886" s="73"/>
      <c r="F886" s="73"/>
      <c r="G886" s="73"/>
      <c r="H886" s="73"/>
    </row>
    <row r="887" spans="1:8" ht="15.75">
      <c r="A887" s="16"/>
      <c r="D887" s="73"/>
      <c r="E887" s="73"/>
      <c r="F887" s="73"/>
      <c r="G887" s="73"/>
      <c r="H887" s="73"/>
    </row>
    <row r="888" spans="1:8" ht="15.75">
      <c r="A888" s="16"/>
      <c r="D888" s="73"/>
      <c r="E888" s="73"/>
      <c r="F888" s="73"/>
      <c r="G888" s="73"/>
      <c r="H888" s="73"/>
    </row>
    <row r="889" spans="1:8" ht="15.75">
      <c r="A889" s="16"/>
      <c r="D889" s="73"/>
      <c r="E889" s="73"/>
      <c r="F889" s="73"/>
      <c r="G889" s="73"/>
      <c r="H889" s="73"/>
    </row>
    <row r="890" spans="1:8" ht="15.75">
      <c r="A890" s="16"/>
      <c r="D890" s="73"/>
      <c r="E890" s="73"/>
      <c r="F890" s="73"/>
      <c r="G890" s="73"/>
      <c r="H890" s="73"/>
    </row>
    <row r="891" spans="1:8" ht="15.75">
      <c r="A891" s="16"/>
      <c r="D891" s="73"/>
      <c r="E891" s="73"/>
      <c r="F891" s="73"/>
      <c r="G891" s="73"/>
      <c r="H891" s="73"/>
    </row>
    <row r="892" spans="1:8" ht="15.75">
      <c r="A892" s="16"/>
      <c r="D892" s="73"/>
      <c r="E892" s="73"/>
      <c r="F892" s="73"/>
      <c r="G892" s="73"/>
      <c r="H892" s="73"/>
    </row>
    <row r="893" spans="1:8" ht="15.75">
      <c r="A893" s="16"/>
      <c r="D893" s="73"/>
      <c r="E893" s="73"/>
      <c r="F893" s="73"/>
      <c r="G893" s="73"/>
      <c r="H893" s="73"/>
    </row>
    <row r="894" spans="1:8" ht="15.75">
      <c r="A894" s="16"/>
      <c r="D894" s="73"/>
      <c r="E894" s="73"/>
      <c r="F894" s="73"/>
      <c r="G894" s="73"/>
      <c r="H894" s="73"/>
    </row>
    <row r="895" spans="1:8" ht="15.75">
      <c r="A895" s="16"/>
      <c r="D895" s="73"/>
      <c r="E895" s="73"/>
      <c r="F895" s="73"/>
      <c r="G895" s="73"/>
      <c r="H895" s="73"/>
    </row>
    <row r="896" spans="1:8" ht="15.75">
      <c r="A896" s="16"/>
      <c r="D896" s="73"/>
      <c r="E896" s="73"/>
      <c r="F896" s="73"/>
      <c r="G896" s="73"/>
      <c r="H896" s="73"/>
    </row>
    <row r="897" spans="1:8" ht="15.75">
      <c r="A897" s="16"/>
      <c r="D897" s="73"/>
      <c r="E897" s="73"/>
      <c r="F897" s="73"/>
      <c r="G897" s="73"/>
      <c r="H897" s="73"/>
    </row>
    <row r="898" spans="1:8" ht="15.75">
      <c r="A898" s="16"/>
      <c r="D898" s="73"/>
      <c r="E898" s="73"/>
      <c r="F898" s="73"/>
      <c r="G898" s="73"/>
      <c r="H898" s="73"/>
    </row>
    <row r="899" spans="1:8" ht="15.75">
      <c r="A899" s="16"/>
      <c r="D899" s="73"/>
      <c r="E899" s="73"/>
      <c r="F899" s="73"/>
      <c r="G899" s="73"/>
      <c r="H899" s="73"/>
    </row>
    <row r="900" spans="1:8" ht="15.75">
      <c r="A900" s="16"/>
      <c r="D900" s="73"/>
      <c r="E900" s="73"/>
      <c r="F900" s="73"/>
      <c r="G900" s="73"/>
      <c r="H900" s="73"/>
    </row>
    <row r="901" spans="1:8" ht="15.75">
      <c r="A901" s="16"/>
      <c r="D901" s="73"/>
      <c r="E901" s="73"/>
      <c r="F901" s="73"/>
      <c r="G901" s="73"/>
      <c r="H901" s="73"/>
    </row>
    <row r="902" spans="1:8" ht="15.75">
      <c r="A902" s="16"/>
      <c r="D902" s="73"/>
      <c r="E902" s="73"/>
      <c r="F902" s="73"/>
      <c r="G902" s="73"/>
      <c r="H902" s="73"/>
    </row>
    <row r="903" spans="1:8" ht="15.75">
      <c r="A903" s="16"/>
      <c r="D903" s="73"/>
      <c r="E903" s="73"/>
      <c r="F903" s="73"/>
      <c r="G903" s="73"/>
      <c r="H903" s="73"/>
    </row>
    <row r="904" spans="1:8" ht="15.75">
      <c r="A904" s="16"/>
      <c r="D904" s="73"/>
      <c r="E904" s="73"/>
      <c r="F904" s="73"/>
      <c r="G904" s="73"/>
      <c r="H904" s="73"/>
    </row>
    <row r="905" spans="1:8" ht="15.75">
      <c r="A905" s="16"/>
      <c r="D905" s="73"/>
      <c r="E905" s="73"/>
      <c r="F905" s="73"/>
      <c r="G905" s="73"/>
      <c r="H905" s="73"/>
    </row>
    <row r="906" spans="1:8" ht="15.75">
      <c r="A906" s="16"/>
      <c r="D906" s="73"/>
      <c r="E906" s="73"/>
      <c r="F906" s="73"/>
      <c r="G906" s="73"/>
      <c r="H906" s="73"/>
    </row>
    <row r="907" spans="1:8" ht="15.75">
      <c r="A907" s="16"/>
      <c r="D907" s="73"/>
      <c r="E907" s="73"/>
      <c r="F907" s="73"/>
      <c r="G907" s="73"/>
      <c r="H907" s="73"/>
    </row>
    <row r="908" spans="1:8" ht="15.75">
      <c r="A908" s="16"/>
      <c r="D908" s="73"/>
      <c r="E908" s="73"/>
      <c r="F908" s="73"/>
      <c r="G908" s="73"/>
      <c r="H908" s="73"/>
    </row>
    <row r="909" spans="1:8" ht="15.75">
      <c r="A909" s="16"/>
      <c r="D909" s="73"/>
      <c r="E909" s="73"/>
      <c r="F909" s="73"/>
      <c r="G909" s="73"/>
      <c r="H909" s="73"/>
    </row>
    <row r="910" spans="1:8" ht="15.75">
      <c r="A910" s="16"/>
      <c r="D910" s="73"/>
      <c r="E910" s="73"/>
      <c r="F910" s="73"/>
      <c r="G910" s="73"/>
      <c r="H910" s="73"/>
    </row>
    <row r="911" spans="1:8" ht="15.75">
      <c r="A911" s="16"/>
      <c r="D911" s="73"/>
      <c r="E911" s="73"/>
      <c r="F911" s="73"/>
      <c r="G911" s="73"/>
      <c r="H911" s="73"/>
    </row>
    <row r="912" spans="1:8" ht="15.75">
      <c r="A912" s="16"/>
      <c r="D912" s="73"/>
      <c r="E912" s="73"/>
      <c r="F912" s="73"/>
      <c r="G912" s="73"/>
      <c r="H912" s="73"/>
    </row>
    <row r="913" spans="1:8" ht="15.75">
      <c r="A913" s="16"/>
      <c r="D913" s="73"/>
      <c r="E913" s="73"/>
      <c r="F913" s="73"/>
      <c r="G913" s="73"/>
      <c r="H913" s="73"/>
    </row>
    <row r="914" spans="1:8" ht="15.75">
      <c r="A914" s="16"/>
      <c r="D914" s="73"/>
      <c r="E914" s="73"/>
      <c r="F914" s="73"/>
      <c r="G914" s="73"/>
      <c r="H914" s="73"/>
    </row>
    <row r="915" spans="1:8" ht="15.75">
      <c r="A915" s="16"/>
      <c r="D915" s="73"/>
      <c r="E915" s="73"/>
      <c r="F915" s="73"/>
      <c r="G915" s="73"/>
      <c r="H915" s="73"/>
    </row>
    <row r="916" spans="1:8" ht="15.75">
      <c r="A916" s="16"/>
      <c r="D916" s="73"/>
      <c r="E916" s="73"/>
      <c r="F916" s="73"/>
      <c r="G916" s="73"/>
      <c r="H916" s="73"/>
    </row>
    <row r="917" spans="1:8" ht="15.75">
      <c r="A917" s="16"/>
      <c r="D917" s="73"/>
      <c r="E917" s="73"/>
      <c r="F917" s="73"/>
      <c r="G917" s="73"/>
      <c r="H917" s="73"/>
    </row>
    <row r="918" spans="1:8" ht="15.75">
      <c r="A918" s="16"/>
      <c r="D918" s="73"/>
      <c r="E918" s="73"/>
      <c r="F918" s="73"/>
      <c r="G918" s="73"/>
      <c r="H918" s="73"/>
    </row>
    <row r="919" spans="1:8" ht="15.75">
      <c r="A919" s="16"/>
      <c r="D919" s="73"/>
      <c r="E919" s="73"/>
      <c r="F919" s="73"/>
      <c r="G919" s="73"/>
      <c r="H919" s="73"/>
    </row>
    <row r="920" spans="1:8" ht="15.75">
      <c r="A920" s="16"/>
      <c r="D920" s="73"/>
      <c r="E920" s="73"/>
      <c r="F920" s="73"/>
      <c r="G920" s="73"/>
      <c r="H920" s="73"/>
    </row>
    <row r="921" spans="1:8" ht="15.75">
      <c r="A921" s="16"/>
      <c r="D921" s="73"/>
      <c r="E921" s="73"/>
      <c r="F921" s="73"/>
      <c r="G921" s="73"/>
      <c r="H921" s="73"/>
    </row>
    <row r="922" spans="1:8" ht="15.75">
      <c r="A922" s="16"/>
      <c r="D922" s="73"/>
      <c r="E922" s="73"/>
      <c r="F922" s="73"/>
      <c r="G922" s="73"/>
      <c r="H922" s="73"/>
    </row>
    <row r="923" spans="1:8" ht="15.75">
      <c r="A923" s="16"/>
      <c r="D923" s="73"/>
      <c r="E923" s="73"/>
      <c r="F923" s="73"/>
      <c r="G923" s="73"/>
      <c r="H923" s="73"/>
    </row>
    <row r="924" spans="1:8" ht="15.75">
      <c r="A924" s="16"/>
      <c r="D924" s="73"/>
      <c r="E924" s="73"/>
      <c r="F924" s="73"/>
      <c r="G924" s="73"/>
      <c r="H924" s="73"/>
    </row>
    <row r="925" spans="1:8" ht="15.75">
      <c r="A925" s="16"/>
      <c r="D925" s="73"/>
      <c r="E925" s="73"/>
      <c r="F925" s="73"/>
      <c r="G925" s="73"/>
      <c r="H925" s="73"/>
    </row>
    <row r="926" spans="1:8" ht="15.75">
      <c r="A926" s="16"/>
      <c r="D926" s="73"/>
      <c r="E926" s="73"/>
      <c r="F926" s="73"/>
      <c r="G926" s="73"/>
      <c r="H926" s="73"/>
    </row>
    <row r="927" spans="1:8" ht="15.75">
      <c r="A927" s="16"/>
      <c r="D927" s="73"/>
      <c r="E927" s="73"/>
      <c r="F927" s="73"/>
      <c r="G927" s="73"/>
      <c r="H927" s="73"/>
    </row>
    <row r="928" spans="1:8" ht="15.75">
      <c r="A928" s="16"/>
      <c r="D928" s="73"/>
      <c r="E928" s="73"/>
      <c r="F928" s="73"/>
      <c r="G928" s="73"/>
      <c r="H928" s="73"/>
    </row>
    <row r="929" spans="1:8" ht="15.75">
      <c r="A929" s="16"/>
      <c r="D929" s="73"/>
      <c r="E929" s="73"/>
      <c r="F929" s="73"/>
      <c r="G929" s="73"/>
      <c r="H929" s="73"/>
    </row>
    <row r="930" spans="1:8" ht="15.75">
      <c r="A930" s="16"/>
      <c r="D930" s="73"/>
      <c r="E930" s="73"/>
      <c r="F930" s="73"/>
      <c r="G930" s="73"/>
      <c r="H930" s="73"/>
    </row>
    <row r="931" spans="1:8" ht="15.75">
      <c r="A931" s="16"/>
      <c r="D931" s="73"/>
      <c r="E931" s="73"/>
      <c r="F931" s="73"/>
      <c r="G931" s="73"/>
      <c r="H931" s="73"/>
    </row>
    <row r="932" spans="1:8" ht="15.75">
      <c r="A932" s="16"/>
      <c r="D932" s="73"/>
      <c r="E932" s="73"/>
      <c r="F932" s="73"/>
      <c r="G932" s="73"/>
      <c r="H932" s="73"/>
    </row>
    <row r="933" spans="1:8" ht="15.75">
      <c r="A933" s="16"/>
      <c r="D933" s="73"/>
      <c r="E933" s="73"/>
      <c r="F933" s="73"/>
      <c r="G933" s="73"/>
      <c r="H933" s="73"/>
    </row>
    <row r="934" spans="1:8" ht="15.75">
      <c r="A934" s="16"/>
      <c r="D934" s="73"/>
      <c r="E934" s="73"/>
      <c r="F934" s="73"/>
      <c r="G934" s="73"/>
      <c r="H934" s="73"/>
    </row>
    <row r="935" spans="1:8" ht="15.75">
      <c r="A935" s="16"/>
      <c r="D935" s="73"/>
      <c r="E935" s="73"/>
      <c r="F935" s="73"/>
      <c r="G935" s="73"/>
      <c r="H935" s="73"/>
    </row>
    <row r="936" spans="1:8" ht="15.75">
      <c r="A936" s="16"/>
      <c r="D936" s="73"/>
      <c r="E936" s="73"/>
      <c r="F936" s="73"/>
      <c r="G936" s="73"/>
      <c r="H936" s="73"/>
    </row>
    <row r="937" spans="1:8" ht="15.75">
      <c r="A937" s="16"/>
      <c r="D937" s="73"/>
      <c r="E937" s="73"/>
      <c r="F937" s="73"/>
      <c r="G937" s="73"/>
      <c r="H937" s="73"/>
    </row>
    <row r="938" spans="1:8" ht="15.75">
      <c r="A938" s="16"/>
      <c r="D938" s="73"/>
      <c r="E938" s="73"/>
      <c r="F938" s="73"/>
      <c r="G938" s="73"/>
      <c r="H938" s="73"/>
    </row>
    <row r="939" spans="1:8" ht="15.75">
      <c r="A939" s="16"/>
      <c r="D939" s="73"/>
      <c r="E939" s="73"/>
      <c r="F939" s="73"/>
      <c r="G939" s="73"/>
      <c r="H939" s="73"/>
    </row>
    <row r="940" spans="1:8" ht="15.75">
      <c r="A940" s="16"/>
      <c r="D940" s="73"/>
      <c r="E940" s="73"/>
      <c r="F940" s="73"/>
      <c r="G940" s="73"/>
      <c r="H940" s="73"/>
    </row>
    <row r="941" spans="1:8" ht="15.75">
      <c r="A941" s="16"/>
      <c r="D941" s="73"/>
      <c r="E941" s="73"/>
      <c r="F941" s="73"/>
      <c r="G941" s="73"/>
      <c r="H941" s="73"/>
    </row>
  </sheetData>
  <mergeCells count="24">
    <mergeCell ref="D23:H23"/>
    <mergeCell ref="D24:H24"/>
    <mergeCell ref="D25:H25"/>
    <mergeCell ref="D27:H27"/>
    <mergeCell ref="D28:H28"/>
    <mergeCell ref="D29:H29"/>
    <mergeCell ref="D30:H30"/>
    <mergeCell ref="D14:H14"/>
    <mergeCell ref="D15:H15"/>
    <mergeCell ref="B21:B22"/>
    <mergeCell ref="B23:B24"/>
    <mergeCell ref="B25:B28"/>
    <mergeCell ref="D16:H16"/>
    <mergeCell ref="D17:H17"/>
    <mergeCell ref="D18:H18"/>
    <mergeCell ref="D19:H19"/>
    <mergeCell ref="D20:H20"/>
    <mergeCell ref="D21:H21"/>
    <mergeCell ref="D22:H22"/>
    <mergeCell ref="D4:H4"/>
    <mergeCell ref="D5:H5"/>
    <mergeCell ref="D6:H6"/>
    <mergeCell ref="D7:H7"/>
    <mergeCell ref="D13:H13"/>
  </mergeCells>
  <printOptions gridLines="1"/>
  <pageMargins left="0.31496062992125984" right="0.31496062992125984" top="0.74803149606299213" bottom="0.74803149606299213" header="0" footer="0"/>
  <pageSetup paperSize="5" fitToHeight="0" orientation="landscape"/>
  <drawing r:id="rId1"/>
  <extLst>
    <ext xmlns:x14="http://schemas.microsoft.com/office/spreadsheetml/2009/9/main" uri="{CCE6A557-97BC-4b89-ADB6-D9C93CAAB3DF}">
      <x14:dataValidations xmlns:xm="http://schemas.microsoft.com/office/excel/2006/main" count="10">
        <x14:dataValidation type="list" allowBlank="1" showErrorMessage="1">
          <x14:formula1>
            <xm:f>[1]Hoja3!#REF!</xm:f>
          </x14:formula1>
          <xm:sqref>D18</xm:sqref>
        </x14:dataValidation>
        <x14:dataValidation type="list" allowBlank="1" showErrorMessage="1">
          <x14:formula1>
            <xm:f>[1]Hoja3!#REF!</xm:f>
          </x14:formula1>
          <xm:sqref>D22</xm:sqref>
        </x14:dataValidation>
        <x14:dataValidation type="list" allowBlank="1" showErrorMessage="1">
          <x14:formula1>
            <xm:f>[1]Hoja3!#REF!</xm:f>
          </x14:formula1>
          <xm:sqref>B35</xm:sqref>
        </x14:dataValidation>
        <x14:dataValidation type="list" allowBlank="1" showErrorMessage="1">
          <x14:formula1>
            <xm:f>[1]Hoja3!#REF!</xm:f>
          </x14:formula1>
          <xm:sqref>D15</xm:sqref>
        </x14:dataValidation>
        <x14:dataValidation type="list" allowBlank="1" showErrorMessage="1">
          <x14:formula1>
            <xm:f>[1]Hoja3!#REF!</xm:f>
          </x14:formula1>
          <xm:sqref>D14</xm:sqref>
        </x14:dataValidation>
        <x14:dataValidation type="list" allowBlank="1" showErrorMessage="1">
          <x14:formula1>
            <xm:f>[1]Hoja3!#REF!</xm:f>
          </x14:formula1>
          <xm:sqref>D17</xm:sqref>
        </x14:dataValidation>
        <x14:dataValidation type="list" allowBlank="1" showErrorMessage="1">
          <x14:formula1>
            <xm:f>[1]Hoja3!#REF!</xm:f>
          </x14:formula1>
          <xm:sqref>D16</xm:sqref>
        </x14:dataValidation>
        <x14:dataValidation type="list" allowBlank="1" showErrorMessage="1">
          <x14:formula1>
            <xm:f>[1]Hoja3!#REF!</xm:f>
          </x14:formula1>
          <xm:sqref>B38 B40 B44:B47</xm:sqref>
        </x14:dataValidation>
        <x14:dataValidation type="list" allowBlank="1" showErrorMessage="1">
          <x14:formula1>
            <xm:f>[1]Hoja3!#REF!</xm:f>
          </x14:formula1>
          <xm:sqref>D20</xm:sqref>
        </x14:dataValidation>
        <x14:dataValidation type="list" allowBlank="1" showErrorMessage="1">
          <x14:formula1>
            <xm:f>[1]Hoja3!#REF!</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0.42578125" customWidth="1"/>
    <col min="2" max="2" width="8.85546875" customWidth="1"/>
    <col min="3" max="5" width="23.85546875" customWidth="1"/>
    <col min="6" max="10" width="12.7109375" customWidth="1"/>
    <col min="11" max="11" width="13.42578125" customWidth="1"/>
    <col min="12" max="26" width="23.85546875" customWidth="1"/>
  </cols>
  <sheetData>
    <row r="1" spans="1:26" ht="1.5" customHeight="1">
      <c r="A1" s="75"/>
      <c r="B1" s="75"/>
      <c r="C1" s="75"/>
      <c r="D1" s="75"/>
      <c r="E1" s="75"/>
      <c r="F1" s="75"/>
      <c r="G1" s="75"/>
      <c r="H1" s="75"/>
      <c r="I1" s="75"/>
      <c r="J1" s="75"/>
      <c r="K1" s="75"/>
      <c r="L1" s="75"/>
      <c r="M1" s="75"/>
      <c r="N1" s="75"/>
      <c r="O1" s="75"/>
      <c r="P1" s="75"/>
      <c r="Q1" s="75"/>
      <c r="R1" s="75"/>
      <c r="S1" s="75"/>
      <c r="T1" s="75"/>
      <c r="U1" s="75"/>
      <c r="V1" s="75"/>
      <c r="W1" s="75"/>
      <c r="X1" s="75"/>
      <c r="Y1" s="75"/>
      <c r="Z1" s="75"/>
    </row>
    <row r="2" spans="1:26" ht="30" customHeight="1">
      <c r="A2" s="75"/>
      <c r="B2" s="76" t="str">
        <f ca="1">IFERROR(__xludf.DUMMYFUNCTION("QUERY(MIR!A32:R49, ""select C,D,E,I,F,H,G,M,N,O,Q,R"")"),"RESUMEN NARRATIVO FIN PROPÓSITO")</f>
        <v>RESUMEN NARRATIVO FIN PROPÓSITO</v>
      </c>
      <c r="C2" s="76" t="str">
        <f ca="1">IFERROR(__xludf.DUMMYFUNCTION("""COMPUTED_VALUE"""),"OBJETIVOS DE RESULTADO Las personas adultas mayores, personas con discapacidad o con alguna condición de vulnerabilidad, reciben atención integral para su desarrollo pleno en el municipio de Guadalajara durante el 2023 Se contribuye a desarrollar el biene"&amp;"star físico,  integral e inclusión de las personas adultas mayores y personas con algún tipo de discapacidad con al menos una vulnerabilidad social o de ingresos que habitan en el municipio de Guadalajara a través de los programas que integran el eje de G"&amp;"uadalajara sin Barreras del Sistema DIF Guadalajara  durante el 2023")</f>
        <v>OBJETIVOS DE RESULTADO Las personas adultas mayores, personas con discapacidad o con alguna condición de vulnerabilidad, reciben atención integral para su desarrollo pleno en el municipio de Guadalajara durante el 2023 Se contribuye a desarrollar el bienestar físico,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durante el 2023</v>
      </c>
      <c r="D2" s="76" t="str">
        <f ca="1">IFERROR(__xludf.DUMMYFUNCTION("""COMPUTED_VALUE"""),"NOMBRE DEL INDICADOR Porcentaje de personas adultas mayores, con discapacidad y con alguna condición de vulnerabilidad que recibieron atención en los servicios del eje Guadalajara sin Barreras en 2023 Porcentaje de cobertura de servicios de bienestar físi"&amp;"co e inclusión para personas adultas mayores o que viven con alguna discapacidad en el municipio de Guadalajara en 2023")</f>
        <v>NOMBRE DEL INDICADOR Porcentaje de personas adultas mayores, con discapacidad y con alguna condición de vulnerabilidad que recibieron atención en los servicios del eje Guadalajara sin Barreras en 2023 Porcentaje de cobertura de servicios de bienestar físico e inclusión para personas adultas mayores o que viven con alguna discapacidad en el municipio de Guadalajara en 2023</v>
      </c>
      <c r="E2" s="76" t="str">
        <f ca="1">IFERROR(__xludf.DUMMYFUNCTION("""COMPUTED_VALUE"""),"MÉTODO DE CÁLCULO Número de personas atendidas en los programas de CEAMIVIDA,, DIPAM, CAIPED y CADI / Número de personas programadas por atender en CEAMIVIDA, DIPAM, CAIPED y CADI*100 Número de servicios brindados en el eje de Guadalajara Sin Barreras/ nú"&amp;"mero de servicios meta del eje Sin Barreras 2022*100")</f>
        <v>MÉTODO DE CÁLCULO Número de personas atendidas en los programas de CEAMIVIDA,, DIPAM, CAIPED y CADI / Número de personas programadas por atender en CEAMIVIDA, DIPAM, CAIPED y CADI*100 Número de servicios brindados en el eje de Guadalajara Sin Barreras/ número de servicios meta del eje Sin Barreras 2022*100</v>
      </c>
      <c r="F2" s="76" t="str">
        <f ca="1">IFERROR(__xludf.DUMMYFUNCTION("""COMPUTED_VALUE"""),"DEFINICIÓN Mide el porcentaje de personas adultos mayores, con discapacidad y con alguna condición de vulnerabilidad que recibieron atención en los servicios del eje Guadalajara Sin Barreras respecto de la meta planteada para el 2023 Mide el porcentaje de"&amp;" cobertura de servicios de bienestar físico e inclusión para personas adultas mayores o que viven con alguna discapacidad en el municipio de Guadalajara respecto de la meta planteada para el 2023")</f>
        <v>DEFINICIÓN Mide el porcentaje de personas adultos mayores, con discapacidad y con alguna condición de vulnerabilidad que recibieron atención en los servicios del eje Guadalajara Sin Barreras respecto de la meta planteada para el 2023 Mide el porcentaje de cobertura de servicios de bienestar físico e inclusión para personas adultas mayores o que viven con alguna discapacidad en el municipio de Guadalajara respecto de la meta planteada para el 2023</v>
      </c>
      <c r="G2" s="76" t="str">
        <f ca="1">IFERROR(__xludf.DUMMYFUNCTION("""COMPUTED_VALUE"""),"TIPO Estratégico  Estratégico ")</f>
        <v xml:space="preserve">TIPO Estratégico  Estratégico </v>
      </c>
      <c r="H2" s="76" t="str">
        <f ca="1">IFERROR(__xludf.DUMMYFUNCTION("""COMPUTED_VALUE"""),"DIMENSIÓN Eficacia Eficacia")</f>
        <v>DIMENSIÓN Eficacia Eficacia</v>
      </c>
      <c r="I2" s="76" t="str">
        <f ca="1">IFERROR(__xludf.DUMMYFUNCTION("""COMPUTED_VALUE"""),"UNIDAD DE MEDIDA Porcentaje Porcentaje")</f>
        <v>UNIDAD DE MEDIDA Porcentaje Porcentaje</v>
      </c>
      <c r="J2" s="76" t="str">
        <f ca="1">IFERROR(__xludf.DUMMYFUNCTION("""COMPUTED_VALUE"""),"LINEA BASE No disponible No disponible")</f>
        <v>LINEA BASE No disponible No disponible</v>
      </c>
      <c r="K2" s="76" t="str">
        <f ca="1">IFERROR(__xludf.DUMMYFUNCTION("""COMPUTED_VALUE"""),"META PROGRAMADA 7038 36800")</f>
        <v>META PROGRAMADA 7038 36800</v>
      </c>
      <c r="L2" s="76" t="str">
        <f ca="1">IFERROR(__xludf.DUMMYFUNCTION("""COMPUTED_VALUE"""),"FUENTES DE INFORMACIÓN Y MEDIOS DE VERIFICACIÓN V1: Padrón de beneficiarios y reportes de avances mensuales de de los programas del eje de Guadalajara sin Barreras del Sistema DIF Guadalajara / V2: Planes de trabajo de los programas del eje de Guadalajara"&amp;" sin Barreras del Sistema DIF Guadalajara V1: Padrón de beneficiarios y registro de avances de los programas del eje de Guadalajara sin Barreras del Sistema DIF Guadalajara /V2: Planes de trabajo de los programas del eje de Guadalajara sin Barreras del Si"&amp;"stema DIF Guadalajara")</f>
        <v>FUENTES DE INFORMACIÓN Y MEDIOS DE VERIFICACIÓN V1: Padrón de beneficiarios y reportes de avances mensuales de de los programas del eje de Guadalajara sin Barreras del Sistema DIF Guadalajara / V2: Planes de trabajo de los programas del eje de Guadalajara sin Barreras del Sistema DIF Guadalajara V1: Padrón de beneficiarios y registro de avances de los programas del eje de Guadalajara sin Barreras del Sistema DIF Guadalajara /V2: Planes de trabajo de los programas del eje de Guadalajara sin Barreras del Sistema DIF Guadalajara</v>
      </c>
      <c r="M2" s="76" t="str">
        <f ca="1">IFERROR(__xludf.DUMMYFUNCTION("""COMPUTED_VALUE"""),"SUPUESTOS Las usuarias y usuarios de los programas del eje de Guadalajara sin barreras del Sistema DIF Guadalajara logran mejoras en su bienestar físico y condiciones de inserción social  La comunidad de Guadalajara pone los medios necesarios para que las"&amp;" personas adultas mayores o con discapacidad asistan a los centros.")</f>
        <v>SUPUESTOS Las usuarias y usuarios de los programas del eje de Guadalajara sin barreras del Sistema DIF Guadalajara logran mejoras en su bienestar físico y condiciones de inserción social  La comunidad de Guadalajara pone los medios necesarios para que las personas adultas mayores o con discapacidad asistan a los centros.</v>
      </c>
      <c r="N2" s="75"/>
      <c r="O2" s="75"/>
      <c r="P2" s="75"/>
      <c r="Q2" s="75"/>
      <c r="R2" s="75"/>
      <c r="S2" s="75"/>
      <c r="T2" s="75"/>
      <c r="U2" s="75"/>
      <c r="V2" s="75"/>
      <c r="W2" s="75"/>
      <c r="X2" s="75"/>
      <c r="Y2" s="75"/>
      <c r="Z2" s="75"/>
    </row>
    <row r="3" spans="1:26" ht="85.5" customHeight="1">
      <c r="A3" s="75"/>
      <c r="B3" s="76" t="str">
        <f ca="1">IFERROR(__xludf.DUMMYFUNCTION("""COMPUTED_VALUE"""),"COMPONENTE 1")</f>
        <v>COMPONENTE 1</v>
      </c>
      <c r="C3" s="76" t="str">
        <f ca="1">IFERROR(__xludf.DUMMYFUNCTION("""COMPUTED_VALUE"""),"C1. Servicios de atención integral a personas con discapacidad intelectual y sus familias brindados en CEAMIVIDA")</f>
        <v>C1. Servicios de atención integral a personas con discapacidad intelectual y sus familias brindados en CEAMIVIDA</v>
      </c>
      <c r="D3" s="76" t="str">
        <f ca="1">IFERROR(__xludf.DUMMYFUNCTION("""COMPUTED_VALUE"""),"Promedio de personas atendidas y sus familias en talleres recreativos, formativos, deportivos, consultas médicas y psicológicas impartidas en el programa de CEAMIVIDA en 2023")</f>
        <v>Promedio de personas atendidas y sus familias en talleres recreativos, formativos, deportivos, consultas médicas y psicológicas impartidas en el programa de CEAMIVIDA en 2023</v>
      </c>
      <c r="E3" s="76" t="str">
        <f ca="1">IFERROR(__xludf.DUMMYFUNCTION("""COMPUTED_VALUE"""),"(Número de personas atendidas en talleres recreativos, formativos, deportivos, consultas médicas y psicológicas impartidas en el programa de CEAMIVIDA durante el 2023)/12")</f>
        <v>(Número de personas atendidas en talleres recreativos, formativos, deportivos, consultas médicas y psicológicas impartidas en el programa de CEAMIVIDA durante el 2023)/12</v>
      </c>
      <c r="F3" s="76" t="str">
        <f ca="1">IFERROR(__xludf.DUMMYFUNCTION("""COMPUTED_VALUE"""),"Mide el promedio de personas atendidas y sus familias en talleres recreativos, formativos, deportivos, consultas médicas y psicológicas impartidas en el programa de CEAMIVIDA en 2023")</f>
        <v>Mide el promedio de personas atendidas y sus familias en talleres recreativos, formativos, deportivos, consultas médicas y psicológicas impartidas en el programa de CEAMIVIDA en 2023</v>
      </c>
      <c r="G3" s="76" t="str">
        <f ca="1">IFERROR(__xludf.DUMMYFUNCTION("""COMPUTED_VALUE"""),"Estratégico ")</f>
        <v xml:space="preserve">Estratégico </v>
      </c>
      <c r="H3" s="76" t="str">
        <f ca="1">IFERROR(__xludf.DUMMYFUNCTION("""COMPUTED_VALUE"""),"Eficacia")</f>
        <v>Eficacia</v>
      </c>
      <c r="I3" s="76" t="str">
        <f ca="1">IFERROR(__xludf.DUMMYFUNCTION("""COMPUTED_VALUE"""),"Promedio")</f>
        <v>Promedio</v>
      </c>
      <c r="J3" s="76" t="str">
        <f ca="1">IFERROR(__xludf.DUMMYFUNCTION("""COMPUTED_VALUE"""),"No disponible")</f>
        <v>No disponible</v>
      </c>
      <c r="K3" s="76">
        <f ca="1">IFERROR(__xludf.DUMMYFUNCTION("""COMPUTED_VALUE"""),372)</f>
        <v>372</v>
      </c>
      <c r="L3" s="76" t="str">
        <f ca="1">IFERROR(__xludf.DUMMYFUNCTION("""COMPUTED_VALUE"""),"Expediente, listas de asistencia")</f>
        <v>Expediente, listas de asistencia</v>
      </c>
      <c r="M3" s="76" t="str">
        <f ca="1">IFERROR(__xludf.DUMMYFUNCTION("""COMPUTED_VALUE"""),"Los beneficiarios de CEAMIVIDA cuentan con el mínimo estado de salud para poder asistir al CEAMIVIDA.")</f>
        <v>Los beneficiarios de CEAMIVIDA cuentan con el mínimo estado de salud para poder asistir al CEAMIVIDA.</v>
      </c>
      <c r="N3" s="75"/>
      <c r="O3" s="75"/>
      <c r="P3" s="75"/>
      <c r="Q3" s="75"/>
      <c r="R3" s="75"/>
      <c r="S3" s="75"/>
      <c r="T3" s="75"/>
      <c r="U3" s="75"/>
      <c r="V3" s="75"/>
      <c r="W3" s="75"/>
      <c r="X3" s="75"/>
      <c r="Y3" s="75"/>
      <c r="Z3" s="75"/>
    </row>
    <row r="4" spans="1:26" ht="85.5" customHeight="1">
      <c r="A4" s="75"/>
      <c r="B4" s="76" t="str">
        <f ca="1">IFERROR(__xludf.DUMMYFUNCTION("""COMPUTED_VALUE"""),"ACTIVIDAD 1.1")</f>
        <v>ACTIVIDAD 1.1</v>
      </c>
      <c r="C4" s="76" t="str">
        <f ca="1">IFERROR(__xludf.DUMMYFUNCTION("""COMPUTED_VALUE"""),"A1C1. Atención psicológica o médica para personas con discapacidad intelectual  y sus familias brindadas en CEAMIVIDA")</f>
        <v>A1C1. Atención psicológica o médica para personas con discapacidad intelectual  y sus familias brindadas en CEAMIVIDA</v>
      </c>
      <c r="D4" s="76" t="str">
        <f ca="1">IFERROR(__xludf.DUMMYFUNCTION("""COMPUTED_VALUE"""),"Porcentaje de consultas psicológicas o médicas para personas con discapacidad intelectual brindadas en CEAMIVIDA en 2023")</f>
        <v>Porcentaje de consultas psicológicas o médicas para personas con discapacidad intelectual brindadas en CEAMIVIDA en 2023</v>
      </c>
      <c r="E4" s="76" t="str">
        <f ca="1">IFERROR(__xludf.DUMMYFUNCTION("""COMPUTED_VALUE"""),"((Número de consultas psicológicas o médicas para personas con discapacidad intelectual  y sus familias brindadas  en CEAMIVIDA durante el 2023 )/( Número de consultas psicológicas o médicas para personas con discapacidad intelectual  y sus familias progr"&amp;"amadas en CEAMIVIDA para el 2023))*100")</f>
        <v>((Número de consultas psicológicas o médicas para personas con discapacidad intelectual  y sus familias brindadas  en CEAMIVIDA durante el 2023 )/( Número de consultas psicológicas o médicas para personas con discapacidad intelectual  y sus familias programadas en CEAMIVIDA para el 2023))*100</v>
      </c>
      <c r="F4" s="76" t="str">
        <f ca="1">IFERROR(__xludf.DUMMYFUNCTION("""COMPUTED_VALUE"""),"Mide el porcentaje de consultas psicológicas o médicas para personas con discapacidad intelectual brindadas en CEAMIVIDA en 2023")</f>
        <v>Mide el porcentaje de consultas psicológicas o médicas para personas con discapacidad intelectual brindadas en CEAMIVIDA en 2023</v>
      </c>
      <c r="G4" s="76" t="str">
        <f ca="1">IFERROR(__xludf.DUMMYFUNCTION("""COMPUTED_VALUE"""),"Gestión")</f>
        <v>Gestión</v>
      </c>
      <c r="H4" s="76" t="str">
        <f ca="1">IFERROR(__xludf.DUMMYFUNCTION("""COMPUTED_VALUE"""),"Eficacia")</f>
        <v>Eficacia</v>
      </c>
      <c r="I4" s="76" t="str">
        <f ca="1">IFERROR(__xludf.DUMMYFUNCTION("""COMPUTED_VALUE"""),"Porcentaje")</f>
        <v>Porcentaje</v>
      </c>
      <c r="J4" s="76" t="str">
        <f ca="1">IFERROR(__xludf.DUMMYFUNCTION("""COMPUTED_VALUE"""),"No disponible")</f>
        <v>No disponible</v>
      </c>
      <c r="K4" s="76">
        <f ca="1">IFERROR(__xludf.DUMMYFUNCTION("""COMPUTED_VALUE"""),810)</f>
        <v>810</v>
      </c>
      <c r="L4" s="76" t="str">
        <f ca="1">IFERROR(__xludf.DUMMYFUNCTION("""COMPUTED_VALUE"""),"Bitácora")</f>
        <v>Bitácora</v>
      </c>
      <c r="M4" s="76" t="str">
        <f ca="1">IFERROR(__xludf.DUMMYFUNCTION("""COMPUTED_VALUE"""),"La población de personas con discapacidad intelectual y sus familias reconocen la importancia de la atención psicológica y médica brindada por el DIF a través de CEAMIVIDA para mejorar su calidad de vida y está dispuesta a participar activamente en el pro"&amp;"grama. ")</f>
        <v xml:space="preserve">La población de personas con discapacidad intelectual y sus familias reconocen la importancia de la atención psicológica y médica brindada por el DIF a través de CEAMIVIDA para mejorar su calidad de vida y está dispuesta a participar activamente en el programa. </v>
      </c>
      <c r="N4" s="75"/>
      <c r="O4" s="75"/>
      <c r="P4" s="75"/>
      <c r="Q4" s="75"/>
      <c r="R4" s="75"/>
      <c r="S4" s="75"/>
      <c r="T4" s="75"/>
      <c r="U4" s="75"/>
      <c r="V4" s="75"/>
      <c r="W4" s="75"/>
      <c r="X4" s="75"/>
      <c r="Y4" s="75"/>
      <c r="Z4" s="75"/>
    </row>
    <row r="5" spans="1:26" ht="85.5" customHeight="1">
      <c r="A5" s="75"/>
      <c r="B5" s="76" t="str">
        <f ca="1">IFERROR(__xludf.DUMMYFUNCTION("""COMPUTED_VALUE"""),"ACTIVIDAD 1.2")</f>
        <v>ACTIVIDAD 1.2</v>
      </c>
      <c r="C5" s="76" t="str">
        <f ca="1">IFERROR(__xludf.DUMMYFUNCTION("""COMPUTED_VALUE"""),"A2C1. Talleres especializados para personas con discapacidad  y sus familias intelectual brindados en CEAMIVIDA")</f>
        <v>A2C1. Talleres especializados para personas con discapacidad  y sus familias intelectual brindados en CEAMIVIDA</v>
      </c>
      <c r="D5" s="76" t="str">
        <f ca="1">IFERROR(__xludf.DUMMYFUNCTION("""COMPUTED_VALUE"""),"Porcentaje de sesiones de talleres recreativos, formativos y deportivos para personas con discapacidad intelectual implementados en CEAMIVIDA en 2023")</f>
        <v>Porcentaje de sesiones de talleres recreativos, formativos y deportivos para personas con discapacidad intelectual implementados en CEAMIVIDA en 2023</v>
      </c>
      <c r="E5" s="76" t="str">
        <f ca="1">IFERROR(__xludf.DUMMYFUNCTION("""COMPUTED_VALUE"""),"((Número de sesiones de talleres recreativos, formativos y deportivos para personas con discapacidad intelectual  y sus familias implementados en CEAMIVIDA  durante el 2023)/ (Número de sesiones de talleres recreativos, formativos y deportivos para person"&amp;"as con discapacidad intelectual  y sus familias programados en CEAMIVIDA para el 2023))*100")</f>
        <v>((Número de sesiones de talleres recreativos, formativos y deportivos para personas con discapacidad intelectual  y sus familias implementados en CEAMIVIDA  durante el 2023)/ (Número de sesiones de talleres recreativos, formativos y deportivos para personas con discapacidad intelectual  y sus familias programados en CEAMIVIDA para el 2023))*100</v>
      </c>
      <c r="F5" s="76" t="str">
        <f ca="1">IFERROR(__xludf.DUMMYFUNCTION("""COMPUTED_VALUE"""),"Mide el porcentaje de sesiones de talleres recreativos, formativos y deportivos para personas con discapacidad intelectual implementados en CEAMIVIDA en 2023")</f>
        <v>Mide el porcentaje de sesiones de talleres recreativos, formativos y deportivos para personas con discapacidad intelectual implementados en CEAMIVIDA en 2023</v>
      </c>
      <c r="G5" s="76" t="str">
        <f ca="1">IFERROR(__xludf.DUMMYFUNCTION("""COMPUTED_VALUE"""),"Gestión")</f>
        <v>Gestión</v>
      </c>
      <c r="H5" s="76" t="str">
        <f ca="1">IFERROR(__xludf.DUMMYFUNCTION("""COMPUTED_VALUE"""),"Eficacia")</f>
        <v>Eficacia</v>
      </c>
      <c r="I5" s="76" t="str">
        <f ca="1">IFERROR(__xludf.DUMMYFUNCTION("""COMPUTED_VALUE"""),"Porcentaje")</f>
        <v>Porcentaje</v>
      </c>
      <c r="J5" s="76" t="str">
        <f ca="1">IFERROR(__xludf.DUMMYFUNCTION("""COMPUTED_VALUE"""),"No disponible")</f>
        <v>No disponible</v>
      </c>
      <c r="K5" s="76">
        <f ca="1">IFERROR(__xludf.DUMMYFUNCTION("""COMPUTED_VALUE"""),990)</f>
        <v>990</v>
      </c>
      <c r="L5" s="76" t="str">
        <f ca="1">IFERROR(__xludf.DUMMYFUNCTION("""COMPUTED_VALUE"""),"Listas de asistencia")</f>
        <v>Listas de asistencia</v>
      </c>
      <c r="M5" s="76" t="str">
        <f ca="1">IFERROR(__xludf.DUMMYFUNCTION("""COMPUTED_VALUE"""),"Las personas con discapacidad intelectual y sus familias en la ciudad de Guadalajara tienen acceso y conocimiento de los servicios y programas que ofrece el DIF, y tienen la disponibilidad y disposición de asistir a los talleres especializados brindados e"&amp;"n CEAMIVIDA.")</f>
        <v>Las personas con discapacidad intelectual y sus familias en la ciudad de Guadalajara tienen acceso y conocimiento de los servicios y programas que ofrece el DIF, y tienen la disponibilidad y disposición de asistir a los talleres especializados brindados en CEAMIVIDA.</v>
      </c>
      <c r="N5" s="75"/>
      <c r="O5" s="75"/>
      <c r="P5" s="75"/>
      <c r="Q5" s="75"/>
      <c r="R5" s="75"/>
      <c r="S5" s="75"/>
      <c r="T5" s="75"/>
      <c r="U5" s="75"/>
      <c r="V5" s="75"/>
      <c r="W5" s="75"/>
      <c r="X5" s="75"/>
      <c r="Y5" s="75"/>
      <c r="Z5" s="75"/>
    </row>
    <row r="6" spans="1:26" ht="85.5" customHeight="1">
      <c r="A6" s="75"/>
      <c r="B6" s="76" t="str">
        <f ca="1">IFERROR(__xludf.DUMMYFUNCTION("""COMPUTED_VALUE"""),"COMPONENTE 2")</f>
        <v>COMPONENTE 2</v>
      </c>
      <c r="C6" s="76" t="str">
        <f ca="1">IFERROR(__xludf.DUMMYFUNCTION("""COMPUTED_VALUE"""),"C2. Servicios de atención integral a personas con discapacidad intelectual y Trastorno del Espectro Autismo brindados en CADI")</f>
        <v>C2. Servicios de atención integral a personas con discapacidad intelectual y Trastorno del Espectro Autismo brindados en CADI</v>
      </c>
      <c r="D6" s="76" t="str">
        <f ca="1">IFERROR(__xludf.DUMMYFUNCTION("""COMPUTED_VALUE"""),"Promedio de personas atendidas en terapia especializada y que reciben terapias complementarias en CADI en el 2023")</f>
        <v>Promedio de personas atendidas en terapia especializada y que reciben terapias complementarias en CADI en el 2023</v>
      </c>
      <c r="E6" s="76" t="str">
        <f ca="1">IFERROR(__xludf.DUMMYFUNCTION("""COMPUTED_VALUE"""),"(Número de personas atendidas en terapia especializada para DI, TEA, durante el 2023)/ 12")</f>
        <v>(Número de personas atendidas en terapia especializada para DI, TEA, durante el 2023)/ 12</v>
      </c>
      <c r="F6" s="76" t="str">
        <f ca="1">IFERROR(__xludf.DUMMYFUNCTION("""COMPUTED_VALUE"""),"Mide el promedio de personas atendidas en terapia especializada durante el transcurso del año 2023")</f>
        <v>Mide el promedio de personas atendidas en terapia especializada durante el transcurso del año 2023</v>
      </c>
      <c r="G6" s="76" t="str">
        <f ca="1">IFERROR(__xludf.DUMMYFUNCTION("""COMPUTED_VALUE"""),"Estratégico ")</f>
        <v xml:space="preserve">Estratégico </v>
      </c>
      <c r="H6" s="76" t="str">
        <f ca="1">IFERROR(__xludf.DUMMYFUNCTION("""COMPUTED_VALUE"""),"Eficacia")</f>
        <v>Eficacia</v>
      </c>
      <c r="I6" s="76" t="str">
        <f ca="1">IFERROR(__xludf.DUMMYFUNCTION("""COMPUTED_VALUE"""),"Promedio")</f>
        <v>Promedio</v>
      </c>
      <c r="J6" s="76" t="str">
        <f ca="1">IFERROR(__xludf.DUMMYFUNCTION("""COMPUTED_VALUE"""),"No disponible")</f>
        <v>No disponible</v>
      </c>
      <c r="K6" s="76">
        <f ca="1">IFERROR(__xludf.DUMMYFUNCTION("""COMPUTED_VALUE"""),600)</f>
        <v>600</v>
      </c>
      <c r="L6" s="76" t="str">
        <f ca="1">IFERROR(__xludf.DUMMYFUNCTION("""COMPUTED_VALUE"""),"Expediente, listas de asistencia")</f>
        <v>Expediente, listas de asistencia</v>
      </c>
      <c r="M6" s="76" t="str">
        <f ca="1">IFERROR(__xludf.DUMMYFUNCTION("""COMPUTED_VALUE"""),"Los pacientes cuentan con los mínimos requisitos de salud para poder asistir a terapias a CADI,")</f>
        <v>Los pacientes cuentan con los mínimos requisitos de salud para poder asistir a terapias a CADI,</v>
      </c>
      <c r="N6" s="75"/>
      <c r="O6" s="75"/>
      <c r="P6" s="75"/>
      <c r="Q6" s="75"/>
      <c r="R6" s="75"/>
      <c r="S6" s="75"/>
      <c r="T6" s="75"/>
      <c r="U6" s="75"/>
      <c r="V6" s="75"/>
      <c r="W6" s="75"/>
      <c r="X6" s="75"/>
      <c r="Y6" s="75"/>
      <c r="Z6" s="75"/>
    </row>
    <row r="7" spans="1:26" ht="85.5" customHeight="1">
      <c r="A7" s="75"/>
      <c r="B7" s="76" t="str">
        <f ca="1">IFERROR(__xludf.DUMMYFUNCTION("""COMPUTED_VALUE"""),"ACTIVIDAD 2.1")</f>
        <v>ACTIVIDAD 2.1</v>
      </c>
      <c r="C7" s="76" t="str">
        <f ca="1">IFERROR(__xludf.DUMMYFUNCTION("""COMPUTED_VALUE"""),"A1C2. Sesiones especializadas y complementarias para personas con discapacidad intelectual o trastorno del espectro autista en CADI")</f>
        <v>A1C2. Sesiones especializadas y complementarias para personas con discapacidad intelectual o trastorno del espectro autista en CADI</v>
      </c>
      <c r="D7" s="76" t="str">
        <f ca="1">IFERROR(__xludf.DUMMYFUNCTION("""COMPUTED_VALUE"""),"Porcentaje de sesiones de terapia especializada y complementarias para personas con discapacidad intelectual o trastorno del espectro autista, brindadas en el CADI en 2023")</f>
        <v>Porcentaje de sesiones de terapia especializada y complementarias para personas con discapacidad intelectual o trastorno del espectro autista, brindadas en el CADI en 2023</v>
      </c>
      <c r="E7" s="76" t="str">
        <f ca="1">IFERROR(__xludf.DUMMYFUNCTION("""COMPUTED_VALUE"""),"Número de sesiones de terapia especializada individual para discapacidad intelectual o trastorno del espectro autista, lenguaje y estimulación cognitiva durante el 2023/ Número de sesiones de terapia especializada individual y discapacidad intelectual o t"&amp;"rastorno del espectro autista, lenguaje y estimulación cognitiva programadas para el 2023*100")</f>
        <v>Número de sesiones de terapia especializada individual para discapacidad intelectual o trastorno del espectro autista, lenguaje y estimulación cognitiva durante el 2023/ Número de sesiones de terapia especializada individual y discapacidad intelectual o trastorno del espectro autista, lenguaje y estimulación cognitiva programadas para el 2023*100</v>
      </c>
      <c r="F7" s="76" t="str">
        <f ca="1">IFERROR(__xludf.DUMMYFUNCTION("""COMPUTED_VALUE"""),"Mide el porcentaje logrado de sesiones de terapia especializada y complementaria para personas con DI o TEA planteadas como meta anual del 2023")</f>
        <v>Mide el porcentaje logrado de sesiones de terapia especializada y complementaria para personas con DI o TEA planteadas como meta anual del 2023</v>
      </c>
      <c r="G7" s="76" t="str">
        <f ca="1">IFERROR(__xludf.DUMMYFUNCTION("""COMPUTED_VALUE"""),"Gestión")</f>
        <v>Gestión</v>
      </c>
      <c r="H7" s="76" t="str">
        <f ca="1">IFERROR(__xludf.DUMMYFUNCTION("""COMPUTED_VALUE"""),"Eficacia")</f>
        <v>Eficacia</v>
      </c>
      <c r="I7" s="76" t="str">
        <f ca="1">IFERROR(__xludf.DUMMYFUNCTION("""COMPUTED_VALUE"""),"Porcentaje")</f>
        <v>Porcentaje</v>
      </c>
      <c r="J7" s="76" t="str">
        <f ca="1">IFERROR(__xludf.DUMMYFUNCTION("""COMPUTED_VALUE"""),"No disponible")</f>
        <v>No disponible</v>
      </c>
      <c r="K7" s="76">
        <f ca="1">IFERROR(__xludf.DUMMYFUNCTION("""COMPUTED_VALUE"""),5600)</f>
        <v>5600</v>
      </c>
      <c r="L7" s="76" t="str">
        <f ca="1">IFERROR(__xludf.DUMMYFUNCTION("""COMPUTED_VALUE"""),"Expedientes")</f>
        <v>Expedientes</v>
      </c>
      <c r="M7" s="76" t="str">
        <f ca="1">IFERROR(__xludf.DUMMYFUNCTION("""COMPUTED_VALUE"""),"Cuidadores de las personas con TEA y de DI acuden a las instalaciones con los pacientes del centro. ")</f>
        <v xml:space="preserve">Cuidadores de las personas con TEA y de DI acuden a las instalaciones con los pacientes del centro. </v>
      </c>
      <c r="N7" s="75"/>
      <c r="O7" s="75"/>
      <c r="P7" s="75"/>
      <c r="Q7" s="75"/>
      <c r="R7" s="75"/>
      <c r="S7" s="75"/>
      <c r="T7" s="75"/>
      <c r="U7" s="75"/>
      <c r="V7" s="75"/>
      <c r="W7" s="75"/>
      <c r="X7" s="75"/>
      <c r="Y7" s="75"/>
      <c r="Z7" s="75"/>
    </row>
    <row r="8" spans="1:26" ht="85.5" customHeight="1">
      <c r="A8" s="75"/>
      <c r="B8" s="76" t="str">
        <f ca="1">IFERROR(__xludf.DUMMYFUNCTION("""COMPUTED_VALUE"""),"COMPONENTE 3")</f>
        <v>COMPONENTE 3</v>
      </c>
      <c r="C8" s="76" t="str">
        <f ca="1">IFERROR(__xludf.DUMMYFUNCTION("""COMPUTED_VALUE"""),"Número de apoyos, servicios y actividades de promoción dirigidas a la inclusión y garantía de derechos de personas con discapacidad realizadas en 2023")</f>
        <v>Número de apoyos, servicios y actividades de promoción dirigidas a la inclusión y garantía de derechos de personas con discapacidad realizadas en 2023</v>
      </c>
      <c r="D8" s="76" t="str">
        <f ca="1">IFERROR(__xludf.DUMMYFUNCTION("""COMPUTED_VALUE"""),"Porcentaje de apoyos, servicios y actividades realizadas y dirigidas a personas con discapacidad, en 2023")</f>
        <v>Porcentaje de apoyos, servicios y actividades realizadas y dirigidas a personas con discapacidad, en 2023</v>
      </c>
      <c r="E8" s="76" t="str">
        <f ca="1">IFERROR(__xludf.DUMMYFUNCTION("""COMPUTED_VALUE"""),"(Número de apoyos, servicios y actividades realizados en 2023 /Número de apoyos, servicios y actividades programados para el 2023)*100")</f>
        <v>(Número de apoyos, servicios y actividades realizados en 2023 /Número de apoyos, servicios y actividades programados para el 2023)*100</v>
      </c>
      <c r="F8" s="76" t="str">
        <f ca="1">IFERROR(__xludf.DUMMYFUNCTION("""COMPUTED_VALUE"""),"Mide el porcentaje de apoyos, servicios y actividades realizadas y dirigidas a personas con discapacidad en 2023")</f>
        <v>Mide el porcentaje de apoyos, servicios y actividades realizadas y dirigidas a personas con discapacidad en 2023</v>
      </c>
      <c r="G8" s="76" t="str">
        <f ca="1">IFERROR(__xludf.DUMMYFUNCTION("""COMPUTED_VALUE"""),"Estratégico ")</f>
        <v xml:space="preserve">Estratégico </v>
      </c>
      <c r="H8" s="76" t="str">
        <f ca="1">IFERROR(__xludf.DUMMYFUNCTION("""COMPUTED_VALUE"""),"Eficacia")</f>
        <v>Eficacia</v>
      </c>
      <c r="I8" s="76" t="str">
        <f ca="1">IFERROR(__xludf.DUMMYFUNCTION("""COMPUTED_VALUE"""),"Porcentaje")</f>
        <v>Porcentaje</v>
      </c>
      <c r="J8" s="76" t="str">
        <f ca="1">IFERROR(__xludf.DUMMYFUNCTION("""COMPUTED_VALUE"""),"No disponible")</f>
        <v>No disponible</v>
      </c>
      <c r="K8" s="76">
        <f ca="1">IFERROR(__xludf.DUMMYFUNCTION("""COMPUTED_VALUE"""),470)</f>
        <v>470</v>
      </c>
      <c r="L8" s="76" t="str">
        <f ca="1">IFERROR(__xludf.DUMMYFUNCTION("""COMPUTED_VALUE"""),"Listas de asistencia, padrón de beneficiarios")</f>
        <v>Listas de asistencia, padrón de beneficiarios</v>
      </c>
      <c r="M8" s="76" t="str">
        <f ca="1">IFERROR(__xludf.DUMMYFUNCTION("""COMPUTED_VALUE"""),"Los cuidadores de las personas con discapacidad tienen acceso a la información sobre los servicios y actividades de promoción a través de canales de comunicación accesibles y adecuados a sus necesidades")</f>
        <v>Los cuidadores de las personas con discapacidad tienen acceso a la información sobre los servicios y actividades de promoción a través de canales de comunicación accesibles y adecuados a sus necesidades</v>
      </c>
      <c r="N8" s="75"/>
      <c r="O8" s="75"/>
      <c r="P8" s="75"/>
      <c r="Q8" s="75"/>
      <c r="R8" s="75"/>
      <c r="S8" s="75"/>
      <c r="T8" s="75"/>
      <c r="U8" s="75"/>
      <c r="V8" s="75"/>
      <c r="W8" s="75"/>
      <c r="X8" s="75"/>
      <c r="Y8" s="75"/>
      <c r="Z8" s="75"/>
    </row>
    <row r="9" spans="1:26" ht="85.5" customHeight="1">
      <c r="A9" s="75"/>
      <c r="B9" s="76" t="str">
        <f ca="1">IFERROR(__xludf.DUMMYFUNCTION("""COMPUTED_VALUE"""),"ACTIVIDAD 3.1")</f>
        <v>ACTIVIDAD 3.1</v>
      </c>
      <c r="C9" s="76" t="str">
        <f ca="1">IFERROR(__xludf.DUMMYFUNCTION("""COMPUTED_VALUE"""),"Otorgar medicamentos a personas adultas con discapacidad intelectual institucionalizadas para la garantía de sus derechos durante el 2023.")</f>
        <v>Otorgar medicamentos a personas adultas con discapacidad intelectual institucionalizadas para la garantía de sus derechos durante el 2023.</v>
      </c>
      <c r="D9" s="76" t="str">
        <f ca="1">IFERROR(__xludf.DUMMYFUNCTION("""COMPUTED_VALUE"""),"Promedio de personas adultas con discapacidad intelectual institucionalizadas que reciben de manera oportuna medicamentos para la garantía de sus derechos durante el 2023")</f>
        <v>Promedio de personas adultas con discapacidad intelectual institucionalizadas que reciben de manera oportuna medicamentos para la garantía de sus derechos durante el 2023</v>
      </c>
      <c r="E9" s="76" t="str">
        <f ca="1">IFERROR(__xludf.DUMMYFUNCTION("""COMPUTED_VALUE"""),"(Número de personas con discapacidad institucionalizados que reciben medicamentos durante el 2023/ 12)")</f>
        <v>(Número de personas con discapacidad institucionalizados que reciben medicamentos durante el 2023/ 12)</v>
      </c>
      <c r="F9" s="76" t="str">
        <f ca="1">IFERROR(__xludf.DUMMYFUNCTION("""COMPUTED_VALUE"""),"Mide el Promedio de personas adultas con discapacidad intelectual institucionalizadas que reciben de manera oportuna medicamentos para la garantía de sus derechos durante el 2023")</f>
        <v>Mide el Promedio de personas adultas con discapacidad intelectual institucionalizadas que reciben de manera oportuna medicamentos para la garantía de sus derechos durante el 2023</v>
      </c>
      <c r="G9" s="76" t="str">
        <f ca="1">IFERROR(__xludf.DUMMYFUNCTION("""COMPUTED_VALUE"""),"Gestión")</f>
        <v>Gestión</v>
      </c>
      <c r="H9" s="76" t="str">
        <f ca="1">IFERROR(__xludf.DUMMYFUNCTION("""COMPUTED_VALUE"""),"Eficacia")</f>
        <v>Eficacia</v>
      </c>
      <c r="I9" s="76" t="str">
        <f ca="1">IFERROR(__xludf.DUMMYFUNCTION("""COMPUTED_VALUE"""),"Promedio")</f>
        <v>Promedio</v>
      </c>
      <c r="J9" s="76" t="str">
        <f ca="1">IFERROR(__xludf.DUMMYFUNCTION("""COMPUTED_VALUE"""),"No disponible")</f>
        <v>No disponible</v>
      </c>
      <c r="K9" s="76">
        <f ca="1">IFERROR(__xludf.DUMMYFUNCTION("""COMPUTED_VALUE"""),66)</f>
        <v>66</v>
      </c>
      <c r="L9" s="76" t="str">
        <f ca="1">IFERROR(__xludf.DUMMYFUNCTION("""COMPUTED_VALUE"""),"Listas de asistencia, padrón de beneficiarios")</f>
        <v>Listas de asistencia, padrón de beneficiarios</v>
      </c>
      <c r="M9" s="76" t="str">
        <f ca="1">IFERROR(__xludf.DUMMYFUNCTION("""COMPUTED_VALUE"""),"Existen y están disponibilidad los medicamentos necesarios, en el mercado farmacéutico local y/o internacional,")</f>
        <v>Existen y están disponibilidad los medicamentos necesarios, en el mercado farmacéutico local y/o internacional,</v>
      </c>
      <c r="N9" s="75"/>
      <c r="O9" s="75"/>
      <c r="P9" s="75"/>
      <c r="Q9" s="75"/>
      <c r="R9" s="75"/>
      <c r="S9" s="75"/>
      <c r="T9" s="75"/>
      <c r="U9" s="75"/>
      <c r="V9" s="75"/>
      <c r="W9" s="75"/>
      <c r="X9" s="75"/>
      <c r="Y9" s="75"/>
      <c r="Z9" s="75"/>
    </row>
    <row r="10" spans="1:26" ht="85.5" customHeight="1">
      <c r="A10" s="75"/>
      <c r="B10" s="76" t="str">
        <f ca="1">IFERROR(__xludf.DUMMYFUNCTION("""COMPUTED_VALUE"""),"ACTIVIDAD 3.2")</f>
        <v>ACTIVIDAD 3.2</v>
      </c>
      <c r="C10" s="76" t="str">
        <f ca="1">IFERROR(__xludf.DUMMYFUNCTION("""COMPUTED_VALUE"""),"Otorgar apoyo de vivienda temporal a personas con discapacidad intelectual o mental institucionalizados para la garantía de sus derechos durante el 2023.")</f>
        <v>Otorgar apoyo de vivienda temporal a personas con discapacidad intelectual o mental institucionalizados para la garantía de sus derechos durante el 2023.</v>
      </c>
      <c r="D10" s="76" t="str">
        <f ca="1">IFERROR(__xludf.DUMMYFUNCTION("""COMPUTED_VALUE"""),"Porcentaje de personas con discapacidad intelectual o mental institucionalizados que recibieron apoyo de vivienda temporal para la garantía de sus derechos en 2023")</f>
        <v>Porcentaje de personas con discapacidad intelectual o mental institucionalizados que recibieron apoyo de vivienda temporal para la garantía de sus derechos en 2023</v>
      </c>
      <c r="E10" s="76" t="str">
        <f ca="1">IFERROR(__xludf.DUMMYFUNCTION("""COMPUTED_VALUE"""),"(Número de personas institucionalizados con discapacidad intelectual o mental que recibieron apoyo de vivienda temporal durante el 2023/ Número de personas  institucionalizados con discapacidad intelectual o mental programadas para el 2023)*100")</f>
        <v>(Número de personas institucionalizados con discapacidad intelectual o mental que recibieron apoyo de vivienda temporal durante el 2023/ Número de personas  institucionalizados con discapacidad intelectual o mental programadas para el 2023)*100</v>
      </c>
      <c r="F10" s="76" t="str">
        <f ca="1">IFERROR(__xludf.DUMMYFUNCTION("""COMPUTED_VALUE"""),"Mide el Porcentaje de personas con discapacidad intelectual o mental institucionalizados que recibieron apoyo de vivienda temporal para la garantía de sus derechos en 2023")</f>
        <v>Mide el Porcentaje de personas con discapacidad intelectual o mental institucionalizados que recibieron apoyo de vivienda temporal para la garantía de sus derechos en 2023</v>
      </c>
      <c r="G10" s="76" t="str">
        <f ca="1">IFERROR(__xludf.DUMMYFUNCTION("""COMPUTED_VALUE"""),"Gestión")</f>
        <v>Gestión</v>
      </c>
      <c r="H10" s="76" t="str">
        <f ca="1">IFERROR(__xludf.DUMMYFUNCTION("""COMPUTED_VALUE"""),"Eficacia")</f>
        <v>Eficacia</v>
      </c>
      <c r="I10" s="76" t="str">
        <f ca="1">IFERROR(__xludf.DUMMYFUNCTION("""COMPUTED_VALUE"""),"Porcentaje")</f>
        <v>Porcentaje</v>
      </c>
      <c r="J10" s="76" t="str">
        <f ca="1">IFERROR(__xludf.DUMMYFUNCTION("""COMPUTED_VALUE"""),"No disponible")</f>
        <v>No disponible</v>
      </c>
      <c r="K10" s="76">
        <f ca="1">IFERROR(__xludf.DUMMYFUNCTION("""COMPUTED_VALUE"""),15)</f>
        <v>15</v>
      </c>
      <c r="L10" s="76" t="str">
        <f ca="1">IFERROR(__xludf.DUMMYFUNCTION("""COMPUTED_VALUE"""),"Padrón de beneficiarios")</f>
        <v>Padrón de beneficiarios</v>
      </c>
      <c r="M10" s="76" t="str">
        <f ca="1">IFERROR(__xludf.DUMMYFUNCTION("""COMPUTED_VALUE"""),"Exist eun balance entre el espacio disponible y la demanda a cubrir.")</f>
        <v>Exist eun balance entre el espacio disponible y la demanda a cubrir.</v>
      </c>
      <c r="N10" s="75"/>
      <c r="O10" s="75"/>
      <c r="P10" s="75"/>
      <c r="Q10" s="75"/>
      <c r="R10" s="75"/>
      <c r="S10" s="75"/>
      <c r="T10" s="75"/>
      <c r="U10" s="75"/>
      <c r="V10" s="75"/>
      <c r="W10" s="75"/>
      <c r="X10" s="75"/>
      <c r="Y10" s="75"/>
      <c r="Z10" s="75"/>
    </row>
    <row r="11" spans="1:26" ht="85.5" customHeight="1">
      <c r="A11" s="75"/>
      <c r="B11" s="76" t="str">
        <f ca="1">IFERROR(__xludf.DUMMYFUNCTION("""COMPUTED_VALUE"""),"ACTIVIDAD 3.3")</f>
        <v>ACTIVIDAD 3.3</v>
      </c>
      <c r="C11" s="76" t="str">
        <f ca="1">IFERROR(__xludf.DUMMYFUNCTION("""COMPUTED_VALUE"""),"Impartición de talleres de sensibilización a instituciones y centros laborales del sector público y privado, instituciones escolares y público en general de promoción de la cultura de inclusión durante el 2023.")</f>
        <v>Impartición de talleres de sensibilización a instituciones y centros laborales del sector público y privado, instituciones escolares y público en general de promoción de la cultura de inclusión durante el 2023.</v>
      </c>
      <c r="D11" s="76" t="str">
        <f ca="1">IFERROR(__xludf.DUMMYFUNCTION("""COMPUTED_VALUE"""),"Porcentaje de talleres brindados durante el 2023")</f>
        <v>Porcentaje de talleres brindados durante el 2023</v>
      </c>
      <c r="E11" s="76" t="str">
        <f ca="1">IFERROR(__xludf.DUMMYFUNCTION("""COMPUTED_VALUE"""),"(Número de talleres impartidos durante el 2023/Número de talleres establecidos como meta para el 2023)*100")</f>
        <v>(Número de talleres impartidos durante el 2023/Número de talleres establecidos como meta para el 2023)*100</v>
      </c>
      <c r="F11" s="76" t="str">
        <f ca="1">IFERROR(__xludf.DUMMYFUNCTION("""COMPUTED_VALUE"""),"Mide el Porcentaje de talleres brindados durante el 2023")</f>
        <v>Mide el Porcentaje de talleres brindados durante el 2023</v>
      </c>
      <c r="G11" s="76" t="str">
        <f ca="1">IFERROR(__xludf.DUMMYFUNCTION("""COMPUTED_VALUE"""),"Gestión")</f>
        <v>Gestión</v>
      </c>
      <c r="H11" s="76" t="str">
        <f ca="1">IFERROR(__xludf.DUMMYFUNCTION("""COMPUTED_VALUE"""),"Eficacia")</f>
        <v>Eficacia</v>
      </c>
      <c r="I11" s="76" t="str">
        <f ca="1">IFERROR(__xludf.DUMMYFUNCTION("""COMPUTED_VALUE"""),"Porcentaje")</f>
        <v>Porcentaje</v>
      </c>
      <c r="J11" s="76" t="str">
        <f ca="1">IFERROR(__xludf.DUMMYFUNCTION("""COMPUTED_VALUE"""),"No disponible")</f>
        <v>No disponible</v>
      </c>
      <c r="K11" s="76">
        <f ca="1">IFERROR(__xludf.DUMMYFUNCTION("""COMPUTED_VALUE"""),25)</f>
        <v>25</v>
      </c>
      <c r="L11" s="76" t="str">
        <f ca="1">IFERROR(__xludf.DUMMYFUNCTION("""COMPUTED_VALUE"""),"Listas de asistencia y evidencia fotográfica")</f>
        <v>Listas de asistencia y evidencia fotográfica</v>
      </c>
      <c r="M11" s="76" t="str">
        <f ca="1">IFERROR(__xludf.DUMMYFUNCTION("""COMPUTED_VALUE"""),"Existe una disposición por parte de las instituciones y centros laborales del sector público y privado, instituciones escolares y público en general para participar en los talleres de sensibilización y promoción de la cultura de inclusión.")</f>
        <v>Existe una disposición por parte de las instituciones y centros laborales del sector público y privado, instituciones escolares y público en general para participar en los talleres de sensibilización y promoción de la cultura de inclusión.</v>
      </c>
      <c r="N11" s="75"/>
      <c r="O11" s="75"/>
      <c r="P11" s="75"/>
      <c r="Q11" s="75"/>
      <c r="R11" s="75"/>
      <c r="S11" s="75"/>
      <c r="T11" s="75"/>
      <c r="U11" s="75"/>
      <c r="V11" s="75"/>
      <c r="W11" s="75"/>
      <c r="X11" s="75"/>
      <c r="Y11" s="75"/>
      <c r="Z11" s="75"/>
    </row>
    <row r="12" spans="1:26" ht="85.5" customHeight="1">
      <c r="A12" s="75"/>
      <c r="B12" s="76" t="str">
        <f ca="1">IFERROR(__xludf.DUMMYFUNCTION("""COMPUTED_VALUE"""),"COMPONENTE 4")</f>
        <v>COMPONENTE 4</v>
      </c>
      <c r="C12" s="76" t="str">
        <f ca="1">IFERROR(__xludf.DUMMYFUNCTION("""COMPUTED_VALUE"""),"Asistencias de personas adultas mayores a capacitaciones y talleres de envejecimiento activo en 2023")</f>
        <v>Asistencias de personas adultas mayores a capacitaciones y talleres de envejecimiento activo en 2023</v>
      </c>
      <c r="D12" s="76" t="str">
        <f ca="1">IFERROR(__xludf.DUMMYFUNCTION("""COMPUTED_VALUE"""),"Promedio de asistencias de personas adultas mayores a capacitación y taller de envejecimiento activo, durante el 2023")</f>
        <v>Promedio de asistencias de personas adultas mayores a capacitación y taller de envejecimiento activo, durante el 2023</v>
      </c>
      <c r="E12" s="76" t="str">
        <f ca="1">IFERROR(__xludf.DUMMYFUNCTION("""COMPUTED_VALUE"""),"Número de asistencias a una capacitación o taller durante el 2023/12")</f>
        <v>Número de asistencias a una capacitación o taller durante el 2023/12</v>
      </c>
      <c r="F12" s="76" t="str">
        <f ca="1">IFERROR(__xludf.DUMMYFUNCTION("""COMPUTED_VALUE"""),"Mide el promedio de asistencias de personas adultas mayores a capacitación y taller de envejecimiento activo durante el 2023")</f>
        <v>Mide el promedio de asistencias de personas adultas mayores a capacitación y taller de envejecimiento activo durante el 2023</v>
      </c>
      <c r="G12" s="76" t="str">
        <f ca="1">IFERROR(__xludf.DUMMYFUNCTION("""COMPUTED_VALUE"""),"Estratégico ")</f>
        <v xml:space="preserve">Estratégico </v>
      </c>
      <c r="H12" s="76" t="str">
        <f ca="1">IFERROR(__xludf.DUMMYFUNCTION("""COMPUTED_VALUE"""),"Eficacia")</f>
        <v>Eficacia</v>
      </c>
      <c r="I12" s="76" t="str">
        <f ca="1">IFERROR(__xludf.DUMMYFUNCTION("""COMPUTED_VALUE"""),"Promedio")</f>
        <v>Promedio</v>
      </c>
      <c r="J12" s="76" t="str">
        <f ca="1">IFERROR(__xludf.DUMMYFUNCTION("""COMPUTED_VALUE"""),"1853")</f>
        <v>1853</v>
      </c>
      <c r="K12" s="76">
        <f ca="1">IFERROR(__xludf.DUMMYFUNCTION("""COMPUTED_VALUE"""),6000)</f>
        <v>6000</v>
      </c>
      <c r="L12" s="76" t="str">
        <f ca="1">IFERROR(__xludf.DUMMYFUNCTION("""COMPUTED_VALUE"""),"Lista de asistencia")</f>
        <v>Lista de asistencia</v>
      </c>
      <c r="M12" s="76" t="str">
        <f ca="1">IFERROR(__xludf.DUMMYFUNCTION("""COMPUTED_VALUE"""),"Las personas adultas mayores tienen acceso y disponibilidad para asistir a las capacitaciones y talleres ofrecidos por el DIF, tales como transporte y cuidados necesarios para asistir a dichas actividades")</f>
        <v>Las personas adultas mayores tienen acceso y disponibilidad para asistir a las capacitaciones y talleres ofrecidos por el DIF, tales como transporte y cuidados necesarios para asistir a dichas actividades</v>
      </c>
      <c r="N12" s="75"/>
      <c r="O12" s="75"/>
      <c r="P12" s="75"/>
      <c r="Q12" s="75"/>
      <c r="R12" s="75"/>
      <c r="S12" s="75"/>
      <c r="T12" s="75"/>
      <c r="U12" s="75"/>
      <c r="V12" s="75"/>
      <c r="W12" s="75"/>
      <c r="X12" s="75"/>
      <c r="Y12" s="75"/>
      <c r="Z12" s="75"/>
    </row>
    <row r="13" spans="1:26" ht="85.5" customHeight="1">
      <c r="A13" s="75"/>
      <c r="B13" s="76" t="str">
        <f ca="1">IFERROR(__xludf.DUMMYFUNCTION("""COMPUTED_VALUE"""),"ACTIVIDAD 4.1")</f>
        <v>ACTIVIDAD 4.1</v>
      </c>
      <c r="C13" s="76" t="str">
        <f ca="1">IFERROR(__xludf.DUMMYFUNCTION("""COMPUTED_VALUE"""),"Encuentros intergeneracionales realizados en el Programa DIPAM en 2023")</f>
        <v>Encuentros intergeneracionales realizados en el Programa DIPAM en 2023</v>
      </c>
      <c r="D13" s="76" t="str">
        <f ca="1">IFERROR(__xludf.DUMMYFUNCTION("""COMPUTED_VALUE"""),"Porcentaje de encuentros intergeneracionales llevados a cabo en 2023")</f>
        <v>Porcentaje de encuentros intergeneracionales llevados a cabo en 2023</v>
      </c>
      <c r="E13" s="76" t="str">
        <f ca="1">IFERROR(__xludf.DUMMYFUNCTION("""COMPUTED_VALUE"""),"(Número de encuentros intergeneracionales llevados a cabo en 2023/ número de encuentros intergeneracionales programados para el 2023)*100")</f>
        <v>(Número de encuentros intergeneracionales llevados a cabo en 2023/ número de encuentros intergeneracionales programados para el 2023)*100</v>
      </c>
      <c r="F13" s="76" t="str">
        <f ca="1">IFERROR(__xludf.DUMMYFUNCTION("""COMPUTED_VALUE"""),"Mide el porcentaje de encuentros intergeneracionales llevados a cabo en 2023")</f>
        <v>Mide el porcentaje de encuentros intergeneracionales llevados a cabo en 2023</v>
      </c>
      <c r="G13" s="76" t="str">
        <f ca="1">IFERROR(__xludf.DUMMYFUNCTION("""COMPUTED_VALUE"""),"Gestión")</f>
        <v>Gestión</v>
      </c>
      <c r="H13" s="76" t="str">
        <f ca="1">IFERROR(__xludf.DUMMYFUNCTION("""COMPUTED_VALUE"""),"Eficacia")</f>
        <v>Eficacia</v>
      </c>
      <c r="I13" s="76" t="str">
        <f ca="1">IFERROR(__xludf.DUMMYFUNCTION("""COMPUTED_VALUE"""),"Porcentaje")</f>
        <v>Porcentaje</v>
      </c>
      <c r="J13" s="76" t="str">
        <f ca="1">IFERROR(__xludf.DUMMYFUNCTION("""COMPUTED_VALUE"""),"22")</f>
        <v>22</v>
      </c>
      <c r="K13" s="76">
        <f ca="1">IFERROR(__xludf.DUMMYFUNCTION("""COMPUTED_VALUE"""),22)</f>
        <v>22</v>
      </c>
      <c r="L13" s="76" t="str">
        <f ca="1">IFERROR(__xludf.DUMMYFUNCTION("""COMPUTED_VALUE"""),"Lista de asistencia")</f>
        <v>Lista de asistencia</v>
      </c>
      <c r="M13" s="76" t="str">
        <f ca="1">IFERROR(__xludf.DUMMYFUNCTION("""COMPUTED_VALUE"""),"Existe una participación activa y dispuesta por parte de los adultos mayores para asistir a los encuentros intergeneracionales, y cuentan con los recursos materiales y humanos necesarios para llevar a cabo los mismos.")</f>
        <v>Existe una participación activa y dispuesta por parte de los adultos mayores para asistir a los encuentros intergeneracionales, y cuentan con los recursos materiales y humanos necesarios para llevar a cabo los mismos.</v>
      </c>
      <c r="N13" s="75"/>
      <c r="O13" s="75"/>
      <c r="P13" s="75"/>
      <c r="Q13" s="75"/>
      <c r="R13" s="75"/>
      <c r="S13" s="75"/>
      <c r="T13" s="75"/>
      <c r="U13" s="75"/>
      <c r="V13" s="75"/>
      <c r="W13" s="75"/>
      <c r="X13" s="75"/>
      <c r="Y13" s="75"/>
      <c r="Z13" s="75"/>
    </row>
    <row r="14" spans="1:26" ht="85.5" customHeight="1">
      <c r="A14" s="75"/>
      <c r="B14" s="76" t="str">
        <f ca="1">IFERROR(__xludf.DUMMYFUNCTION("""COMPUTED_VALUE"""),"ACTIVIDAD 4.2")</f>
        <v>ACTIVIDAD 4.2</v>
      </c>
      <c r="C14" s="76" t="str">
        <f ca="1">IFERROR(__xludf.DUMMYFUNCTION("""COMPUTED_VALUE"""),"Raciones alimenticias entregadas en el comedor de DIPAM en 2023")</f>
        <v>Raciones alimenticias entregadas en el comedor de DIPAM en 2023</v>
      </c>
      <c r="D14" s="76" t="str">
        <f ca="1">IFERROR(__xludf.DUMMYFUNCTION("""COMPUTED_VALUE"""),"Porcentaje de cumplimiento en la entrega de raciones alimenticias entregadas en el comedor de DIPAM en 2023")</f>
        <v>Porcentaje de cumplimiento en la entrega de raciones alimenticias entregadas en el comedor de DIPAM en 2023</v>
      </c>
      <c r="E14" s="76" t="str">
        <f ca="1">IFERROR(__xludf.DUMMYFUNCTION("""COMPUTED_VALUE"""),"(Número de raciones alimentarias entregadas en DIPAM en 2023/ número de raciones alimentarias programadas como meta para el 2023)*100")</f>
        <v>(Número de raciones alimentarias entregadas en DIPAM en 2023/ número de raciones alimentarias programadas como meta para el 2023)*100</v>
      </c>
      <c r="F14" s="76" t="str">
        <f ca="1">IFERROR(__xludf.DUMMYFUNCTION("""COMPUTED_VALUE"""),"Mide el porcentaje de cumplimiento en la entrega de raciones alimenticias en el comedor de DIPAM, durante el 2023")</f>
        <v>Mide el porcentaje de cumplimiento en la entrega de raciones alimenticias en el comedor de DIPAM, durante el 2023</v>
      </c>
      <c r="G14" s="76" t="str">
        <f ca="1">IFERROR(__xludf.DUMMYFUNCTION("""COMPUTED_VALUE"""),"Gestión")</f>
        <v>Gestión</v>
      </c>
      <c r="H14" s="76" t="str">
        <f ca="1">IFERROR(__xludf.DUMMYFUNCTION("""COMPUTED_VALUE"""),"Eficacia")</f>
        <v>Eficacia</v>
      </c>
      <c r="I14" s="76" t="str">
        <f ca="1">IFERROR(__xludf.DUMMYFUNCTION("""COMPUTED_VALUE"""),"Porcentaje")</f>
        <v>Porcentaje</v>
      </c>
      <c r="J14" s="76" t="str">
        <f ca="1">IFERROR(__xludf.DUMMYFUNCTION("""COMPUTED_VALUE"""),"No disponible")</f>
        <v>No disponible</v>
      </c>
      <c r="K14" s="76">
        <f ca="1">IFERROR(__xludf.DUMMYFUNCTION("""COMPUTED_VALUE"""),22000)</f>
        <v>22000</v>
      </c>
      <c r="L14" s="76" t="str">
        <f ca="1">IFERROR(__xludf.DUMMYFUNCTION("""COMPUTED_VALUE"""),"Listas de asistencia")</f>
        <v>Listas de asistencia</v>
      </c>
      <c r="M14" s="76" t="str">
        <f ca="1">IFERROR(__xludf.DUMMYFUNCTION("""COMPUTED_VALUE""")," La oferta de alimentos en el mercado local es suficiente y nutritiva para cubrir la demanda de alimentos del programa de asistencia social.")</f>
        <v xml:space="preserve"> La oferta de alimentos en el mercado local es suficiente y nutritiva para cubrir la demanda de alimentos del programa de asistencia social.</v>
      </c>
      <c r="N14" s="75"/>
      <c r="O14" s="75"/>
      <c r="P14" s="75"/>
      <c r="Q14" s="75"/>
      <c r="R14" s="75"/>
      <c r="S14" s="75"/>
      <c r="T14" s="75"/>
      <c r="U14" s="75"/>
      <c r="V14" s="75"/>
      <c r="W14" s="75"/>
      <c r="X14" s="75"/>
      <c r="Y14" s="75"/>
      <c r="Z14" s="75"/>
    </row>
    <row r="15" spans="1:26" ht="85.5" customHeight="1">
      <c r="A15" s="75"/>
      <c r="B15" s="76" t="str">
        <f ca="1">IFERROR(__xludf.DUMMYFUNCTION("""COMPUTED_VALUE"""),"COMPONENTE 5")</f>
        <v>COMPONENTE 5</v>
      </c>
      <c r="C15" s="76" t="str">
        <f ca="1">IFERROR(__xludf.DUMMYFUNCTION("""COMPUTED_VALUE"""),"C5.  Servicios de terapia física, atención psicológica y consulta médica de rehabilitación y de traumatología y ortopedia brindados en el CAIPED en 2023")</f>
        <v>C5.  Servicios de terapia física, atención psicológica y consulta médica de rehabilitación y de traumatología y ortopedia brindados en el CAIPED en 2023</v>
      </c>
      <c r="D15" s="76" t="str">
        <f ca="1">IFERROR(__xludf.DUMMYFUNCTION("""COMPUTED_VALUE"""),"Porcentaje de personas con discapacidad temporal o permanente y población en general atendidos en servicios de terapia física y de lenguaje, consulta médica en rehabilitación, consulta de podología, consulta en traumatología/ortopedia, y psicología en 202"&amp;"3")</f>
        <v>Porcentaje de personas con discapacidad temporal o permanente y población en general atendidos en servicios de terapia física y de lenguaje, consulta médica en rehabilitación, consulta de podología, consulta en traumatología/ortopedia, y psicología en 2023</v>
      </c>
      <c r="E15" s="76" t="str">
        <f ca="1">IFERROR(__xludf.DUMMYFUNCTION("""COMPUTED_VALUE"""),"(Número de personas atendidas en el Centro CAIPED durante el 2023/ número de personas programadas para el 2023)*100")</f>
        <v>(Número de personas atendidas en el Centro CAIPED durante el 2023/ número de personas programadas para el 2023)*100</v>
      </c>
      <c r="F15" s="76" t="str">
        <f ca="1">IFERROR(__xludf.DUMMYFUNCTION("""COMPUTED_VALUE"""),"Mide el porcentaje de servicios brindados a las personas con discapacidad temporal o permanente y población en general atendidos en servicios de terapia física y de lenguaje, consulta médica en rehabilitación, consulta de podología, consulta en traumatolo"&amp;"gía/ortopedia, y psicología en 2023")</f>
        <v>Mide el porcentaje de servicios brindados a las personas con discapacidad temporal o permanente y población en general atendidos en servicios de terapia física y de lenguaje, consulta médica en rehabilitación, consulta de podología, consulta en traumatología/ortopedia, y psicología en 2023</v>
      </c>
      <c r="G15" s="76" t="str">
        <f ca="1">IFERROR(__xludf.DUMMYFUNCTION("""COMPUTED_VALUE"""),"Estratégico ")</f>
        <v xml:space="preserve">Estratégico </v>
      </c>
      <c r="H15" s="76" t="str">
        <f ca="1">IFERROR(__xludf.DUMMYFUNCTION("""COMPUTED_VALUE"""),"Eficacia")</f>
        <v>Eficacia</v>
      </c>
      <c r="I15" s="76" t="str">
        <f ca="1">IFERROR(__xludf.DUMMYFUNCTION("""COMPUTED_VALUE"""),"Porcentaje")</f>
        <v>Porcentaje</v>
      </c>
      <c r="J15" s="76" t="str">
        <f ca="1">IFERROR(__xludf.DUMMYFUNCTION("""COMPUTED_VALUE"""),"No disponible")</f>
        <v>No disponible</v>
      </c>
      <c r="K15" s="76">
        <f ca="1">IFERROR(__xludf.DUMMYFUNCTION("""COMPUTED_VALUE"""),7920)</f>
        <v>7920</v>
      </c>
      <c r="L15" s="76" t="str">
        <f ca="1">IFERROR(__xludf.DUMMYFUNCTION("""COMPUTED_VALUE"""),"Padrón de beneficiarios o listas de asistencia")</f>
        <v>Padrón de beneficiarios o listas de asistencia</v>
      </c>
      <c r="M15" s="76" t="str">
        <f ca="1">IFERROR(__xludf.DUMMYFUNCTION("""COMPUTED_VALUE"""),"La población objetivo cuenta con acceso y disponibilidad para asistir a las instalaciones del CAIPED y recibir los servicios de terapia física, atención psicológica y consulta médica de rehabilitación y de traumatología y ortopedia.")</f>
        <v>La población objetivo cuenta con acceso y disponibilidad para asistir a las instalaciones del CAIPED y recibir los servicios de terapia física, atención psicológica y consulta médica de rehabilitación y de traumatología y ortopedia.</v>
      </c>
      <c r="N15" s="75"/>
      <c r="O15" s="75"/>
      <c r="P15" s="75"/>
      <c r="Q15" s="75"/>
      <c r="R15" s="75"/>
      <c r="S15" s="75"/>
      <c r="T15" s="75"/>
      <c r="U15" s="75"/>
      <c r="V15" s="75"/>
      <c r="W15" s="75"/>
      <c r="X15" s="75"/>
      <c r="Y15" s="75"/>
      <c r="Z15" s="75"/>
    </row>
    <row r="16" spans="1:26" ht="85.5" customHeight="1">
      <c r="A16" s="75"/>
      <c r="B16" s="76" t="str">
        <f ca="1">IFERROR(__xludf.DUMMYFUNCTION("""COMPUTED_VALUE"""),"ACTIVIDAD 5.1")</f>
        <v>ACTIVIDAD 5.1</v>
      </c>
      <c r="C16" s="76" t="str">
        <f ca="1">IFERROR(__xludf.DUMMYFUNCTION("""COMPUTED_VALUE"""),"Sesiones de terapia física brindadas en el Centro CAIPED en 2023")</f>
        <v>Sesiones de terapia física brindadas en el Centro CAIPED en 2023</v>
      </c>
      <c r="D16" s="76" t="str">
        <f ca="1">IFERROR(__xludf.DUMMYFUNCTION("""COMPUTED_VALUE"""),"Porcentaje de sesiones de terapia física a personas con discapacidad permanente o temporal y población en general en 2023")</f>
        <v>Porcentaje de sesiones de terapia física a personas con discapacidad permanente o temporal y población en general en 2023</v>
      </c>
      <c r="E16" s="76" t="str">
        <f ca="1">IFERROR(__xludf.DUMMYFUNCTION("""COMPUTED_VALUE"""),"(Número de sesiones de terapia física brindadas en el centro CAIPED en 2023/ número de sesiones programadas para el  2023)*100")</f>
        <v>(Número de sesiones de terapia física brindadas en el centro CAIPED en 2023/ número de sesiones programadas para el  2023)*100</v>
      </c>
      <c r="F16" s="76" t="str">
        <f ca="1">IFERROR(__xludf.DUMMYFUNCTION("""COMPUTED_VALUE"""),"Mide el porcentaje de sesiones de terapia física a personas con discapacidad permanente o temporal y población en general en 2023")</f>
        <v>Mide el porcentaje de sesiones de terapia física a personas con discapacidad permanente o temporal y población en general en 2023</v>
      </c>
      <c r="G16" s="76" t="str">
        <f ca="1">IFERROR(__xludf.DUMMYFUNCTION("""COMPUTED_VALUE"""),"Gestión")</f>
        <v>Gestión</v>
      </c>
      <c r="H16" s="76" t="str">
        <f ca="1">IFERROR(__xludf.DUMMYFUNCTION("""COMPUTED_VALUE"""),"Eficacia")</f>
        <v>Eficacia</v>
      </c>
      <c r="I16" s="76" t="str">
        <f ca="1">IFERROR(__xludf.DUMMYFUNCTION("""COMPUTED_VALUE"""),"Porcentaje")</f>
        <v>Porcentaje</v>
      </c>
      <c r="J16" s="76" t="str">
        <f ca="1">IFERROR(__xludf.DUMMYFUNCTION("""COMPUTED_VALUE"""),"No disponible")</f>
        <v>No disponible</v>
      </c>
      <c r="K16" s="76">
        <f ca="1">IFERROR(__xludf.DUMMYFUNCTION("""COMPUTED_VALUE"""),7250)</f>
        <v>7250</v>
      </c>
      <c r="L16" s="76" t="str">
        <f ca="1">IFERROR(__xludf.DUMMYFUNCTION("""COMPUTED_VALUE"""),"Padrón de beneficiarios o listas de asistencia")</f>
        <v>Padrón de beneficiarios o listas de asistencia</v>
      </c>
      <c r="M16" s="76" t="str">
        <f ca="1">IFERROR(__xludf.DUMMYFUNCTION("""COMPUTED_VALUE"""),"Los pacientes que requieren servicios de terapia física en el CAIPED tienen acceso y disponibilidad para asistir regularmente a las sesiones programadas.")</f>
        <v>Los pacientes que requieren servicios de terapia física en el CAIPED tienen acceso y disponibilidad para asistir regularmente a las sesiones programadas.</v>
      </c>
      <c r="N16" s="75"/>
      <c r="O16" s="75"/>
      <c r="P16" s="75"/>
      <c r="Q16" s="75"/>
      <c r="R16" s="75"/>
      <c r="S16" s="75"/>
      <c r="T16" s="75"/>
      <c r="U16" s="75"/>
      <c r="V16" s="75"/>
      <c r="W16" s="75"/>
      <c r="X16" s="75"/>
      <c r="Y16" s="75"/>
      <c r="Z16" s="75"/>
    </row>
    <row r="17" spans="1:26" ht="85.5" customHeight="1">
      <c r="A17" s="75"/>
      <c r="B17" s="76" t="str">
        <f ca="1">IFERROR(__xludf.DUMMYFUNCTION("""COMPUTED_VALUE"""),"ACTIVIDAD 5.2")</f>
        <v>ACTIVIDAD 5.2</v>
      </c>
      <c r="C17" s="76" t="str">
        <f ca="1">IFERROR(__xludf.DUMMYFUNCTION("""COMPUTED_VALUE"""),"Sesiones de consulta médica brindadas en el Centro CAIPED en 2023")</f>
        <v>Sesiones de consulta médica brindadas en el Centro CAIPED en 2023</v>
      </c>
      <c r="D17" s="76" t="str">
        <f ca="1">IFERROR(__xludf.DUMMYFUNCTION("""COMPUTED_VALUE"""),"Porcentaje de sesiones de consulta médica en rehabilitación y traumatología/ortopedia a personas con discapacidad permanente o temporal y población en general en 2023")</f>
        <v>Porcentaje de sesiones de consulta médica en rehabilitación y traumatología/ortopedia a personas con discapacidad permanente o temporal y población en general en 2023</v>
      </c>
      <c r="E17" s="76" t="str">
        <f ca="1">IFERROR(__xludf.DUMMYFUNCTION("""COMPUTED_VALUE"""),"(Número de sesiones de consulta médica en rehabilitación y traumatología-ortopedia brindadas en el centro CAIPED, en el 2023/ número de sesiones programadas para el 2023)*100")</f>
        <v>(Número de sesiones de consulta médica en rehabilitación y traumatología-ortopedia brindadas en el centro CAIPED, en el 2023/ número de sesiones programadas para el 2023)*100</v>
      </c>
      <c r="F17" s="76" t="str">
        <f ca="1">IFERROR(__xludf.DUMMYFUNCTION("""COMPUTED_VALUE"""),"Mide el porcentaje de sesiones de consulta médica en rehabilitación y traumatología/ortopedia a personas con discapacidad permanente o temporal y población en general en 2023")</f>
        <v>Mide el porcentaje de sesiones de consulta médica en rehabilitación y traumatología/ortopedia a personas con discapacidad permanente o temporal y población en general en 2023</v>
      </c>
      <c r="G17" s="76" t="str">
        <f ca="1">IFERROR(__xludf.DUMMYFUNCTION("""COMPUTED_VALUE"""),"Gestión")</f>
        <v>Gestión</v>
      </c>
      <c r="H17" s="76" t="str">
        <f ca="1">IFERROR(__xludf.DUMMYFUNCTION("""COMPUTED_VALUE"""),"Eficacia")</f>
        <v>Eficacia</v>
      </c>
      <c r="I17" s="76" t="str">
        <f ca="1">IFERROR(__xludf.DUMMYFUNCTION("""COMPUTED_VALUE"""),"Porcentaje")</f>
        <v>Porcentaje</v>
      </c>
      <c r="J17" s="76" t="str">
        <f ca="1">IFERROR(__xludf.DUMMYFUNCTION("""COMPUTED_VALUE"""),"No disponible")</f>
        <v>No disponible</v>
      </c>
      <c r="K17" s="76">
        <f ca="1">IFERROR(__xludf.DUMMYFUNCTION("""COMPUTED_VALUE"""),670)</f>
        <v>670</v>
      </c>
      <c r="L17" s="76" t="str">
        <f ca="1">IFERROR(__xludf.DUMMYFUNCTION("""COMPUTED_VALUE"""),"Padrón de beneficiarios o listas de asistencia")</f>
        <v>Padrón de beneficiarios o listas de asistencia</v>
      </c>
      <c r="M17" s="76" t="str">
        <f ca="1">IFERROR(__xludf.DUMMYFUNCTION("""COMPUTED_VALUE"""),"La población objetivo cuenta con acceso a los servicios de salud y transporte público para acudir al centro CAIPED")</f>
        <v>La población objetivo cuenta con acceso a los servicios de salud y transporte público para acudir al centro CAIPED</v>
      </c>
      <c r="N17" s="75"/>
      <c r="O17" s="75"/>
      <c r="P17" s="75"/>
      <c r="Q17" s="75"/>
      <c r="R17" s="75"/>
      <c r="S17" s="75"/>
      <c r="T17" s="75"/>
      <c r="U17" s="75"/>
      <c r="V17" s="75"/>
      <c r="W17" s="75"/>
      <c r="X17" s="75"/>
      <c r="Y17" s="75"/>
      <c r="Z17" s="75"/>
    </row>
    <row r="18" spans="1:26" ht="85.5" customHeight="1">
      <c r="A18" s="75"/>
      <c r="B18" s="76"/>
      <c r="C18" s="76"/>
      <c r="D18" s="76"/>
      <c r="E18" s="76"/>
      <c r="F18" s="76"/>
      <c r="G18" s="76"/>
      <c r="H18" s="76"/>
      <c r="I18" s="76"/>
      <c r="J18" s="76"/>
      <c r="K18" s="76"/>
      <c r="L18" s="76"/>
      <c r="M18" s="76"/>
      <c r="N18" s="75"/>
      <c r="O18" s="75"/>
      <c r="P18" s="75"/>
      <c r="Q18" s="75"/>
      <c r="R18" s="75"/>
      <c r="S18" s="75"/>
      <c r="T18" s="75"/>
      <c r="U18" s="75"/>
      <c r="V18" s="75"/>
      <c r="W18" s="75"/>
      <c r="X18" s="75"/>
      <c r="Y18" s="75"/>
      <c r="Z18" s="75"/>
    </row>
    <row r="19" spans="1:26" ht="85.5" customHeight="1">
      <c r="A19" s="75"/>
      <c r="B19" s="76"/>
      <c r="C19" s="76"/>
      <c r="D19" s="76"/>
      <c r="E19" s="76"/>
      <c r="F19" s="76"/>
      <c r="G19" s="76"/>
      <c r="H19" s="76"/>
      <c r="I19" s="76"/>
      <c r="J19" s="76"/>
      <c r="K19" s="76"/>
      <c r="L19" s="76"/>
      <c r="M19" s="76"/>
      <c r="N19" s="75"/>
      <c r="O19" s="75"/>
      <c r="P19" s="75"/>
      <c r="Q19" s="75"/>
      <c r="R19" s="75"/>
      <c r="S19" s="75"/>
      <c r="T19" s="75"/>
      <c r="U19" s="75"/>
      <c r="V19" s="75"/>
      <c r="W19" s="75"/>
      <c r="X19" s="75"/>
      <c r="Y19" s="75"/>
      <c r="Z19" s="75"/>
    </row>
    <row r="20" spans="1:26" ht="85.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85.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85.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85.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85.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85.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85.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85.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85.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85.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85.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85.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85.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85.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85.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85.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85.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85.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85.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85.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85.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85.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85.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85.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85.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85.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85.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85.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85.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85.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85.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85.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85.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85.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85.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85.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85.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85.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85.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85.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85.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85.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85.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85.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85.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85.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85.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85.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85.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85.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85.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85.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85.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85.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85.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85.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85.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85.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85.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85.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85.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85.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85.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85.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85.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85.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85.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85.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85.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85.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85.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85.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85.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85.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85.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85.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85.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85.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85.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85.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85.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85.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85.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85.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85.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85.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85.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85.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85.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85.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85.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85.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85.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85.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85.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85.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85.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85.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85.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85.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85.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85.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85.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85.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85.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85.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85.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85.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85.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85.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85.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85.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85.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85.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85.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85.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85.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85.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85.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85.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85.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85.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85.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85.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85.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85.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85.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85.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85.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85.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85.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85.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85.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85.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85.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85.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85.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85.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85.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85.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85.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85.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85.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85.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85.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85.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85.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85.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85.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85.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85.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85.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85.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85.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85.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85.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85.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85.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85.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85.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85.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85.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85.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85.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85.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85.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85.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85.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85.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85.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85.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85.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85.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85.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85.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85.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85.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85.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85.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85.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85.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85.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85.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85.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85.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85.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85.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85.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85.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85.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85.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85.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85.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85.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85.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85.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85.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85.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85.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85.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85.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85.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85.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85.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85.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85.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85.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85.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85.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85.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85.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85.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85.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85.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85.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85.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85.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85.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85.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85.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85.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85.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85.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85.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85.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85.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85.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85.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85.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85.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85.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85.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85.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85.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85.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85.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85.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85.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85.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85.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85.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85.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85.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85.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85.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85.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85.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85.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85.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85.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85.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85.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85.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85.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85.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85.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85.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85.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85.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85.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85.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85.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85.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85.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85.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85.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85.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85.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85.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85.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85.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85.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85.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85.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85.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85.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85.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85.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85.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85.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85.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85.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85.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85.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85.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85.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85.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85.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85.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85.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85.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85.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85.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85.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85.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85.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85.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85.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85.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85.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85.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85.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85.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85.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85.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85.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85.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85.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85.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85.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85.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85.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85.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85.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85.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85.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85.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85.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85.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85.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85.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85.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85.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85.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85.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85.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85.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85.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85.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85.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85.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85.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85.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85.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85.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85.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85.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85.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85.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85.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85.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85.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85.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85.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85.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85.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85.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85.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85.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85.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85.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85.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85.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85.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85.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85.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85.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85.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85.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85.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85.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85.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85.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85.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85.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85.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85.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85.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85.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85.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85.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85.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85.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85.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85.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85.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85.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85.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85.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85.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85.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85.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85.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85.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85.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85.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85.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85.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85.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85.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85.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85.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85.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85.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85.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85.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85.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85.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85.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85.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85.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85.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85.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85.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85.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85.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85.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85.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85.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85.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85.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85.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85.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85.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85.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85.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85.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85.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85.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85.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85.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85.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85.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85.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85.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85.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85.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85.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85.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85.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85.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85.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85.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85.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85.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85.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85.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85.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85.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85.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85.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85.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85.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85.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85.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85.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85.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85.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85.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85.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85.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85.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85.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85.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85.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85.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85.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85.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85.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85.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85.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85.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85.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85.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85.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85.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85.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85.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85.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85.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85.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85.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85.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85.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85.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85.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85.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85.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85.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85.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85.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85.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85.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85.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85.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85.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85.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85.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85.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85.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85.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85.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85.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85.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85.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85.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85.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85.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85.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85.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85.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85.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85.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85.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85.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85.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85.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85.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85.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85.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85.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85.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85.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85.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85.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85.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85.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85.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85.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85.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85.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85.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85.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85.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85.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85.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85.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85.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85.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85.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85.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85.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85.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85.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85.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85.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85.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85.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85.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85.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85.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85.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85.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85.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85.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85.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85.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85.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85.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85.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85.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85.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85.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85.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85.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85.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85.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85.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85.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85.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85.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85.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85.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85.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85.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85.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85.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85.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85.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85.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85.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85.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85.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85.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85.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85.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85.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85.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85.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85.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85.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85.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85.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85.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85.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85.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85.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85.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85.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85.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85.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85.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85.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85.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85.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85.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85.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85.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85.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85.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85.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85.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85.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85.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85.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85.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85.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85.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85.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85.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85.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85.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85.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85.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85.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85.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85.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85.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85.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85.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85.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85.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85.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85.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85.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85.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85.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85.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85.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85.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85.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85.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85.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85.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85.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85.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85.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85.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85.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85.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85.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85.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85.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85.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85.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85.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85.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85.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85.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85.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85.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85.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85.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85.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85.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85.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85.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85.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85.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85.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85.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85.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85.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85.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85.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85.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85.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85.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85.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85.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85.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85.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85.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85.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85.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85.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85.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85.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85.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85.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85.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85.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85.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85.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85.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85.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85.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85.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85.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85.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85.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85.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85.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85.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85.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85.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85.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85.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85.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85.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85.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85.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85.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85.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85.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85.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85.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85.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85.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85.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85.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85.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85.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85.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85.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85.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85.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85.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85.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85.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85.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85.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85.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85.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85.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85.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85.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85.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85.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85.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85.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85.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85.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85.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85.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85.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85.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85.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85.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85.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85.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85.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85.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85.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85.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85.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85.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85.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85.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85.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85.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85.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85.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85.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85.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85.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85.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85.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85.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85.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85.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85.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85.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85.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85.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85.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85.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85.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85.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85.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85.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85.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85.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85.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85.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85.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85.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85.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85.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85.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85.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85.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85.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85.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85.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85.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85.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85.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85.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85.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85.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85.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85.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85.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85.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85.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85.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85.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85.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85.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85.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85.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85.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85.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85.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85.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85.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85.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85.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85.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85.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85.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85.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85.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85.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85.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85.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85.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85.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85.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85.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85.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85.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85.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85.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85.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85.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85.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85.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85.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85.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85.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85.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85.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85.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85.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85.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85.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85.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85.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85.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85.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85.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85.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85.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85.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85.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85.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85.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85.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85.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85.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85.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85.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85.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85.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85.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85.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85.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85.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85.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85.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85.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85.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85.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85.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85.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85.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85.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85.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85.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85.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85.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85.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85.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85.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85.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85.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85.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85.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85.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85.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85.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85.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85.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85.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85.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85.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85.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85.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85.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85.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85.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85.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85.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85.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85.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85.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85.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85.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85.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85.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85.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85.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85.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85.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85.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85.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85.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85.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85.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85.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85.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85.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85.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85.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85.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85.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85.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85.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85.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85.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85.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85.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85.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85.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85.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85.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85.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85.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85.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85.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85.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85.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85.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85.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85.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85.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85.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85.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85.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85.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85.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85.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85.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85.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85.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85.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85.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85.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85.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85.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85.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85.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85.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85.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85.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85.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85.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85.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85.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85.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85.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85.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85.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85.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85.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85.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85.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85.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85.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85.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85.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85.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85.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85.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85.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85.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85.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85.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85.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2" max="2" width="38.7109375" customWidth="1"/>
  </cols>
  <sheetData>
    <row r="1" spans="1:26">
      <c r="A1" s="75" t="str">
        <f ca="1">IFERROR(__xludf.DUMMYFUNCTION("QUERY(MIR!A32:R49,""SELECT A,C,D,M,AE,O,AF WHERE A='FIN' OR A='FIN/PROPÓSITO'"",1)"),"#VALUE!")</f>
        <v>#VALUE!</v>
      </c>
      <c r="B1" s="75"/>
      <c r="C1" s="75"/>
      <c r="D1" s="75"/>
      <c r="E1" s="75"/>
      <c r="F1" s="75"/>
      <c r="G1" s="75"/>
      <c r="H1" s="75"/>
      <c r="I1" s="75"/>
      <c r="J1" s="75">
        <f>SUM(I2:I5)</f>
        <v>0</v>
      </c>
      <c r="K1" s="75"/>
      <c r="L1" s="75"/>
      <c r="M1" s="75"/>
      <c r="N1" s="75"/>
      <c r="O1" s="75"/>
      <c r="P1" s="75"/>
      <c r="Q1" s="75"/>
      <c r="R1" s="75"/>
      <c r="S1" s="75"/>
      <c r="T1" s="75"/>
      <c r="U1" s="75"/>
      <c r="V1" s="75"/>
      <c r="W1" s="75"/>
      <c r="X1" s="75"/>
      <c r="Y1" s="75"/>
      <c r="Z1" s="75"/>
    </row>
    <row r="2" spans="1:26">
      <c r="A2" s="75"/>
      <c r="B2" s="75"/>
      <c r="C2" s="75"/>
      <c r="D2" s="75"/>
      <c r="E2" s="75"/>
      <c r="F2" s="75"/>
      <c r="G2" s="75"/>
      <c r="H2" s="75"/>
      <c r="I2" s="75">
        <f t="shared" ref="I2:I5" si="0">E2/3</f>
        <v>0</v>
      </c>
      <c r="J2" s="75"/>
      <c r="K2" s="75"/>
      <c r="L2" s="75"/>
      <c r="M2" s="75"/>
      <c r="N2" s="75"/>
      <c r="O2" s="75"/>
      <c r="P2" s="75"/>
      <c r="Q2" s="75"/>
      <c r="R2" s="75"/>
      <c r="S2" s="75"/>
      <c r="T2" s="75"/>
      <c r="U2" s="75"/>
      <c r="V2" s="75"/>
      <c r="W2" s="75"/>
      <c r="X2" s="75"/>
      <c r="Y2" s="75"/>
      <c r="Z2" s="75"/>
    </row>
    <row r="3" spans="1:26">
      <c r="A3" s="75"/>
      <c r="B3" s="75"/>
      <c r="C3" s="75"/>
      <c r="D3" s="75"/>
      <c r="E3" s="75"/>
      <c r="F3" s="75"/>
      <c r="G3" s="75"/>
      <c r="H3" s="75"/>
      <c r="I3" s="75">
        <f t="shared" si="0"/>
        <v>0</v>
      </c>
      <c r="J3" s="75"/>
      <c r="K3" s="75"/>
      <c r="L3" s="75"/>
      <c r="M3" s="75"/>
      <c r="N3" s="75"/>
      <c r="O3" s="75"/>
      <c r="P3" s="75"/>
      <c r="Q3" s="75"/>
      <c r="R3" s="75"/>
      <c r="S3" s="75"/>
      <c r="T3" s="75"/>
      <c r="U3" s="75"/>
      <c r="V3" s="75"/>
      <c r="W3" s="75"/>
      <c r="X3" s="75"/>
      <c r="Y3" s="75"/>
      <c r="Z3" s="75"/>
    </row>
    <row r="4" spans="1:26">
      <c r="A4" s="75"/>
      <c r="B4" s="75"/>
      <c r="C4" s="75"/>
      <c r="D4" s="75"/>
      <c r="E4" s="75"/>
      <c r="F4" s="75"/>
      <c r="G4" s="75"/>
      <c r="H4" s="75"/>
      <c r="I4" s="75">
        <f t="shared" si="0"/>
        <v>0</v>
      </c>
      <c r="J4" s="75"/>
      <c r="K4" s="75"/>
      <c r="L4" s="75"/>
      <c r="M4" s="75"/>
      <c r="N4" s="75"/>
      <c r="O4" s="75"/>
      <c r="P4" s="75"/>
      <c r="Q4" s="75"/>
      <c r="R4" s="75"/>
      <c r="S4" s="75"/>
      <c r="T4" s="75"/>
      <c r="U4" s="75"/>
      <c r="V4" s="75"/>
      <c r="W4" s="75"/>
      <c r="X4" s="75"/>
      <c r="Y4" s="75"/>
      <c r="Z4" s="75"/>
    </row>
    <row r="5" spans="1:26">
      <c r="A5" s="75"/>
      <c r="B5" s="75"/>
      <c r="C5" s="75"/>
      <c r="D5" s="75"/>
      <c r="E5" s="75"/>
      <c r="F5" s="75"/>
      <c r="G5" s="75"/>
      <c r="H5" s="75"/>
      <c r="I5" s="75">
        <f t="shared" si="0"/>
        <v>0</v>
      </c>
      <c r="J5" s="75"/>
      <c r="K5" s="75"/>
      <c r="L5" s="75"/>
      <c r="M5" s="75"/>
      <c r="N5" s="75"/>
      <c r="O5" s="75"/>
      <c r="P5" s="75"/>
      <c r="Q5" s="75"/>
      <c r="R5" s="75"/>
      <c r="S5" s="75"/>
      <c r="T5" s="75"/>
      <c r="U5" s="75"/>
      <c r="V5" s="75"/>
      <c r="W5" s="75"/>
      <c r="X5" s="75"/>
      <c r="Y5" s="75"/>
      <c r="Z5" s="75"/>
    </row>
    <row r="6" spans="1:26">
      <c r="A6" s="75"/>
      <c r="B6" s="75"/>
      <c r="C6" s="75"/>
      <c r="D6" s="75"/>
      <c r="E6" s="75"/>
      <c r="F6" s="75"/>
      <c r="G6" s="75"/>
      <c r="H6" s="75"/>
      <c r="I6" s="75"/>
      <c r="J6" s="75"/>
      <c r="K6" s="75"/>
      <c r="L6" s="75"/>
      <c r="M6" s="75"/>
      <c r="N6" s="75"/>
      <c r="O6" s="75"/>
      <c r="P6" s="75"/>
      <c r="Q6" s="75"/>
      <c r="R6" s="75"/>
      <c r="S6" s="75"/>
      <c r="T6" s="75"/>
      <c r="U6" s="75"/>
      <c r="V6" s="75"/>
      <c r="W6" s="75"/>
      <c r="X6" s="75"/>
      <c r="Y6" s="75"/>
      <c r="Z6" s="75"/>
    </row>
    <row r="7" spans="1:26">
      <c r="A7" s="75"/>
      <c r="B7" s="75"/>
      <c r="C7" s="75"/>
      <c r="D7" s="75"/>
      <c r="E7" s="75"/>
      <c r="F7" s="75"/>
      <c r="G7" s="75"/>
      <c r="H7" s="75"/>
      <c r="I7" s="75"/>
      <c r="J7" s="75"/>
      <c r="K7" s="75"/>
      <c r="L7" s="75"/>
      <c r="M7" s="75"/>
      <c r="N7" s="75"/>
      <c r="O7" s="75"/>
      <c r="P7" s="75"/>
      <c r="Q7" s="75"/>
      <c r="R7" s="75"/>
      <c r="S7" s="75"/>
      <c r="T7" s="75"/>
      <c r="U7" s="75"/>
      <c r="V7" s="75"/>
      <c r="W7" s="75"/>
      <c r="X7" s="75"/>
      <c r="Y7" s="75"/>
      <c r="Z7" s="75"/>
    </row>
    <row r="8" spans="1:26">
      <c r="A8" s="75"/>
      <c r="B8" s="75"/>
      <c r="C8" s="75"/>
      <c r="D8" s="75"/>
      <c r="E8" s="75"/>
      <c r="F8" s="75"/>
      <c r="G8" s="75"/>
      <c r="H8" s="75"/>
      <c r="I8" s="75"/>
      <c r="J8" s="75"/>
      <c r="K8" s="75"/>
      <c r="L8" s="75"/>
      <c r="M8" s="75"/>
      <c r="N8" s="75"/>
      <c r="O8" s="75"/>
      <c r="P8" s="75"/>
      <c r="Q8" s="75"/>
      <c r="R8" s="75"/>
      <c r="S8" s="75"/>
      <c r="T8" s="75"/>
      <c r="U8" s="75"/>
      <c r="V8" s="75"/>
      <c r="W8" s="75"/>
      <c r="X8" s="75"/>
      <c r="Y8" s="75"/>
      <c r="Z8" s="75"/>
    </row>
    <row r="9" spans="1:26">
      <c r="A9" s="75"/>
      <c r="B9" s="75"/>
      <c r="C9" s="75"/>
      <c r="D9" s="75"/>
      <c r="E9" s="75"/>
      <c r="F9" s="75"/>
      <c r="G9" s="75"/>
      <c r="H9" s="75"/>
      <c r="I9" s="75"/>
      <c r="J9" s="75"/>
      <c r="K9" s="75"/>
      <c r="L9" s="75"/>
      <c r="M9" s="75"/>
      <c r="N9" s="75"/>
      <c r="O9" s="75"/>
      <c r="P9" s="75"/>
      <c r="Q9" s="75"/>
      <c r="R9" s="75"/>
      <c r="S9" s="75"/>
      <c r="T9" s="75"/>
      <c r="U9" s="75"/>
      <c r="V9" s="75"/>
      <c r="W9" s="75"/>
      <c r="X9" s="75"/>
      <c r="Y9" s="75"/>
      <c r="Z9" s="75"/>
    </row>
    <row r="10" spans="1:26">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2" max="2" width="38.7109375" customWidth="1"/>
  </cols>
  <sheetData>
    <row r="1" spans="1:26">
      <c r="A1" s="75" t="str">
        <f ca="1">IFERROR(__xludf.DUMMYFUNCTION("QUERY(MIR!A32:R49,""SELECT A,C,D,M,AE,O,AF WHERE A='PROPÓSITO' OR A='FIN/PROPÓSITO'"",1)"),"#VALUE!")</f>
        <v>#VALUE!</v>
      </c>
      <c r="B1" s="75"/>
      <c r="C1" s="75"/>
      <c r="D1" s="75"/>
      <c r="E1" s="75"/>
      <c r="F1" s="75"/>
      <c r="G1" s="75"/>
      <c r="H1" s="75"/>
      <c r="I1" s="75"/>
      <c r="J1" s="75">
        <f>SUM(I2:I5)</f>
        <v>0</v>
      </c>
      <c r="K1" s="75"/>
      <c r="L1" s="75"/>
      <c r="M1" s="75"/>
      <c r="N1" s="75"/>
      <c r="O1" s="75"/>
      <c r="P1" s="75"/>
      <c r="Q1" s="75"/>
      <c r="R1" s="75"/>
      <c r="S1" s="75"/>
      <c r="T1" s="75"/>
      <c r="U1" s="75"/>
      <c r="V1" s="75"/>
      <c r="W1" s="75"/>
      <c r="X1" s="75"/>
      <c r="Y1" s="75"/>
      <c r="Z1" s="75"/>
    </row>
    <row r="2" spans="1:26">
      <c r="A2" s="75"/>
      <c r="B2" s="75"/>
      <c r="C2" s="75"/>
      <c r="D2" s="75"/>
      <c r="E2" s="75"/>
      <c r="F2" s="75"/>
      <c r="G2" s="75"/>
      <c r="H2" s="75"/>
      <c r="I2" s="75">
        <f t="shared" ref="I2:I5" si="0">E2/3</f>
        <v>0</v>
      </c>
      <c r="J2" s="75"/>
      <c r="K2" s="75"/>
      <c r="L2" s="75"/>
      <c r="M2" s="75"/>
      <c r="N2" s="75"/>
      <c r="O2" s="75"/>
      <c r="P2" s="75"/>
      <c r="Q2" s="75"/>
      <c r="R2" s="75"/>
      <c r="S2" s="75"/>
      <c r="T2" s="75"/>
      <c r="U2" s="75"/>
      <c r="V2" s="75"/>
      <c r="W2" s="75"/>
      <c r="X2" s="75"/>
      <c r="Y2" s="75"/>
      <c r="Z2" s="75"/>
    </row>
    <row r="3" spans="1:26">
      <c r="A3" s="75"/>
      <c r="B3" s="75"/>
      <c r="C3" s="75"/>
      <c r="D3" s="75"/>
      <c r="E3" s="75"/>
      <c r="F3" s="75"/>
      <c r="G3" s="75"/>
      <c r="H3" s="75"/>
      <c r="I3" s="75">
        <f t="shared" si="0"/>
        <v>0</v>
      </c>
      <c r="J3" s="75"/>
      <c r="K3" s="75"/>
      <c r="L3" s="75"/>
      <c r="M3" s="75"/>
      <c r="N3" s="75"/>
      <c r="O3" s="75"/>
      <c r="P3" s="75"/>
      <c r="Q3" s="75"/>
      <c r="R3" s="75"/>
      <c r="S3" s="75"/>
      <c r="T3" s="75"/>
      <c r="U3" s="75"/>
      <c r="V3" s="75"/>
      <c r="W3" s="75"/>
      <c r="X3" s="75"/>
      <c r="Y3" s="75"/>
      <c r="Z3" s="75"/>
    </row>
    <row r="4" spans="1:26">
      <c r="A4" s="75"/>
      <c r="B4" s="75"/>
      <c r="C4" s="75"/>
      <c r="D4" s="75"/>
      <c r="E4" s="75"/>
      <c r="F4" s="75"/>
      <c r="G4" s="75"/>
      <c r="H4" s="75"/>
      <c r="I4" s="75">
        <f t="shared" si="0"/>
        <v>0</v>
      </c>
      <c r="J4" s="75"/>
      <c r="K4" s="75"/>
      <c r="L4" s="75"/>
      <c r="M4" s="75"/>
      <c r="N4" s="75"/>
      <c r="O4" s="75"/>
      <c r="P4" s="75"/>
      <c r="Q4" s="75"/>
      <c r="R4" s="75"/>
      <c r="S4" s="75"/>
      <c r="T4" s="75"/>
      <c r="U4" s="75"/>
      <c r="V4" s="75"/>
      <c r="W4" s="75"/>
      <c r="X4" s="75"/>
      <c r="Y4" s="75"/>
      <c r="Z4" s="75"/>
    </row>
    <row r="5" spans="1:26">
      <c r="A5" s="75"/>
      <c r="B5" s="75"/>
      <c r="C5" s="75"/>
      <c r="D5" s="75"/>
      <c r="E5" s="75"/>
      <c r="F5" s="75"/>
      <c r="G5" s="75"/>
      <c r="H5" s="75"/>
      <c r="I5" s="75">
        <f t="shared" si="0"/>
        <v>0</v>
      </c>
      <c r="J5" s="75"/>
      <c r="K5" s="75"/>
      <c r="L5" s="75"/>
      <c r="M5" s="75"/>
      <c r="N5" s="75"/>
      <c r="O5" s="75"/>
      <c r="P5" s="75"/>
      <c r="Q5" s="75"/>
      <c r="R5" s="75"/>
      <c r="S5" s="75"/>
      <c r="T5" s="75"/>
      <c r="U5" s="75"/>
      <c r="V5" s="75"/>
      <c r="W5" s="75"/>
      <c r="X5" s="75"/>
      <c r="Y5" s="75"/>
      <c r="Z5" s="75"/>
    </row>
    <row r="6" spans="1:26">
      <c r="A6" s="75"/>
      <c r="B6" s="75"/>
      <c r="C6" s="75"/>
      <c r="D6" s="75"/>
      <c r="E6" s="75"/>
      <c r="F6" s="75"/>
      <c r="G6" s="75"/>
      <c r="H6" s="75"/>
      <c r="I6" s="75"/>
      <c r="J6" s="75"/>
      <c r="K6" s="75"/>
      <c r="L6" s="75"/>
      <c r="M6" s="75"/>
      <c r="N6" s="75"/>
      <c r="O6" s="75"/>
      <c r="P6" s="75"/>
      <c r="Q6" s="75"/>
      <c r="R6" s="75"/>
      <c r="S6" s="75"/>
      <c r="T6" s="75"/>
      <c r="U6" s="75"/>
      <c r="V6" s="75"/>
      <c r="W6" s="75"/>
      <c r="X6" s="75"/>
      <c r="Y6" s="75"/>
      <c r="Z6" s="75"/>
    </row>
    <row r="7" spans="1:26">
      <c r="A7" s="75"/>
      <c r="B7" s="75"/>
      <c r="C7" s="75"/>
      <c r="D7" s="75"/>
      <c r="E7" s="75"/>
      <c r="F7" s="75"/>
      <c r="G7" s="75"/>
      <c r="H7" s="75"/>
      <c r="I7" s="75"/>
      <c r="J7" s="75"/>
      <c r="K7" s="75"/>
      <c r="L7" s="75"/>
      <c r="M7" s="75"/>
      <c r="N7" s="75"/>
      <c r="O7" s="75"/>
      <c r="P7" s="75"/>
      <c r="Q7" s="75"/>
      <c r="R7" s="75"/>
      <c r="S7" s="75"/>
      <c r="T7" s="75"/>
      <c r="U7" s="75"/>
      <c r="V7" s="75"/>
      <c r="W7" s="75"/>
      <c r="X7" s="75"/>
      <c r="Y7" s="75"/>
      <c r="Z7" s="75"/>
    </row>
    <row r="8" spans="1:26">
      <c r="A8" s="75"/>
      <c r="B8" s="75"/>
      <c r="C8" s="75"/>
      <c r="D8" s="75"/>
      <c r="E8" s="75"/>
      <c r="F8" s="75"/>
      <c r="G8" s="75"/>
      <c r="H8" s="75"/>
      <c r="I8" s="75"/>
      <c r="J8" s="75"/>
      <c r="K8" s="75"/>
      <c r="L8" s="75"/>
      <c r="M8" s="75"/>
      <c r="N8" s="75"/>
      <c r="O8" s="75"/>
      <c r="P8" s="75"/>
      <c r="Q8" s="75"/>
      <c r="R8" s="75"/>
      <c r="S8" s="75"/>
      <c r="T8" s="75"/>
      <c r="U8" s="75"/>
      <c r="V8" s="75"/>
      <c r="W8" s="75"/>
      <c r="X8" s="75"/>
      <c r="Y8" s="75"/>
      <c r="Z8" s="75"/>
    </row>
    <row r="9" spans="1:26">
      <c r="A9" s="75"/>
      <c r="B9" s="75"/>
      <c r="C9" s="75"/>
      <c r="D9" s="75"/>
      <c r="E9" s="75"/>
      <c r="F9" s="75"/>
      <c r="G9" s="75"/>
      <c r="H9" s="75"/>
      <c r="I9" s="75"/>
      <c r="J9" s="75"/>
      <c r="K9" s="75"/>
      <c r="L9" s="75"/>
      <c r="M9" s="75"/>
      <c r="N9" s="75"/>
      <c r="O9" s="75"/>
      <c r="P9" s="75"/>
      <c r="Q9" s="75"/>
      <c r="R9" s="75"/>
      <c r="S9" s="75"/>
      <c r="T9" s="75"/>
      <c r="U9" s="75"/>
      <c r="V9" s="75"/>
      <c r="W9" s="75"/>
      <c r="X9" s="75"/>
      <c r="Y9" s="75"/>
      <c r="Z9" s="75"/>
    </row>
    <row r="10" spans="1:26">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MIR</vt:lpstr>
      <vt:lpstr>Porfinporproposito</vt:lpstr>
      <vt:lpstr>FIN</vt:lpstr>
      <vt:lpstr>PROPÓSITO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Luna Padilla</dc:creator>
  <cp:lastModifiedBy>Maria del Pilar Luna Padilla</cp:lastModifiedBy>
  <dcterms:created xsi:type="dcterms:W3CDTF">2023-05-12T18:02:18Z</dcterms:created>
  <dcterms:modified xsi:type="dcterms:W3CDTF">2023-05-12T18:02:18Z</dcterms:modified>
</cp:coreProperties>
</file>