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FBD716BD-F40D-4512-9C6D-49B94FBE767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MIR" sheetId="3" r:id="rId1"/>
    <sheet name="FIN PROPÓSITO" sheetId="4" state="hidden" r:id="rId2"/>
    <sheet name="Estático" sheetId="6" state="hidden" r:id="rId3"/>
    <sheet name="Copia de MIR 1" sheetId="7" state="hidden" r:id="rId4"/>
    <sheet name="Copia de MIR" sheetId="8" state="hidden" r:id="rId5"/>
    <sheet name="Subida" sheetId="9" state="hidden" r:id="rId6"/>
    <sheet name="finproposito" sheetId="10" state="hidden" r:id="rId7"/>
    <sheet name="Hoja3" sheetId="11" state="hidden" r:id="rId8"/>
  </sheets>
  <calcPr calcId="191029"/>
</workbook>
</file>

<file path=xl/calcChain.xml><?xml version="1.0" encoding="utf-8"?>
<calcChain xmlns="http://schemas.openxmlformats.org/spreadsheetml/2006/main">
  <c r="G29" i="9" l="1"/>
  <c r="G28" i="9"/>
  <c r="G19" i="9"/>
  <c r="G18" i="9"/>
  <c r="G16" i="9"/>
  <c r="G13" i="9"/>
  <c r="O34" i="8"/>
  <c r="O33" i="8"/>
  <c r="A12" i="10"/>
  <c r="A10" i="10"/>
  <c r="A8" i="10"/>
  <c r="A6" i="10"/>
  <c r="A4" i="10"/>
  <c r="A2" i="10"/>
  <c r="K1" i="10"/>
  <c r="Y60" i="8"/>
  <c r="S59" i="8"/>
  <c r="AA57" i="8"/>
  <c r="Y56" i="8"/>
  <c r="V55" i="8"/>
  <c r="AB53" i="8"/>
  <c r="Y52" i="8"/>
  <c r="S51" i="8"/>
  <c r="AD49" i="8"/>
  <c r="W48" i="8"/>
  <c r="U47" i="8"/>
  <c r="AB45" i="8"/>
  <c r="Z44" i="8"/>
  <c r="T43" i="8"/>
  <c r="AD41" i="8"/>
  <c r="W40" i="8"/>
  <c r="U39" i="8"/>
  <c r="AB37" i="8"/>
  <c r="Z36" i="8"/>
  <c r="H11" i="10"/>
  <c r="H9" i="10"/>
  <c r="H7" i="10"/>
  <c r="H5" i="10"/>
  <c r="H3" i="10"/>
  <c r="Z1" i="10"/>
  <c r="J1" i="10"/>
  <c r="X60" i="8"/>
  <c r="V59" i="8"/>
  <c r="AD57" i="8"/>
  <c r="X56" i="8"/>
  <c r="U55" i="8"/>
  <c r="AA53" i="8"/>
  <c r="X52" i="8"/>
  <c r="V51" i="8"/>
  <c r="AC49" i="8"/>
  <c r="Z48" i="8"/>
  <c r="T47" i="8"/>
  <c r="AA45" i="8"/>
  <c r="Y44" i="8"/>
  <c r="S43" i="8"/>
  <c r="AC41" i="8"/>
  <c r="Z40" i="8"/>
  <c r="T39" i="8"/>
  <c r="AA37" i="8"/>
  <c r="Y36" i="8"/>
  <c r="G11" i="10"/>
  <c r="G9" i="10"/>
  <c r="G7" i="10"/>
  <c r="G5" i="10"/>
  <c r="G3" i="10"/>
  <c r="Y1" i="10"/>
  <c r="I1" i="10"/>
  <c r="W60" i="8"/>
  <c r="U59" i="8"/>
  <c r="AC57" i="8"/>
  <c r="W56" i="8"/>
  <c r="T55" i="8"/>
  <c r="AD53" i="8"/>
  <c r="W52" i="8"/>
  <c r="U51" i="8"/>
  <c r="AB49" i="8"/>
  <c r="Y48" i="8"/>
  <c r="S47" i="8"/>
  <c r="AD45" i="8"/>
  <c r="X44" i="8"/>
  <c r="V43" i="8"/>
  <c r="AB41" i="8"/>
  <c r="Y40" i="8"/>
  <c r="S39" i="8"/>
  <c r="AD37" i="8"/>
  <c r="X36" i="8"/>
  <c r="F8" i="10"/>
  <c r="P1" i="10"/>
  <c r="AA55" i="8"/>
  <c r="AA49" i="8"/>
  <c r="AC43" i="8"/>
  <c r="AC37" i="8"/>
  <c r="B30" i="4"/>
  <c r="C27" i="4"/>
  <c r="D24" i="4"/>
  <c r="B8" i="10"/>
  <c r="L1" i="10"/>
  <c r="W55" i="8"/>
  <c r="Z50" i="8"/>
  <c r="AA44" i="8"/>
  <c r="AD39" i="8"/>
  <c r="C32" i="4"/>
  <c r="D29" i="4"/>
  <c r="A26" i="4"/>
  <c r="F9" i="10"/>
  <c r="X1" i="10"/>
  <c r="Z58" i="8"/>
  <c r="AC53" i="8"/>
  <c r="S49" i="8"/>
  <c r="W44" i="8"/>
  <c r="X38" i="8"/>
  <c r="E31" i="4"/>
  <c r="B28" i="4"/>
  <c r="C25" i="4"/>
  <c r="V52" i="8"/>
  <c r="E28" i="4"/>
  <c r="D22" i="4"/>
  <c r="A19" i="4"/>
  <c r="D14" i="4"/>
  <c r="D10" i="4"/>
  <c r="D6" i="4"/>
  <c r="B3" i="4"/>
  <c r="T51" i="8"/>
  <c r="C30" i="4"/>
  <c r="C22" i="4"/>
  <c r="D19" i="4"/>
  <c r="C13" i="4"/>
  <c r="C9" i="4"/>
  <c r="C5" i="4"/>
  <c r="B7" i="10"/>
  <c r="U45" i="8"/>
  <c r="B25" i="4"/>
  <c r="A21" i="4"/>
  <c r="C17" i="4"/>
  <c r="B13" i="4"/>
  <c r="E11" i="10"/>
  <c r="E9" i="10"/>
  <c r="E7" i="10"/>
  <c r="E5" i="10"/>
  <c r="E3" i="10"/>
  <c r="W1" i="10"/>
  <c r="G1" i="10"/>
  <c r="U60" i="8"/>
  <c r="AC58" i="8"/>
  <c r="W57" i="8"/>
  <c r="U56" i="8"/>
  <c r="AA54" i="8"/>
  <c r="X53" i="8"/>
  <c r="U52" i="8"/>
  <c r="AC50" i="8"/>
  <c r="Z49" i="8"/>
  <c r="S48" i="8"/>
  <c r="AA46" i="8"/>
  <c r="X45" i="8"/>
  <c r="V44" i="8"/>
  <c r="AC42" i="8"/>
  <c r="Z41" i="8"/>
  <c r="S40" i="8"/>
  <c r="AA38" i="8"/>
  <c r="X37" i="8"/>
  <c r="V36" i="8"/>
  <c r="D11" i="10"/>
  <c r="D9" i="10"/>
  <c r="D7" i="10"/>
  <c r="D5" i="10"/>
  <c r="D3" i="10"/>
  <c r="V1" i="10"/>
  <c r="F1" i="10"/>
  <c r="T60" i="8"/>
  <c r="AB58" i="8"/>
  <c r="Z57" i="8"/>
  <c r="T56" i="8"/>
  <c r="AD54" i="8"/>
  <c r="W53" i="8"/>
  <c r="T52" i="8"/>
  <c r="AB50" i="8"/>
  <c r="Y49" i="8"/>
  <c r="V48" i="8"/>
  <c r="AD46" i="8"/>
  <c r="W45" i="8"/>
  <c r="U44" i="8"/>
  <c r="AB42" i="8"/>
  <c r="Y41" i="8"/>
  <c r="V40" i="8"/>
  <c r="AD38" i="8"/>
  <c r="W37" i="8"/>
  <c r="U36" i="8"/>
  <c r="C11" i="10"/>
  <c r="C9" i="10"/>
  <c r="C7" i="10"/>
  <c r="C5" i="10"/>
  <c r="C3" i="10"/>
  <c r="U1" i="10"/>
  <c r="E1" i="10"/>
  <c r="S60" i="8"/>
  <c r="AA58" i="8"/>
  <c r="Y57" i="8"/>
  <c r="S56" i="8"/>
  <c r="AC54" i="8"/>
  <c r="Z53" i="8"/>
  <c r="S52" i="8"/>
  <c r="AA50" i="8"/>
  <c r="X49" i="8"/>
  <c r="U48" i="8"/>
  <c r="A1" i="11"/>
  <c r="A9" i="10"/>
  <c r="A5" i="10"/>
  <c r="S1" i="10"/>
  <c r="AA59" i="8"/>
  <c r="S57" i="8"/>
  <c r="W54" i="8"/>
  <c r="AA51" i="8"/>
  <c r="V49" i="8"/>
  <c r="W46" i="8"/>
  <c r="AB43" i="8"/>
  <c r="V41" i="8"/>
  <c r="W38" i="8"/>
  <c r="H12" i="10"/>
  <c r="H8" i="10"/>
  <c r="H4" i="10"/>
  <c r="R1" i="10"/>
  <c r="AD59" i="8"/>
  <c r="V57" i="8"/>
  <c r="Z54" i="8"/>
  <c r="AD51" i="8"/>
  <c r="U49" i="8"/>
  <c r="Z46" i="8"/>
  <c r="AA43" i="8"/>
  <c r="U41" i="8"/>
  <c r="Z38" i="8"/>
  <c r="G12" i="10"/>
  <c r="G8" i="10"/>
  <c r="G4" i="10"/>
  <c r="Q1" i="10"/>
  <c r="AC59" i="8"/>
  <c r="U57" i="8"/>
  <c r="Y54" i="8"/>
  <c r="AC51" i="8"/>
  <c r="T49" i="8"/>
  <c r="AC46" i="8"/>
  <c r="V45" i="8"/>
  <c r="Z43" i="8"/>
  <c r="X41" i="8"/>
  <c r="AA39" i="8"/>
  <c r="U38" i="8"/>
  <c r="T36" i="8"/>
  <c r="F4" i="10"/>
  <c r="AD56" i="8"/>
  <c r="X48" i="8"/>
  <c r="W41" i="8"/>
  <c r="C31" i="4"/>
  <c r="B26" i="4"/>
  <c r="B12" i="10"/>
  <c r="B2" i="10"/>
  <c r="T54" i="8"/>
  <c r="T48" i="8"/>
  <c r="S41" i="8"/>
  <c r="B31" i="4"/>
  <c r="B27" i="4"/>
  <c r="F11" i="10"/>
  <c r="H1" i="10"/>
  <c r="V56" i="8"/>
  <c r="V50" i="8"/>
  <c r="U43" i="8"/>
  <c r="S36" i="8"/>
  <c r="C29" i="4"/>
  <c r="B11" i="10"/>
  <c r="AD42" i="8"/>
  <c r="B23" i="4"/>
  <c r="D18" i="4"/>
  <c r="D12" i="4"/>
  <c r="D7" i="4"/>
  <c r="B9" i="10"/>
  <c r="AA41" i="8"/>
  <c r="A23" i="4"/>
  <c r="C18" i="4"/>
  <c r="C11" i="4"/>
  <c r="C6" i="4"/>
  <c r="D1" i="10"/>
  <c r="A32" i="4"/>
  <c r="E21" i="4"/>
  <c r="F14" i="4"/>
  <c r="B12" i="4"/>
  <c r="B10" i="4"/>
  <c r="B8" i="4"/>
  <c r="B6" i="4"/>
  <c r="B4" i="4"/>
  <c r="B29" i="4"/>
  <c r="A14" i="4"/>
  <c r="A6" i="4"/>
  <c r="A22" i="4"/>
  <c r="E9" i="4"/>
  <c r="V58" i="8"/>
  <c r="E18" i="4"/>
  <c r="E8" i="4"/>
  <c r="D21" i="4"/>
  <c r="A9" i="4"/>
  <c r="E12" i="10"/>
  <c r="E8" i="10"/>
  <c r="E4" i="10"/>
  <c r="O1" i="10"/>
  <c r="W59" i="8"/>
  <c r="AC56" i="8"/>
  <c r="S54" i="8"/>
  <c r="W51" i="8"/>
  <c r="AA48" i="8"/>
  <c r="S46" i="8"/>
  <c r="X43" i="8"/>
  <c r="AA40" i="8"/>
  <c r="S38" i="8"/>
  <c r="D12" i="10"/>
  <c r="D8" i="10"/>
  <c r="D4" i="10"/>
  <c r="N1" i="10"/>
  <c r="Z59" i="8"/>
  <c r="AB56" i="8"/>
  <c r="V54" i="8"/>
  <c r="Z51" i="8"/>
  <c r="AD48" i="8"/>
  <c r="V46" i="8"/>
  <c r="W43" i="8"/>
  <c r="AD40" i="8"/>
  <c r="V38" i="8"/>
  <c r="C12" i="10"/>
  <c r="C8" i="10"/>
  <c r="C4" i="10"/>
  <c r="M1" i="10"/>
  <c r="Y59" i="8"/>
  <c r="AA56" i="8"/>
  <c r="U54" i="8"/>
  <c r="Y51" i="8"/>
  <c r="E10" i="10"/>
  <c r="E2" i="10"/>
  <c r="U58" i="8"/>
  <c r="AC52" i="8"/>
  <c r="Y47" i="8"/>
  <c r="U42" i="8"/>
  <c r="AD36" i="8"/>
  <c r="D6" i="10"/>
  <c r="AB60" i="8"/>
  <c r="Y55" i="8"/>
  <c r="T50" i="8"/>
  <c r="AC44" i="8"/>
  <c r="X39" i="8"/>
  <c r="C10" i="10"/>
  <c r="C2" i="10"/>
  <c r="S58" i="8"/>
  <c r="AA52" i="8"/>
  <c r="AA47" i="8"/>
  <c r="Z45" i="8"/>
  <c r="AA42" i="8"/>
  <c r="AC40" i="8"/>
  <c r="Y38" i="8"/>
  <c r="F12" i="10"/>
  <c r="V60" i="8"/>
  <c r="AD50" i="8"/>
  <c r="T40" i="8"/>
  <c r="A29" i="4"/>
  <c r="C23" i="4"/>
  <c r="AD58" i="8"/>
  <c r="AB51" i="8"/>
  <c r="V42" i="8"/>
  <c r="E30" i="4"/>
  <c r="D25" i="4"/>
  <c r="F3" i="10"/>
  <c r="S55" i="8"/>
  <c r="AB46" i="8"/>
  <c r="U37" i="8"/>
  <c r="E27" i="4"/>
  <c r="T57" i="8"/>
  <c r="B24" i="4"/>
  <c r="E17" i="4"/>
  <c r="D9" i="4"/>
  <c r="F3" i="4"/>
  <c r="E32" i="4"/>
  <c r="E20" i="4"/>
  <c r="C12" i="4"/>
  <c r="C4" i="4"/>
  <c r="AB54" i="8"/>
  <c r="B22" i="4"/>
  <c r="B14" i="4"/>
  <c r="B11" i="4"/>
  <c r="F8" i="4"/>
  <c r="F5" i="4"/>
  <c r="B5" i="10"/>
  <c r="A18" i="4"/>
  <c r="A4" i="4"/>
  <c r="E13" i="4"/>
  <c r="C3" i="4"/>
  <c r="E14" i="4"/>
  <c r="S44" i="8"/>
  <c r="A11" i="4"/>
  <c r="A7" i="10"/>
  <c r="C1" i="10"/>
  <c r="AD55" i="8"/>
  <c r="Y50" i="8"/>
  <c r="T45" i="8"/>
  <c r="AC39" i="8"/>
  <c r="H10" i="10"/>
  <c r="H2" i="10"/>
  <c r="X58" i="8"/>
  <c r="S53" i="8"/>
  <c r="AB47" i="8"/>
  <c r="X42" i="8"/>
  <c r="S37" i="8"/>
  <c r="G6" i="10"/>
  <c r="A1" i="10"/>
  <c r="AB55" i="8"/>
  <c r="W50" i="8"/>
  <c r="W47" i="8"/>
  <c r="AB44" i="8"/>
  <c r="W42" i="8"/>
  <c r="U40" i="8"/>
  <c r="Z37" i="8"/>
  <c r="F10" i="10"/>
  <c r="T59" i="8"/>
  <c r="V47" i="8"/>
  <c r="AA36" i="8"/>
  <c r="D28" i="4"/>
  <c r="B10" i="10"/>
  <c r="AB57" i="8"/>
  <c r="W49" i="8"/>
  <c r="AB38" i="8"/>
  <c r="A30" i="4"/>
  <c r="C24" i="4"/>
  <c r="AD60" i="8"/>
  <c r="Z52" i="8"/>
  <c r="Y45" i="8"/>
  <c r="B32" i="4"/>
  <c r="A27" i="4"/>
  <c r="Z47" i="8"/>
  <c r="C21" i="4"/>
  <c r="A17" i="4"/>
  <c r="D8" i="4"/>
  <c r="T1" i="10"/>
  <c r="A28" i="4"/>
  <c r="A20" i="4"/>
  <c r="C10" i="4"/>
  <c r="E3" i="4"/>
  <c r="X40" i="8"/>
  <c r="D20" i="4"/>
  <c r="F13" i="4"/>
  <c r="F10" i="4"/>
  <c r="F7" i="4"/>
  <c r="B5" i="4"/>
  <c r="Y53" i="8"/>
  <c r="A12" i="4"/>
  <c r="E6" i="4"/>
  <c r="E11" i="4"/>
  <c r="V39" i="8"/>
  <c r="E12" i="4"/>
  <c r="E24" i="4"/>
  <c r="A7" i="4"/>
  <c r="E6" i="10"/>
  <c r="AC60" i="8"/>
  <c r="Z55" i="8"/>
  <c r="U50" i="8"/>
  <c r="AD44" i="8"/>
  <c r="Y58" i="8"/>
  <c r="Y39" i="8"/>
  <c r="D2" i="10"/>
  <c r="AB52" i="8"/>
  <c r="T42" i="8"/>
  <c r="C6" i="10"/>
  <c r="X55" i="8"/>
  <c r="Y46" i="8"/>
  <c r="S42" i="8"/>
  <c r="V37" i="8"/>
  <c r="X54" i="8"/>
  <c r="D32" i="4"/>
  <c r="B6" i="10"/>
  <c r="AC45" i="8"/>
  <c r="C28" i="4"/>
  <c r="AB59" i="8"/>
  <c r="AB40" i="8"/>
  <c r="D26" i="4"/>
  <c r="B20" i="4"/>
  <c r="D5" i="4"/>
  <c r="A24" i="4"/>
  <c r="C8" i="4"/>
  <c r="D27" i="4"/>
  <c r="F12" i="4"/>
  <c r="B7" i="4"/>
  <c r="E22" i="4"/>
  <c r="AB48" i="8"/>
  <c r="D31" i="4"/>
  <c r="B19" i="4"/>
  <c r="T53" i="8"/>
  <c r="T37" i="8"/>
  <c r="B1" i="10"/>
  <c r="X50" i="8"/>
  <c r="AB39" i="8"/>
  <c r="G2" i="10"/>
  <c r="V53" i="8"/>
  <c r="U46" i="8"/>
  <c r="T41" i="8"/>
  <c r="AB36" i="8"/>
  <c r="U53" i="8"/>
  <c r="E29" i="4"/>
  <c r="B4" i="10"/>
  <c r="Y43" i="8"/>
  <c r="E26" i="4"/>
  <c r="X57" i="8"/>
  <c r="Z39" i="8"/>
  <c r="B3" i="10"/>
  <c r="E19" i="4"/>
  <c r="D4" i="4"/>
  <c r="B21" i="4"/>
  <c r="C7" i="4"/>
  <c r="E23" i="4"/>
  <c r="F11" i="4"/>
  <c r="F6" i="4"/>
  <c r="C20" i="4"/>
  <c r="B17" i="4"/>
  <c r="D23" i="4"/>
  <c r="A13" i="4"/>
  <c r="A11" i="10"/>
  <c r="AC47" i="8"/>
  <c r="D10" i="10"/>
  <c r="T58" i="8"/>
  <c r="X47" i="8"/>
  <c r="AC36" i="8"/>
  <c r="AA60" i="8"/>
  <c r="S50" i="8"/>
  <c r="T44" i="8"/>
  <c r="W39" i="8"/>
  <c r="F6" i="10"/>
  <c r="T46" i="8"/>
  <c r="E25" i="4"/>
  <c r="Z56" i="8"/>
  <c r="Y37" i="8"/>
  <c r="F7" i="10"/>
  <c r="X51" i="8"/>
  <c r="A31" i="4"/>
  <c r="T38" i="8"/>
  <c r="D13" i="4"/>
  <c r="Z60" i="8"/>
  <c r="D17" i="4"/>
  <c r="A3" i="4"/>
  <c r="C19" i="4"/>
  <c r="F9" i="4"/>
  <c r="F4" i="4"/>
  <c r="A10" i="4"/>
  <c r="E7" i="4"/>
  <c r="E10" i="4"/>
  <c r="A5" i="4"/>
  <c r="A3" i="10"/>
  <c r="Y42" i="8"/>
  <c r="H6" i="10"/>
  <c r="AC55" i="8"/>
  <c r="S45" i="8"/>
  <c r="G10" i="10"/>
  <c r="W58" i="8"/>
  <c r="AC48" i="8"/>
  <c r="AD43" i="8"/>
  <c r="AC38" i="8"/>
  <c r="F2" i="10"/>
  <c r="Z42" i="8"/>
  <c r="A25" i="4"/>
  <c r="AD52" i="8"/>
  <c r="W36" i="8"/>
  <c r="F5" i="10"/>
  <c r="AD47" i="8"/>
  <c r="D30" i="4"/>
  <c r="C26" i="4"/>
  <c r="D11" i="4"/>
  <c r="X46" i="8"/>
  <c r="C14" i="4"/>
  <c r="X59" i="8"/>
  <c r="B18" i="4"/>
  <c r="B9" i="4"/>
  <c r="D3" i="4"/>
  <c r="A8" i="4"/>
  <c r="E5" i="4"/>
  <c r="E4" i="4"/>
  <c r="H24" i="4" l="1"/>
  <c r="AE44" i="8"/>
  <c r="AF44" i="8" s="1"/>
  <c r="H18" i="4"/>
  <c r="G20" i="4"/>
  <c r="H22" i="4"/>
  <c r="H4" i="4"/>
  <c r="H5" i="4"/>
  <c r="H6" i="4"/>
  <c r="H7" i="4"/>
  <c r="H8" i="4"/>
  <c r="H9" i="4"/>
  <c r="H10" i="4"/>
  <c r="H11" i="4"/>
  <c r="H12" i="4"/>
  <c r="H13" i="4"/>
  <c r="H14" i="4"/>
  <c r="G19" i="4"/>
  <c r="H21" i="4"/>
  <c r="H23" i="4"/>
  <c r="G18" i="4"/>
  <c r="H20" i="4"/>
  <c r="G22" i="4"/>
  <c r="G30" i="4"/>
  <c r="H32" i="4"/>
  <c r="G4" i="4"/>
  <c r="G5" i="4"/>
  <c r="G6" i="4"/>
  <c r="G7" i="4"/>
  <c r="G8" i="4"/>
  <c r="G9" i="4"/>
  <c r="G10" i="4"/>
  <c r="G11" i="4"/>
  <c r="G12" i="4"/>
  <c r="G13" i="4"/>
  <c r="G14" i="4"/>
  <c r="H19" i="4"/>
  <c r="G21" i="4"/>
  <c r="G26" i="4"/>
  <c r="H28" i="4"/>
  <c r="G25" i="4"/>
  <c r="H27" i="4"/>
  <c r="G29" i="4"/>
  <c r="H31" i="4"/>
  <c r="AE36" i="8"/>
  <c r="AF36" i="8" s="1"/>
  <c r="AE49" i="8"/>
  <c r="AE55" i="8"/>
  <c r="G24" i="4"/>
  <c r="H26" i="4"/>
  <c r="G28" i="4"/>
  <c r="H30" i="4"/>
  <c r="G32" i="4"/>
  <c r="AE41" i="8"/>
  <c r="G23" i="4"/>
  <c r="H25" i="4"/>
  <c r="G27" i="4"/>
  <c r="H29" i="4"/>
  <c r="G31" i="4"/>
  <c r="AE39" i="8"/>
  <c r="AF39" i="8" s="1"/>
  <c r="AE42" i="8"/>
  <c r="AE47" i="8"/>
  <c r="AF47" i="8" s="1"/>
  <c r="AE50" i="8"/>
  <c r="AF50" i="8" s="1"/>
  <c r="AE52" i="8"/>
  <c r="AE56" i="8"/>
  <c r="AF56" i="8" s="1"/>
  <c r="AE58" i="8"/>
  <c r="AF58" i="8" s="1"/>
  <c r="AE60" i="8"/>
  <c r="AF60" i="8" s="1"/>
  <c r="AE37" i="8"/>
  <c r="AE43" i="8"/>
  <c r="AF43" i="8" s="1"/>
  <c r="AE45" i="8"/>
  <c r="AE53" i="8"/>
  <c r="AE38" i="8"/>
  <c r="AF38" i="8" s="1"/>
  <c r="AE40" i="8"/>
  <c r="AE46" i="8"/>
  <c r="AF46" i="8" s="1"/>
  <c r="AE48" i="8"/>
  <c r="AE51" i="8"/>
  <c r="AF51" i="8" s="1"/>
  <c r="AE54" i="8"/>
  <c r="AE57" i="8"/>
  <c r="AF57" i="8" s="1"/>
  <c r="AE59" i="8"/>
  <c r="AF59" i="8" s="1"/>
  <c r="G33" i="4" l="1"/>
  <c r="G15" i="4"/>
  <c r="H15" i="4"/>
  <c r="H33" i="4"/>
  <c r="I33" i="4" l="1"/>
  <c r="I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5" authorId="0" shapeId="0" xr:uid="{00000000-0006-0000-0100-000001000000}">
      <text>
        <r>
          <rPr>
            <sz val="11"/>
            <color theme="1"/>
            <rFont val="Calibri"/>
            <scheme val="minor"/>
          </rPr>
          <t>@irving.castillo@difgdl.gob.mx
_Asignada a Irving Dario Castillo Cisneros_
	-Jorge Flores Uribe</t>
        </r>
      </text>
    </comment>
  </commentList>
</comments>
</file>

<file path=xl/sharedStrings.xml><?xml version="1.0" encoding="utf-8"?>
<sst xmlns="http://schemas.openxmlformats.org/spreadsheetml/2006/main" count="2716" uniqueCount="918">
  <si>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</si>
  <si>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</si>
  <si>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</si>
  <si>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</si>
  <si>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</si>
  <si>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</si>
  <si>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</si>
  <si>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</si>
  <si>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</si>
  <si>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</si>
  <si>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</si>
  <si>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</si>
  <si>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 xml:space="preserve">OPD  de la Administración Pública Municipal denominado Sistema DIF Guadalajara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</si>
  <si>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</si>
  <si>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</si>
  <si>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</si>
  <si>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</si>
  <si>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</si>
  <si>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</si>
  <si>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</si>
  <si>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</si>
  <si>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</si>
  <si>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</si>
  <si>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</si>
  <si>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</si>
  <si>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</si>
  <si>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Eje de 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</si>
  <si>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</si>
  <si>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</si>
  <si>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</si>
  <si>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</si>
  <si>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Guadalajara Próspera e Incluyente</t>
  </si>
  <si>
    <t>ALINEACIÓN CON OBJETIVOS DEL PMDyG</t>
  </si>
  <si>
    <t>O2. Ejecutar programas sociales estratégicos que impulsen la innovación social responsable e incluyente, para garantizar un crecimiento equitativos, equilibrado y sostenible.</t>
  </si>
  <si>
    <t xml:space="preserve">ESTRATEGIA </t>
  </si>
  <si>
    <t>E2.4 Cohesión del tejido social y E2.5 Generación de condiciones para la impartición de asistencia social que propicie la restitución de derechos a las personas vulnerables.</t>
  </si>
  <si>
    <t>LINEA DE ACCIÓN</t>
  </si>
  <si>
    <t>Promover entornos sociales saludables y libres de violencia por medio de servicios asistenciales y a bajo costo para disminuir los riesgos psicosociales.</t>
  </si>
  <si>
    <t xml:space="preserve">EJES ESTRATÉGICOS DEL SISTEMA DIF GUADALAJARA </t>
  </si>
  <si>
    <t xml:space="preserve">Guadalajara en Paz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</si>
  <si>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</si>
  <si>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</si>
  <si>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</si>
  <si>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</si>
  <si>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</si>
  <si>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</si>
  <si>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</si>
  <si>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</si>
  <si>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</si>
  <si>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</si>
  <si>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</si>
  <si>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</si>
  <si>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</si>
  <si>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</si>
  <si>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</si>
  <si>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</si>
  <si>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</si>
  <si>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</si>
  <si>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</si>
  <si>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</si>
  <si>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</si>
  <si>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</si>
  <si>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</si>
  <si>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</si>
  <si>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</si>
  <si>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</si>
  <si>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</si>
  <si>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</si>
  <si>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</si>
  <si>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</si>
  <si>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</si>
  <si>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</si>
  <si>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</si>
  <si>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FIN/PROPÓSITO SUMA</t>
  </si>
  <si>
    <t>FIN</t>
  </si>
  <si>
    <t xml:space="preserve">Contribuir a la restitución de derechos a personas y grupos en condición de vulnerabilidad, mediante servicios de salud, nutrición, psicológicos, de habilidades para el trabajo, educación y atención y prevención a las violencias en Guadalajara en el 2023. </t>
  </si>
  <si>
    <t>Porcentaje  de personas que asisten a servicios de salud, nutrición, psicológicos, de habilidades para el trabajo, educación y atención y prevención a las violencias en Guadalajara durante el 2023</t>
  </si>
  <si>
    <t>Mide el porcentaje  de personas que asisten a servicios de salud, nutrición, psicológicos, de habilidades para el trabajo, educación y atención y prevención a las violencias respecto de la meta planteada para el 2023</t>
  </si>
  <si>
    <t xml:space="preserve">Eficacia </t>
  </si>
  <si>
    <t>Estratégico</t>
  </si>
  <si>
    <t>Número de personas atendidas en los servicios de salud, nutrición, psicológicos, de habilidades para el trabajo, educación y atención y prevención a las violencias durante el 2023/ número meta de personas por atender para el 2023*100</t>
  </si>
  <si>
    <t>Número de personas atendidas en los servicios de salud, nutrición, psicológicos, de habilidades para el trabajo, educación y atención y prevención a las violencias durante el 2023</t>
  </si>
  <si>
    <t xml:space="preserve"> Número meta de personas por atender en el 2023</t>
  </si>
  <si>
    <t>Anual</t>
  </si>
  <si>
    <t xml:space="preserve">Porcentaje </t>
  </si>
  <si>
    <t>No disponible</t>
  </si>
  <si>
    <t>V1: Expedientes
V2: Listas de asistencia
V3: Padrón de beneficiarios</t>
  </si>
  <si>
    <t>Existe una colaboración activa y comprometida de la sociedad civil y de organizaciones no gubernamentales que trabajen en la atención y prevención de la violencia, así como en la promoción de la salud y la educación. Además, hay un entorno económico y social estable que permita la inversión en programas y servicios para la población vulnerable.</t>
  </si>
  <si>
    <t>PROPÓSITO</t>
  </si>
  <si>
    <t>La población de Guadalajara accede a servicios asistenciales y a bajo costo para disminuir los riesgos psicosociales a través de los programas del eje de Guadalajara en Paz del Sistema DIF Guadalajara en el 2023</t>
  </si>
  <si>
    <t>Porcentaje de servicios brindados a grupos en condición de vulnerabilidad en los programas de salud, nutrición, psicológicos, de habilidades para el trabajo, educación y atención y prevención a las violencias que oferta el Sistema DIF Guadalajara durante el 2023</t>
  </si>
  <si>
    <t>Mide el porcentaje de servicios brindados a grupos en condición de vulnerabilidad en los programas de salud, nutrición, psicológicos, de habilidades para el trabajo, educación y atención y prevención a las violencias que oferta el Sistema DIF Guadalajara, durante el 2023</t>
  </si>
  <si>
    <t>Eficiencia</t>
  </si>
  <si>
    <t>Número total de servicios brindados a grupos en condición de vulnerabilidad en los programas del eje Guadalajara en Paz durante el 2023/ Número de servicios a grupos en condición de vulnerabilidad de los programas del eje Guadalajara en Paz programados para el 2023*100</t>
  </si>
  <si>
    <t>Número total de servicios brindados a grupos en condición de vulnerabilidad en los programas del eje Guadalajara en Paz durante el 2023</t>
  </si>
  <si>
    <t>Número de servicios a grupos en condición de vulnerabilidad de los programas del eje Guadalajara en Paz programados para el 2023</t>
  </si>
  <si>
    <t>V1:Expedientes
V2:Bitácora</t>
  </si>
  <si>
    <t>La población tiene acceso a información clara y precisa sobre los programas para que puedan aprovecharlos al máximo.</t>
  </si>
  <si>
    <t>25. Grupos vulnerables</t>
  </si>
  <si>
    <t>COMPONENTE 1</t>
  </si>
  <si>
    <t>C1. Servicios de reconstrucción del tejido social brindados en los Centros de Desarrollo Comunitario a grupos en condición de vulnerabilidad en 2023</t>
  </si>
  <si>
    <t>Porcentaje de programas en los CDC que cumplieron una meta superior al 90% durante 2023</t>
  </si>
  <si>
    <t>Mide el porcentaje de los programas que operan en los Centros de Desarrollo Comunitario y que alcanzaron al menos el 90% durante 2023</t>
  </si>
  <si>
    <t>Eficacia</t>
  </si>
  <si>
    <t>Programas de apoyos asistenciales, servicios médicos, alimentos entregados, servicios odontológicos, psicológicos, estudios de laboratorio, raciones en comedores, talleres, grupos de preescolar, que alcanzaron una meta superior al 90%/  Programas que se espera que tengan una meta superior al 90%</t>
  </si>
  <si>
    <t>Programas en CDC de apoyos asistenciales, servicios médicos, alimentos entregados, servicios ondotológicos, psicológicos, estudios de laboratorio, raciones en comedores, talleres, grupos de preescolar, que alcanzaron una meta superior al 90%</t>
  </si>
  <si>
    <t>Programas que se espera que tengan una meta superior al 90% (9)</t>
  </si>
  <si>
    <t>Mensual</t>
  </si>
  <si>
    <t>Porcentaje</t>
  </si>
  <si>
    <t>Hay un vínculo entre la sociedad tapatía y las instituciones públicas,de tal forma que la población en situación de vulnerabilidad tienen fácil acceso a los servicios otorgados en los CDC.</t>
  </si>
  <si>
    <t>ACTIVIDAD 1.1</t>
  </si>
  <si>
    <t>Apoyos asistenciales entregados a la población vulnerable que radica en la municipalidad de Guadalajara y en tránsito en el programa de Trabajo Social Asistencial durante el 2023</t>
  </si>
  <si>
    <t>Apoyos asistenciales entregados en 2023</t>
  </si>
  <si>
    <t>Mide el porcentaje de apoyos asistenciales entregados en 2023</t>
  </si>
  <si>
    <t>Gestión</t>
  </si>
  <si>
    <t>Apoyos asistenciales entregados durante el 2023/ apoyos asistenciales establecidos como meta para el 2023*100</t>
  </si>
  <si>
    <t>Apoyos asistenciales entregados durante el 2023</t>
  </si>
  <si>
    <t>Apoyos asistenciales establecidos como meta para el 2023</t>
  </si>
  <si>
    <t>Padrón de beneficiarios</t>
  </si>
  <si>
    <t>Se mantienen las condiciones de seguridad y estabilidad en el municipio que garantiza que los beneficiarios pueden recibir los apoyos sin riesgos para su integridad física o emocional.</t>
  </si>
  <si>
    <t>ACTIVIDAD 1.2</t>
  </si>
  <si>
    <t>Expedientes integrados para la atención a la población vulnerable de Guadalajara durante el 2023</t>
  </si>
  <si>
    <t>Porcentaje de expedientes completos para la atención a las necesidades a la población vulnerable en 2023</t>
  </si>
  <si>
    <t>Mide el porcentaje de expedientes completos para la atención a las necesidades de la población vulnerable en 2023</t>
  </si>
  <si>
    <t>Expedientes integrados de manera completa en 2023/ expedientes establecidos como meta*100</t>
  </si>
  <si>
    <t>Expedientes integrados de manera completa en 2023</t>
  </si>
  <si>
    <t>Expedientes establecidos como meta</t>
  </si>
  <si>
    <t>Expedientes de trabajo social</t>
  </si>
  <si>
    <t>Existe una colaboración activa y comprometida de la sociedad civil y de la institución pública que permite la integración de los expedientes.</t>
  </si>
  <si>
    <t>FIN/PROPÓSITO</t>
  </si>
  <si>
    <t>ACTIVIDAD 1.3</t>
  </si>
  <si>
    <t>Servicios médicos de atención y prevención de primer nivel brindados, durante el 2023</t>
  </si>
  <si>
    <t>Porcentaje de atención a la población que requiere los servicios de atención médica de primer nivel ofrecidos por el Sistema DIF Guadalajara, en 2023</t>
  </si>
  <si>
    <t>Mide el porcentaje de atención a la población que requiere los servicios de atención médica de primer nivel ofrecidos por el Sistema DIF Guadalajara, en 2023</t>
  </si>
  <si>
    <t>Número de personas atendidas por los servicios de atención médica de primer nivel durante el 2023/ número de personas programadas para servicios de atención médica  de primer nivel para el 2023 *100</t>
  </si>
  <si>
    <t>Número de personas atendidas por los servicios de atención médica de primer nivel durante el 2023</t>
  </si>
  <si>
    <t xml:space="preserve">Número de personas programadas para servicios de atención médica  de primer nivel para el 2023 </t>
  </si>
  <si>
    <t>V1:Expedientes 
V2:bitácora de registro</t>
  </si>
  <si>
    <t xml:space="preserve">La población tiene conciencia sobre la importancia de la atención médica preventiva. </t>
  </si>
  <si>
    <t>ACTIVIDAD 1.4</t>
  </si>
  <si>
    <t>Alimentos nutritivos e inocuos entregados a la población con inseguridad alimentaria en el municipio de Guadalajara, durante el 2023</t>
  </si>
  <si>
    <t>Porcentaje de personas con inseguridad alimentaria que es atendida por el programa de  Atención Alimentaria, en 2023</t>
  </si>
  <si>
    <t>Mide el porcentaje de personas con inseguridad alimentaria que es atendida por el programa de  Atención alimentaria, en 2023</t>
  </si>
  <si>
    <t>Número de personas beneficiadas en el programa de Desayunos escolares + número de personas beneficiadas en PAAGP + número de personas beneficiadas en programa de atención alimentaria en los primeros 1000 días de vida, durante el 2023/ Número de personas inscritas en los programas de asistencia alimentaria del Sistema DIF Guadalajara para el 2023*100</t>
  </si>
  <si>
    <t>Número de personas beneficiadas en el programa de Desayunos escolares + número de personas beneficiadas en PAAGP + número de personas beneficiadas en programa de atención alimentaria en los primeros 1000 días de vida, durante el 2023</t>
  </si>
  <si>
    <t>Número de personas inscritas en los programas de asistencia alimentaria del Sistema DIF Guadalajara para el 2023</t>
  </si>
  <si>
    <t>La población con insuficiencia alimentaria sabe a dónde asistir por su apoyo y tiene la posibilidad de hacerlo.</t>
  </si>
  <si>
    <t>ACTIVIDAD 1.5</t>
  </si>
  <si>
    <t>Apoyos del Programa de Alimentación Escolar entregados en 2023</t>
  </si>
  <si>
    <t>Apoyos entregados a personas con inseguridad alimentaria del Programa de Alimentación Escolar, en 2023</t>
  </si>
  <si>
    <t>Mide el porcentaje de apoyos entregados a personas con inseguridad alimentaria del Programa de Alimentación Escolar, en 2023</t>
  </si>
  <si>
    <t>Número de raciones de alimentos entregados durante el 2023/ número de raciones de alimentos programados para el 2023*100</t>
  </si>
  <si>
    <t>Número de raciones de alimentos entregados durante el 2023</t>
  </si>
  <si>
    <t>Número de raciones de alimentos programados para el 2023</t>
  </si>
  <si>
    <t>Listas de entregas de los apoyos</t>
  </si>
  <si>
    <t>Los cuidadores de la población escolar con inseguridad alimentaria tiene conocimiento y posibilidades para solicitar su apoyo.</t>
  </si>
  <si>
    <t>ACTIVIDAD 1.6</t>
  </si>
  <si>
    <t>Apoyos del Programa de Atención Alimentaria a Grupos Prioritarios entregados en 2023</t>
  </si>
  <si>
    <t>Apoyos entregados a personas con inseguridad alimentaria del Programa de Asistencia Alimentaria a Grupos Prioritarios, en 2023</t>
  </si>
  <si>
    <t>Mide el porcentaje de apoyos entregados a personas con inseguridad alimentaria del Programa de Asistencia Alimentaria a Grupos Prioritarios, en 2023</t>
  </si>
  <si>
    <t>Número de raciones de alimentos entregados durante el 2023/ número de raciones de alimentos programados durante el 2023*100</t>
  </si>
  <si>
    <t>Número de raciones de alimentos programados durante el 2023</t>
  </si>
  <si>
    <t>La población con inseguridad alimentaria tiene conocimiento y posibilidades para solicitar su apoyo.</t>
  </si>
  <si>
    <t>ACTIVIDAD 1.7</t>
  </si>
  <si>
    <t>Apoyos del Programa de Atención Alimentaria en los Primeros 1000 Días de Vida entregados en 2023</t>
  </si>
  <si>
    <t>Apoyos entregados a personas con inseguridad alimentaria del Programa de Atención Alimentaria en los Primeros 1000 días de vida, en 2023</t>
  </si>
  <si>
    <t>Mide el porcentaje de apoyos entregados a personas con inseguridad alimentaria del Programa de Atención Alimentaria en los Primeros 1000 días de vida, en 2023</t>
  </si>
  <si>
    <t>Las madres y/o personas cuidadoras tienen conocimiento del lugar donde se ofrecen estos apoyos, también cuentan con la posibilidad de asistir a dichos centros.</t>
  </si>
  <si>
    <t>ACTIVIDAD 1.8</t>
  </si>
  <si>
    <t>Prácticas de autocuidado, prevención y atención a la salud bucal y maxilofacial a través de los servicios otorgados, durante el 2023</t>
  </si>
  <si>
    <t>Porcentaje de atención  de servicios odontológicos y maxilofaciales a la población objetivo, en 2023</t>
  </si>
  <si>
    <t>Mide el porcentaje de atención  de servicios odontológicos y maxilofaciales a la población objetivo, en 2023</t>
  </si>
  <si>
    <t>Número de servicios de atención odontológica brindados a personas durante el 2023/ Número meta de servicios de atención odontológica brindados a personas para el 2023*100</t>
  </si>
  <si>
    <t>Número de servicios de atención odontológica brindados a personas durante el 2023</t>
  </si>
  <si>
    <t>Número meta de servicios de atención odontológica brindados a personas para el 2023</t>
  </si>
  <si>
    <t>V1: Expedientes y 
V2: bitácora de registro</t>
  </si>
  <si>
    <t>La población en vulnerabilidad cuentan con el conocimiento  y posibilidad de asistir</t>
  </si>
  <si>
    <t>ACTIVIDAD 1.9</t>
  </si>
  <si>
    <t>Personas en situación de vulnerabilidad que recibieron atención psicológica en CDC, y CAETF en 2023</t>
  </si>
  <si>
    <t>Promedio de personas que recibieron servicio de consulta psicológica, en 2023</t>
  </si>
  <si>
    <t>Mide el promedio de cumplimiento en el servicio de consulta psicológica, en 2023</t>
  </si>
  <si>
    <t>Número de personas que recibieron servicio de consulta psicológica durante el 2023/4</t>
  </si>
  <si>
    <t>Número de personas que recibieron servicio de consulta psicológica durante el 2023</t>
  </si>
  <si>
    <t>Trimestral</t>
  </si>
  <si>
    <t>Promedio</t>
  </si>
  <si>
    <t>Expedientes</t>
  </si>
  <si>
    <t>La población tiene conciencia sobre la importancia de la atención psicológica y cuentan con los medios necesarios para asistir al centro.</t>
  </si>
  <si>
    <t>ACTIVIDAD 1.10</t>
  </si>
  <si>
    <t>Sesiones de atención psicológica brindadas en CDC, y CAETF en 2023</t>
  </si>
  <si>
    <t>Porcentaje de sesiones de los servicios de consulta psicológica, en 2023</t>
  </si>
  <si>
    <t>Mide el porcentaje de cumplimiento en el servicio de consulta psicológica, en 2023</t>
  </si>
  <si>
    <t>Número de consultas psicológicas brindadas en CDC y CAEFT durante el 2023/ Número de consultas psicológicas establecidas como meta en CDC y CAEFT para el 2023*100</t>
  </si>
  <si>
    <t>Número de consultas psicológicas brindadas en CDC y CAEFT durante el 2023</t>
  </si>
  <si>
    <t>Número de consultas psicológicas establecidas como meta en CDC y CAEFT para el 2023</t>
  </si>
  <si>
    <t>ACTIVIDAD 1.11</t>
  </si>
  <si>
    <t>Estudios de laboratorio para la detección oportuna de riesgos en la salud realizados, durante el 2023</t>
  </si>
  <si>
    <t>Porcentaje de cumplimiento en la cobertura de servicios de laboratorio, en 2023</t>
  </si>
  <si>
    <t>Mide el porcentaje de cumplimiento en la cobertura de servicios de laboratorio, en 2023</t>
  </si>
  <si>
    <t>Número de estudios laboratoriales realizados durante el 2023/ número de estudios laboratoriales prospectados como meta para el 2023*100</t>
  </si>
  <si>
    <t>Número de estudios laboratoriales realizados durante el 2023</t>
  </si>
  <si>
    <t>Número de estudios laboratoriales prospectados como meta para el 2023</t>
  </si>
  <si>
    <t>Registros de estudios laboratoriales realizados</t>
  </si>
  <si>
    <t>Existe un balance entre el número de personas que requieren el servicio del laboratorio y de la capacidad técnica y humana de los laboratorios.</t>
  </si>
  <si>
    <t>ACTIVIDAD 1.12</t>
  </si>
  <si>
    <t>Usuarios y usuarias recibieron raciones alimenticias en los comedores comunitarios, durante el 2023</t>
  </si>
  <si>
    <t>Promedio de beneficiarios y beneficiarias que recibieron raciones alimenticias al mes, durante el 2023</t>
  </si>
  <si>
    <t>Mide el Promedio de beneficiarios y beneficiarias que recibieron raciones alimenticias al mes, durante el 2023</t>
  </si>
  <si>
    <t>Usuarios y usuarias de comedores comunitarios durante el 2023/ 4</t>
  </si>
  <si>
    <t>Usuarios y usuarias de comedores comunitarios durante el 2023</t>
  </si>
  <si>
    <t>Existen  las condiciones climáticas, la disponibilidad de recursos naturales y la capacidad de los productores y distribuidores de alimentos para adaptarse a situaciones imprevistas.</t>
  </si>
  <si>
    <t>ACTIVIDAD 1.13</t>
  </si>
  <si>
    <t>Entrega de raciones alimenticias en los comedores comunitarios, durante el 2023</t>
  </si>
  <si>
    <t>Porcentaje de cumplimiento en la entrega de raciones alimentarias en comedores comunitarios, durante el 2023</t>
  </si>
  <si>
    <t>Mide el Porcentaje de cumplimiento en la entrega de raciones alimentarias en comedores comunitarios, durante el 2023.</t>
  </si>
  <si>
    <t>Número de raciones alimentarias entregadas en comedores comunitarios durante el 2023/ número de  raciones alimentarias programadas como meta para el 2023*100</t>
  </si>
  <si>
    <t>Número de raciones alimentarias entregadas en comedores comunitarios durante el 2023</t>
  </si>
  <si>
    <t>Número de  raciones alimentarias programadas como meta para el 2023</t>
  </si>
  <si>
    <t>ACTIVIDAD 1.14</t>
  </si>
  <si>
    <t>Usuarios que asistieron a talleres y cursos realizados en CDC e ICAS trimestralmente en 2023</t>
  </si>
  <si>
    <t>Promedio mensual de usuarios que participaron en talleres y cursos realizadas en CDC e ICAS, en 2023</t>
  </si>
  <si>
    <t>Mide el promedio mensual de usuarios en talleres y cursos realizados en CDC e ICAS en 2023</t>
  </si>
  <si>
    <t>Usuarios y usuarias que asistieron a talleres y cursos en 2023 / 4</t>
  </si>
  <si>
    <t xml:space="preserve">Usuarios y usuarias que asistieron a talleres y cursos en 2023 </t>
  </si>
  <si>
    <t>V1: Padrón de beneficiarios/
V2: listas de asistencia</t>
  </si>
  <si>
    <t xml:space="preserve">Los usuarios están dispuestos y tienen la capacidad de asistir a los talleres y cursos ofrecidos por CDC e ICAS. </t>
  </si>
  <si>
    <t>ACTIVIDAD 1.15</t>
  </si>
  <si>
    <t>Talleres y cursos realizados en CDC e ICAS trimestralmente en 2023</t>
  </si>
  <si>
    <t>Promedio mensual de talleres y cursos realizados en CDC e ICAS, en 2023</t>
  </si>
  <si>
    <t>Mide el Promedio mensual de talleres y cursos realizados en CDC e ICAS, en 2023</t>
  </si>
  <si>
    <t>Talleres realizados durante el 2023 / 4</t>
  </si>
  <si>
    <t>Talleres realizados durante el 2023</t>
  </si>
  <si>
    <t>V1: Convocatorias, 
V2: fotografías, 
V3:listas de asistencia</t>
  </si>
  <si>
    <t>Existe una demanda suficiente por parte de la población interesada en participar en estos eventos.</t>
  </si>
  <si>
    <t>ACTIVIDAD 1.16</t>
  </si>
  <si>
    <t>Niñas y niños en condición de vulnerabilidad económica que terminaron ciclo escolar de nivel preescolar en 2023</t>
  </si>
  <si>
    <t>Porcentaje de eficiencia terminal de las niñas y niños que asisten al Preescolar en CDC, en 2023</t>
  </si>
  <si>
    <t>Mide el Porcentaje de eficiencia terminal de las niñas y niños que asisten al Preescolar en CDC, en 2023</t>
  </si>
  <si>
    <t>Número de niñas y niños que terminan su ciclo escolar en CDC durante el 2023/ Número de niñas y niños que ingresan al último ciclo escolar en CDC durante el 2023 *100</t>
  </si>
  <si>
    <t>Número de niñas y niños que terminan su ciclo escolar en CDC durante el 2023</t>
  </si>
  <si>
    <t xml:space="preserve">Número de niñas y niños que ingresan al último ciclo escolar en CDC durante el 2023 </t>
  </si>
  <si>
    <t>Expedientes de niñas y niños que cursan preescolar en los CDC</t>
  </si>
  <si>
    <t>Las familias tienen un mínimo de condiciones de calidad de vida que permite un sano desarrollo de la niña o niño</t>
  </si>
  <si>
    <t>ACTIVIDAD 1.17</t>
  </si>
  <si>
    <t xml:space="preserve"> Grupos de preescolar activos en CDC en 2023</t>
  </si>
  <si>
    <t>Porcentaje de grupos de preescolar activos CDC durante el 2023</t>
  </si>
  <si>
    <t>Mide el Porcentaje de grupos de preescolar activos CDC durante el 2023</t>
  </si>
  <si>
    <t>Grupos de preescolar activos en CDC durante el 2023 / Grupos de preescolar programados en CDC para el 2023* 100</t>
  </si>
  <si>
    <t xml:space="preserve">Grupos de preescolar activos en CDC durante el 2023 </t>
  </si>
  <si>
    <t>Grupos de preescolar programados en CDC para el 2023</t>
  </si>
  <si>
    <t>Listas de asistencia</t>
  </si>
  <si>
    <t>COMPONENTE 2</t>
  </si>
  <si>
    <t>Apoyos asistenciales entregados a población en situación de emergencia, durante el 2023</t>
  </si>
  <si>
    <t>Porcentaje de apoyos asistenciales entregados a población en situación de emergencia , durante el 2023</t>
  </si>
  <si>
    <t>(Número de apoyos asistenciales brindados durante el 2023/ número de apoyos asistenciales solicitados durante el 2023)*100</t>
  </si>
  <si>
    <t>Número de apoyos asistenciales brindados durante el 2023</t>
  </si>
  <si>
    <t>Número de apoyos asistenciales solicitados durante el 2023</t>
  </si>
  <si>
    <t>V1. Evidencia de apoyos asistenciales brindados por Protección Civil V2. listas de entrega</t>
  </si>
  <si>
    <t>Existe un balance entre el número de personas que requieren el apoyo y la capacidad operativa de entrega.</t>
  </si>
  <si>
    <t>ACTIVIDAD 2.1</t>
  </si>
  <si>
    <t>Capacitaciones brindadas a la población abierta y población en condiciones de emergencias, durante el 2023</t>
  </si>
  <si>
    <t>Porcentaje de cumplimiento en las actividades de capacitación del Programa de Atención y Apoyo Asistencial a las Personas Afectadas por Contingencia o Siniestro, en 2023</t>
  </si>
  <si>
    <t>Mide el cumplimiento de las capacitaciones programadas para 2023</t>
  </si>
  <si>
    <t>(Número de actividades de capacitación del Programa de Atención y Apoyo Asistencial a las Personas Afectadas por Contingencia o Siniestro durante el 2023/ Número total  de actividades de capacitación del Programa de Atención y Apoyo Asistencial a las Personas Afectadas por Contingencia o Siniestro programadas para el 2023)*100</t>
  </si>
  <si>
    <t>Número de actividades de capacitación del Programa de Atención y Apoyo Asistencial a las Personas Afectadas por Contingencia o Siniestro durante el 2023</t>
  </si>
  <si>
    <t>Número total  de actividades de capacitación del Programa de Atención y Apoyo Asistencial a las Personas Afectadas por Contingencia o Siniestro programadas para el 2023</t>
  </si>
  <si>
    <t>Listas de asistencia de capacitaciones realizadas</t>
  </si>
  <si>
    <t>Las personas ya cuentan con las capacitaciones y no requieren asistir</t>
  </si>
  <si>
    <t>COMPONENTE 3</t>
  </si>
  <si>
    <t>Atenciones multidisciplinarias realizadas a las personas que viven y/o ejercer violencia familiar en el municipio de Guadalajara, durante el 2023</t>
  </si>
  <si>
    <t xml:space="preserve">Porcentaje de atenciones por expediente abierto realizadas en la UAVIFAM Guadalajara en 2023. </t>
  </si>
  <si>
    <t xml:space="preserve">Mide el porcentaje de atenciones por expediente abierto realizadas en la UAVIFAM Guadalajara en 2023. </t>
  </si>
  <si>
    <t>(Número de atenciones brindadas en UAVIFAM 2023 / Número de atenciones meta en UAVIFAM 2023) *100</t>
  </si>
  <si>
    <t>Número de atenciones brindadas en UAVIFAM 2023</t>
  </si>
  <si>
    <t>Número de atenciones meta en UAVIFAM 2023</t>
  </si>
  <si>
    <t>V1: Expedientes de Violencia familiar aperturados y 
V2: registro de las atenciones</t>
  </si>
  <si>
    <t>La tendencia de violencias en la familia disminuye lo que provoca una menor necesidad de atenciones por parte de los equipos de las UAVIS</t>
  </si>
  <si>
    <t>ACTIVIDAD 3.1</t>
  </si>
  <si>
    <t>Aperturas de expedientes para la atención multidisciplinaria primaria realizadas a las personas que viven y/o ejercen violencia familiar en el Municipio de Guadalajara, durante el 2023</t>
  </si>
  <si>
    <t>Porcentaje de aperturas de expedientes de atenciones multidisciplinarias primarias en UAVIFAM Guadalajara en 2023</t>
  </si>
  <si>
    <t>Mide el Porcentaje de aperturas de expedientes de atenciones multidisciplinarias primarias en UAVIFAM Guadalajara en 2023</t>
  </si>
  <si>
    <t>(Número de expedientes abiertos para la atención multidisciplinaria primaria  en 2023 / Número de expedientes abiertos para la atenciones multidisciplinarias establecidas como meta en UAVIFAM para el 2023) * 100</t>
  </si>
  <si>
    <t xml:space="preserve">Número de expedientes abiertos para la atención multidisciplinaria primaria  en 2023 </t>
  </si>
  <si>
    <t>Número de expedientes abiertos para la atenciones multidisciplinarias establecidas como meta en UAVIFAM para el 2023</t>
  </si>
  <si>
    <t>V1: Expedientes de Violencia familiar aperturados  
V2:registro de las atenciones</t>
  </si>
  <si>
    <t>Los procesos de atención se complejizan lo que provoca un aumento de tiempo en la atención de los casos y en consecuencia una menor capacidad para atender.</t>
  </si>
  <si>
    <t>ACTIVIDAD 3.2</t>
  </si>
  <si>
    <t>Intervención multidisciplinaria de seguimiento a expedientes activos, durante el 2023</t>
  </si>
  <si>
    <t>Porcentaje de atenciones de seguimiento por expediente en UAVIFAM Guadalajara en 2023</t>
  </si>
  <si>
    <t>Mide el Porcentaje de atenciones de seguimiento por expediente en UAVIFAM Guadalajara en 2023</t>
  </si>
  <si>
    <t>(Número de atenciones de seguimiento brindadas en 2023 / Número de atenciones de seguimiento establecidas como meta en UAVIFAM para el 2023) * 100</t>
  </si>
  <si>
    <t>Número de atenciones de seguimiento brindadas en 2023</t>
  </si>
  <si>
    <t>Número de atenciones de seguimiento establecidas como meta en UAVIFAM para el 2023</t>
  </si>
  <si>
    <t>V1: Expediente de violencia familiar</t>
  </si>
  <si>
    <t xml:space="preserve">Se cierran los casos de seguimiento por desistimiento de los usuarios o usuarias que reciben los servicios. </t>
  </si>
  <si>
    <t>86. Desaparecidos</t>
  </si>
  <si>
    <t>COMPONENTE 4</t>
  </si>
  <si>
    <t>Implementación de sesiones grupales de acompañamiento psicosocial y psicoeducativo para las personas usuarias del Programa de Acompañar las Ausencias, durante el 2023</t>
  </si>
  <si>
    <t>Porcentaje de sesiones grupales realizadas en 2023</t>
  </si>
  <si>
    <t>Mide el Porcentaje de sesiones grupales realizadas en 2023</t>
  </si>
  <si>
    <t>(Número de sesiones grupales realizadas durante el 2023/ número de sesiones grupales programadas para el 2023)*100</t>
  </si>
  <si>
    <t>Número de sesiones grupales realizadas durante el 2023</t>
  </si>
  <si>
    <t>número de sesiones grupales programadas para el 2023</t>
  </si>
  <si>
    <t xml:space="preserve">V1: Lista de asistencia 
V2:programación anual de sesiones grupales </t>
  </si>
  <si>
    <t>Disminuyen las sesiones por contingencias sanitarias o falta de espacio para realizar las reuniones de las y los usuarios</t>
  </si>
  <si>
    <t>ACTIVIDAD 4.1</t>
  </si>
  <si>
    <t>Acompañamientos psicosociales para familiares de víctimas indirectas de desaparición brindadas, durante el 2023</t>
  </si>
  <si>
    <t>Promedio de familias que recibieron acompañamientos por parte del Programa de Acompañar las Ausencias, en 2023</t>
  </si>
  <si>
    <t>Mide el Promedio de familias que recibieron acompañamientos por parte del Programa de Acompañar las Ausencias, en 2023</t>
  </si>
  <si>
    <t>Número meta de familias registradas en el Programa de Acompañar las Ausencias durante el 2023 / 4</t>
  </si>
  <si>
    <t>Número meta de familias registradas en el Programa de Acompañar las Ausencias durante el 2023</t>
  </si>
  <si>
    <t>V1: Expedientes y 
V2:bitácora de registro de acompañamientos</t>
  </si>
  <si>
    <t>Disminuyen las solicitudes de personas con un familiar desaparecido lo que provoca una menor cantidad de servicios brindados</t>
  </si>
  <si>
    <t>ACTIVIDAD 4.2</t>
  </si>
  <si>
    <t>A2C4. Familiares de personas desaparcidas atendidas por el programa de Acompañar las Ausencias</t>
  </si>
  <si>
    <t>Porcentaje de la población objetivo del Programa Acompañar las Ausencias que ha asistido a las sesiones grupales de acompañamiento, en 2023</t>
  </si>
  <si>
    <t>Mide el porcentaje de los familiares asistentes de personas desaparecidas  atendidas por el Programa Acompañar las Ausencias que asistieron a las sesiones grupales de acompañamiento, en 2023</t>
  </si>
  <si>
    <t>Número de familiares de personas desaparecidas que asistieron a las sesiones grupales de acompañamiento durante el 2023/Número programado de familiares de personas desaparecidas que asistieron a las sesiones grupales de acompañamiento durante el 2023</t>
  </si>
  <si>
    <t>Número de familiares de personas desaparecidas que asistieron a las sesiones grupales de acompañamiento durante el 2023</t>
  </si>
  <si>
    <t>Número programado de familiares de personas desaparecidas que asistieron a las sesiones grupales de acompañamiento durante el 2023</t>
  </si>
  <si>
    <t>Lista de asistencia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</si>
  <si>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</si>
  <si>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</si>
  <si>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</si>
  <si>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</si>
  <si>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</si>
  <si>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</si>
  <si>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</si>
  <si>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</si>
  <si>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</si>
  <si>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</si>
  <si>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</si>
  <si>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</si>
  <si>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</si>
  <si>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</si>
  <si>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</si>
  <si>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</si>
  <si>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</si>
  <si>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</si>
  <si>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</si>
  <si>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</si>
  <si>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34.4%</t>
  </si>
  <si>
    <t>40%</t>
  </si>
  <si>
    <t>120.2%</t>
  </si>
  <si>
    <t>100%</t>
  </si>
  <si>
    <t>56.8%</t>
  </si>
  <si>
    <t>50%</t>
  </si>
  <si>
    <t>57.7%</t>
  </si>
  <si>
    <t>51.1%</t>
  </si>
  <si>
    <t>51.2%</t>
  </si>
  <si>
    <t>53.6%</t>
  </si>
  <si>
    <t>0%</t>
  </si>
  <si>
    <t>73.3%</t>
  </si>
  <si>
    <t>171.4%</t>
  </si>
  <si>
    <t>49.9%</t>
  </si>
  <si>
    <t>51.6%</t>
  </si>
  <si>
    <t>45.5%</t>
  </si>
  <si>
    <t>41.7%</t>
  </si>
  <si>
    <t>46.4%</t>
  </si>
  <si>
    <t>META</t>
  </si>
  <si>
    <t>ACUMULADO</t>
  </si>
  <si>
    <t>6.2%</t>
  </si>
  <si>
    <t>23.9%</t>
  </si>
  <si>
    <t>69%</t>
  </si>
  <si>
    <t>28.7%</t>
  </si>
  <si>
    <t>25%</t>
  </si>
  <si>
    <t>32.3%</t>
  </si>
  <si>
    <t>27.7%</t>
  </si>
  <si>
    <t>23.7%</t>
  </si>
  <si>
    <t>29.1%</t>
  </si>
  <si>
    <t>0.7%</t>
  </si>
  <si>
    <t>57.1%</t>
  </si>
  <si>
    <t>25.5%</t>
  </si>
  <si>
    <t>25.4%</t>
  </si>
  <si>
    <t>24%</t>
  </si>
  <si>
    <t>Número meta de familias registradas en el Programa de Acompañar las Ausencias durante el 2023 / 12 (Mes en curso)</t>
  </si>
  <si>
    <t>29.2%</t>
  </si>
  <si>
    <t>ANUAL</t>
  </si>
  <si>
    <t>2. Economía Próspera</t>
  </si>
  <si>
    <t>O13. Proteger los derechos y ampliar las oportunidades de desarrollo de los grupos prioritarios</t>
  </si>
  <si>
    <t>1. Guadalajara próspera e incluyente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</si>
  <si>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</si>
  <si>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</si>
  <si>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 xml:space="preserve">L2.6.2 Asistencia, promoción y restitución de derechos a personas y grupos en condición de vulnerabilidad, mediante servicios de salud, nutrición, psicológicos y de habilidades para el trabajo. </t>
  </si>
  <si>
    <t>Promedio del porcentaje de cumplimiento de las metas de los programas que brindan servicios en los CDC durante 2023</t>
  </si>
  <si>
    <t>Mide el promedio del alcance de las metas de los programas que operan en los Centros de Desarrollo Comunitario en 2023</t>
  </si>
  <si>
    <t>Porcentaje de alcance de meta en trabajo social asistencial + en atención médica de primer nivel + en Asistencia Alimentaria y Nutrición + en Atención Odontológica + en Atención psicológica + en Educación preescolar + en Desarrollo de Habilidades + en comedores comunitarios + en laboratorio clínico, durante el 2023 / 9</t>
  </si>
  <si>
    <t>Porcentaje de alcance de meta en trabajo social asistencial + en atención médica de primer nivel + en Asistencia Alimentaria y Nutrición + en Atención Odontológica + en Atención psicológica + en Educación preescolar + en Desarrollo de Habilidades + en comedores comunitarios + en laboratorio clínico, durante el 2023</t>
  </si>
  <si>
    <t>Número de personas que recibieron servicio de consulta psicológica durante el 2023/12 (meses en curso)</t>
  </si>
  <si>
    <t>12 (meses en curso)</t>
  </si>
  <si>
    <t>Usuarios y usuarias de comedores comunitarios durante el 2023/ 12 (mes en curso)</t>
  </si>
  <si>
    <t>12 (mes en curso)</t>
  </si>
  <si>
    <t>Usuarios y usuarias que asistieron a talleres y cursos en 2023 / 12 (meses cursados)</t>
  </si>
  <si>
    <t>12 (meses cursados)</t>
  </si>
  <si>
    <t>Talleres realizados durante el 2023 / 12 (meses cursados)</t>
  </si>
  <si>
    <t>12 (Mes en curso)</t>
  </si>
  <si>
    <t>Mide el porcentaje de los familiares de personas desaparecidas  atendidas por el Programa Acompañar las Ausencias que asistieron a las sesiones grupales de acompañamiento, en 2023</t>
  </si>
  <si>
    <t>Número de familiares de personas desaparecidas que asistieron a las sesiones grupales de acompañamiento durante el 2023/ Número de familiares de personas desaparecidas que asistieron a las sesiones grupales de acompañamiento programadas para el 2023 *100</t>
  </si>
  <si>
    <t xml:space="preserve"> Número de familiares de personas desaparecidas que asistieron a las sesiones grupales de acompañamiento programadas para el 2023 *100</t>
  </si>
  <si>
    <t/>
  </si>
  <si>
    <t>cOMENTARIO</t>
  </si>
  <si>
    <t>SUBIDA</t>
  </si>
  <si>
    <t>Sin comentarios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</si>
  <si>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</si>
  <si>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</si>
  <si>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</si>
  <si>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</si>
  <si>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</si>
  <si>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</si>
  <si>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</si>
  <si>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</si>
  <si>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</si>
  <si>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</si>
  <si>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</si>
  <si>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</si>
  <si>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</si>
  <si>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</si>
  <si>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</si>
  <si>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</si>
  <si>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</si>
  <si>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</si>
  <si>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</si>
  <si>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</si>
  <si>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</si>
  <si>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</si>
  <si>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</si>
  <si>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</si>
  <si>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</si>
  <si>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</si>
  <si>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</si>
  <si>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</si>
  <si>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1. Corriente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</si>
  <si>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</si>
  <si>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</si>
  <si>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</si>
  <si>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</si>
  <si>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</si>
  <si>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</si>
  <si>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</si>
  <si>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</si>
  <si>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</si>
  <si>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</si>
  <si>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</si>
  <si>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</si>
  <si>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</si>
  <si>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</si>
  <si>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</si>
  <si>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</si>
  <si>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</si>
  <si>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</si>
  <si>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</si>
  <si>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</si>
  <si>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</si>
  <si>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</si>
  <si>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</si>
  <si>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</si>
  <si>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</si>
  <si>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</si>
  <si>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</si>
  <si>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</si>
  <si>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</si>
  <si>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</si>
  <si>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</si>
  <si>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</si>
  <si>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</si>
  <si>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</si>
  <si>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</si>
  <si>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</si>
  <si>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</si>
  <si>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</si>
  <si>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</si>
  <si>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</si>
  <si>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</si>
  <si>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</si>
  <si>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</si>
  <si>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</si>
  <si>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</si>
  <si>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</si>
  <si>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</si>
  <si>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</si>
  <si>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</si>
  <si>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</si>
  <si>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</si>
  <si>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</si>
  <si>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</si>
  <si>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</si>
  <si>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</si>
  <si>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</si>
  <si>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</si>
  <si>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</si>
  <si>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</si>
  <si>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</si>
  <si>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</si>
  <si>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</si>
  <si>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</si>
  <si>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</si>
  <si>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</si>
  <si>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</si>
  <si>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</si>
  <si>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</si>
  <si>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</si>
  <si>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</si>
  <si>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</si>
  <si>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</si>
  <si>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</si>
  <si>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</si>
  <si>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</si>
  <si>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</si>
  <si>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</si>
  <si>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</si>
  <si>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</si>
  <si>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</si>
  <si>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</si>
  <si>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</si>
  <si>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</si>
  <si>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</si>
  <si>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</si>
  <si>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</si>
  <si>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</si>
  <si>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</si>
  <si>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</si>
  <si>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</si>
  <si>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</si>
  <si>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</si>
  <si>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</si>
  <si>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</si>
  <si>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</si>
  <si>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</si>
  <si>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</si>
  <si>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</si>
  <si>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</si>
  <si>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</si>
  <si>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</si>
  <si>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</si>
  <si>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</si>
  <si>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</si>
  <si>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</si>
  <si>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</si>
  <si>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</si>
  <si>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</si>
  <si>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</si>
  <si>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</si>
  <si>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</si>
  <si>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</si>
  <si>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</si>
  <si>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</si>
  <si>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</si>
  <si>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</si>
  <si>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</si>
  <si>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</si>
  <si>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</si>
  <si>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</si>
  <si>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</si>
  <si>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</si>
  <si>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</si>
  <si>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</si>
  <si>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</si>
  <si>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</si>
  <si>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</si>
  <si>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</si>
  <si>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</si>
  <si>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</si>
  <si>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</si>
  <si>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</si>
  <si>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</si>
  <si>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</si>
  <si>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</si>
  <si>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</si>
  <si>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</si>
  <si>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</si>
  <si>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</si>
  <si>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</si>
  <si>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</si>
  <si>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</si>
  <si>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</si>
  <si>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</si>
  <si>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</si>
  <si>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</si>
  <si>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</si>
  <si>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</si>
  <si>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</si>
  <si>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</si>
  <si>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</si>
  <si>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</si>
  <si>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</si>
  <si>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</si>
  <si>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</si>
  <si>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</si>
  <si>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</si>
  <si>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</si>
  <si>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</si>
  <si>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</si>
  <si>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</si>
  <si>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</si>
  <si>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</si>
  <si>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</si>
  <si>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</si>
  <si>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</si>
  <si>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</si>
  <si>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</si>
  <si>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</si>
  <si>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</si>
  <si>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</si>
  <si>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</si>
  <si>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</si>
  <si>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</si>
  <si>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</si>
  <si>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</si>
  <si>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</si>
  <si>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</si>
  <si>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</si>
  <si>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</si>
  <si>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</si>
  <si>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</si>
  <si>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</si>
  <si>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</si>
  <si>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</si>
  <si>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</si>
  <si>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</si>
  <si>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</si>
  <si>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</si>
  <si>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</si>
  <si>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</si>
  <si>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</si>
  <si>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</si>
  <si>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</si>
  <si>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</si>
  <si>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</si>
  <si>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</si>
  <si>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</si>
  <si>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</si>
  <si>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</si>
  <si>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</si>
  <si>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</si>
  <si>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</si>
  <si>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</si>
  <si>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</si>
  <si>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</si>
  <si>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</si>
  <si>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</si>
  <si>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</si>
  <si>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</si>
  <si>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</si>
  <si>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</si>
  <si>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</si>
  <si>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</si>
  <si>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</si>
  <si>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</si>
  <si>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</si>
  <si>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</si>
  <si>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</si>
  <si>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</si>
  <si>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</si>
  <si>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</si>
  <si>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</si>
  <si>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</si>
  <si>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</si>
  <si>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</si>
  <si>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</si>
  <si>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</si>
  <si>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</si>
  <si>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</si>
  <si>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</si>
  <si>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</si>
  <si>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</si>
  <si>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</si>
  <si>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</si>
  <si>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</si>
  <si>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</si>
  <si>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</si>
  <si>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</si>
  <si>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</si>
  <si>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</si>
  <si>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</si>
  <si>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</si>
  <si>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</si>
  <si>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</si>
  <si>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</si>
  <si>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</si>
  <si>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</si>
  <si>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</si>
  <si>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</si>
  <si>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</si>
  <si>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</si>
  <si>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</si>
  <si>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</si>
  <si>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</si>
  <si>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</si>
  <si>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</si>
  <si>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</si>
  <si>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</si>
  <si>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</si>
  <si>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</si>
  <si>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</si>
  <si>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</si>
  <si>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</si>
  <si>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</si>
  <si>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</si>
  <si>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</si>
  <si>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</si>
  <si>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</si>
  <si>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</si>
  <si>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</si>
  <si>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</si>
  <si>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</si>
  <si>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</si>
  <si>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</si>
  <si>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</si>
  <si>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</si>
  <si>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</si>
  <si>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</si>
  <si>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</si>
  <si>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</si>
  <si>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</si>
  <si>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</si>
  <si>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</si>
  <si>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</si>
  <si>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</si>
  <si>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</si>
  <si>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</si>
  <si>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</si>
  <si>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</si>
  <si>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</si>
  <si>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</si>
  <si>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</si>
  <si>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</si>
  <si>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</si>
  <si>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</si>
  <si>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</si>
  <si>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</si>
  <si>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</si>
  <si>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</si>
  <si>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</si>
  <si>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</si>
  <si>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</si>
  <si>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</si>
  <si>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</si>
  <si>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</si>
  <si>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</si>
  <si>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</si>
  <si>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</si>
  <si>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</si>
  <si>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</si>
  <si>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</si>
  <si>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</si>
  <si>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</si>
  <si>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</si>
  <si>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</si>
  <si>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</si>
  <si>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</si>
  <si>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</si>
  <si>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</si>
  <si>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</si>
  <si>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</si>
  <si>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</si>
  <si>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</si>
  <si>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</si>
  <si>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</si>
  <si>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</si>
  <si>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</si>
  <si>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</si>
  <si>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</si>
  <si>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</si>
  <si>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</si>
  <si>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</si>
  <si>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</si>
  <si>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</si>
  <si>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</si>
  <si>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</si>
  <si>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</si>
  <si>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</si>
  <si>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</si>
  <si>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</si>
  <si>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</si>
  <si>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</si>
  <si>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</si>
  <si>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</si>
  <si>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</si>
  <si>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</si>
  <si>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</si>
  <si>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</si>
  <si>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</si>
  <si>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</si>
  <si>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</si>
  <si>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</si>
  <si>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</si>
  <si>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</si>
  <si>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</si>
  <si>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</si>
  <si>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</si>
  <si>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</si>
  <si>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</si>
  <si>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</si>
  <si>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</si>
  <si>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</si>
  <si>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</si>
  <si>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</si>
  <si>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</si>
  <si>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</si>
  <si>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</si>
  <si>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</si>
  <si>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</si>
  <si>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</si>
  <si>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</si>
  <si>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</si>
  <si>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</si>
  <si>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</si>
  <si>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</si>
  <si>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</si>
  <si>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</si>
  <si>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</si>
  <si>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</si>
  <si>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</si>
  <si>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</si>
  <si>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</si>
  <si>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</si>
  <si>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</si>
  <si>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</si>
  <si>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</si>
  <si>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</si>
  <si>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</si>
  <si>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</si>
  <si>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</si>
  <si>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</si>
  <si>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</si>
  <si>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</si>
  <si>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</si>
  <si>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</si>
  <si>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</si>
  <si>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</si>
  <si>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</si>
  <si>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</si>
  <si>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</si>
  <si>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</si>
  <si>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</si>
  <si>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</si>
  <si>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</si>
  <si>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</si>
  <si>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</si>
  <si>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</si>
  <si>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</si>
  <si>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</si>
  <si>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</si>
  <si>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</si>
  <si>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</si>
  <si>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</si>
  <si>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</si>
  <si>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</si>
  <si>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</si>
  <si>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</si>
  <si>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</si>
  <si>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</si>
  <si>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</si>
  <si>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</si>
  <si>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</si>
  <si>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</si>
  <si>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</si>
  <si>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</si>
  <si>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</si>
  <si>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</si>
  <si>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</si>
  <si>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</si>
  <si>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</si>
  <si>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</si>
  <si>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</si>
  <si>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</si>
  <si>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</si>
  <si>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</si>
  <si>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</si>
  <si>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</si>
  <si>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</si>
  <si>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</si>
  <si>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</si>
  <si>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</si>
  <si>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</si>
  <si>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</si>
  <si>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</si>
  <si>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</si>
  <si>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</si>
  <si>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</si>
  <si>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</si>
  <si>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</si>
  <si>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</si>
  <si>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</si>
  <si>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</si>
  <si>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</si>
  <si>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</si>
  <si>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</si>
  <si>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</si>
  <si>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</si>
  <si>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</si>
  <si>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</si>
  <si>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</si>
  <si>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</si>
  <si>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</si>
  <si>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</si>
  <si>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</si>
  <si>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</si>
  <si>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</si>
  <si>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</si>
  <si>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</si>
  <si>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</si>
  <si>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</si>
  <si>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</si>
  <si>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</si>
  <si>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</si>
  <si>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</si>
  <si>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</si>
  <si>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</si>
  <si>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</si>
  <si>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</si>
  <si>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</si>
  <si>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</si>
  <si>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</si>
  <si>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</si>
  <si>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</si>
  <si>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</si>
  <si>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A JUNIO</t>
  </si>
  <si>
    <t>META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</si>
</sst>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5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sz val="9"/>
      <color rgb="FF000000"/>
      <name val="&quot;Google Sans Mono&quot;"/>
    </font>
    <font>
      <sz val="11"/>
      <color rgb="FF000000"/>
      <name val="Arial"/>
    </font>
    <font>
      <sz val="11"/>
      <color rgb="FF000000"/>
      <name val="Roboto"/>
    </font>
    <font>
      <b/>
      <sz val="13"/>
      <color theme="1"/>
      <name val="Arial"/>
    </font>
    <font>
      <sz val="11"/>
      <color rgb="FF000000"/>
      <name val="Roboto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3"/>
      <color theme="1"/>
      <name val="Calibri"/>
      <scheme val="minor"/>
    </font>
    <font>
      <b/>
      <sz val="19"/>
      <color theme="1"/>
      <name val="Calibri"/>
      <scheme val="minor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7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2" fillId="2" borderId="7" xfId="0" applyFont="1" applyFill="1" applyBorder="1"/>
    <xf numFmtId="0" fontId="5" fillId="2" borderId="7" xfId="0" applyFont="1" applyFill="1" applyBorder="1"/>
    <xf numFmtId="4" fontId="2" fillId="2" borderId="7" xfId="0" applyNumberFormat="1" applyFont="1" applyFill="1" applyBorder="1"/>
    <xf numFmtId="0" fontId="7" fillId="2" borderId="7" xfId="0" applyFont="1" applyFill="1" applyBorder="1"/>
    <xf numFmtId="0" fontId="8" fillId="2" borderId="0" xfId="0" applyFont="1" applyFill="1"/>
    <xf numFmtId="0" fontId="8" fillId="2" borderId="7" xfId="0" applyFont="1" applyFill="1" applyBorder="1"/>
    <xf numFmtId="4" fontId="8" fillId="2" borderId="7" xfId="0" applyNumberFormat="1" applyFont="1" applyFill="1" applyBorder="1"/>
    <xf numFmtId="0" fontId="2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/>
    <xf numFmtId="0" fontId="8" fillId="5" borderId="0" xfId="0" applyFont="1" applyFill="1"/>
    <xf numFmtId="0" fontId="8" fillId="5" borderId="7" xfId="0" applyFont="1" applyFill="1" applyBorder="1"/>
    <xf numFmtId="0" fontId="11" fillId="6" borderId="0" xfId="0" applyFont="1" applyFill="1" applyAlignment="1">
      <alignment horizontal="center" vertical="center" textRotation="90" wrapText="1"/>
    </xf>
    <xf numFmtId="0" fontId="12" fillId="6" borderId="0" xfId="0" applyFont="1" applyFill="1" applyAlignment="1">
      <alignment horizontal="center" vertical="center" textRotation="90" wrapText="1"/>
    </xf>
    <xf numFmtId="4" fontId="8" fillId="2" borderId="7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0" xfId="0" applyFont="1" applyAlignment="1"/>
    <xf numFmtId="0" fontId="9" fillId="6" borderId="0" xfId="0" applyFont="1" applyFill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0" fontId="9" fillId="6" borderId="16" xfId="0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wrapText="1"/>
    </xf>
    <xf numFmtId="0" fontId="13" fillId="6" borderId="0" xfId="0" applyFont="1" applyFill="1" applyAlignment="1">
      <alignment horizontal="center" wrapText="1"/>
    </xf>
    <xf numFmtId="0" fontId="13" fillId="6" borderId="0" xfId="0" applyFont="1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0" fillId="2" borderId="7" xfId="0" applyFont="1" applyFill="1" applyBorder="1" applyAlignment="1">
      <alignment horizontal="left"/>
    </xf>
    <xf numFmtId="4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2" fillId="0" borderId="0" xfId="0" applyNumberFormat="1" applyFont="1"/>
    <xf numFmtId="0" fontId="6" fillId="0" borderId="0" xfId="0" applyFont="1"/>
    <xf numFmtId="0" fontId="8" fillId="6" borderId="1" xfId="0" applyFont="1" applyFill="1" applyBorder="1" applyAlignment="1"/>
    <xf numFmtId="0" fontId="9" fillId="6" borderId="1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wrapText="1"/>
    </xf>
    <xf numFmtId="10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7" borderId="4" xfId="0" applyFont="1" applyFill="1" applyBorder="1" applyAlignment="1"/>
    <xf numFmtId="0" fontId="8" fillId="2" borderId="0" xfId="0" applyFont="1" applyFill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7" fillId="7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8" fillId="7" borderId="18" xfId="0" applyFont="1" applyFill="1" applyBorder="1" applyAlignment="1"/>
    <xf numFmtId="0" fontId="14" fillId="0" borderId="19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3" fontId="14" fillId="7" borderId="1" xfId="0" applyNumberFormat="1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4" fontId="14" fillId="7" borderId="19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/>
    <xf numFmtId="0" fontId="8" fillId="6" borderId="1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wrapText="1"/>
    </xf>
    <xf numFmtId="0" fontId="19" fillId="7" borderId="1" xfId="0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/>
    </xf>
    <xf numFmtId="4" fontId="14" fillId="0" borderId="1" xfId="0" applyNumberFormat="1" applyFont="1" applyBorder="1"/>
    <xf numFmtId="3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3" fontId="14" fillId="0" borderId="12" xfId="0" applyNumberFormat="1" applyFont="1" applyBorder="1" applyAlignment="1">
      <alignment horizontal="center" wrapText="1"/>
    </xf>
    <xf numFmtId="3" fontId="14" fillId="0" borderId="12" xfId="0" applyNumberFormat="1" applyFont="1" applyBorder="1" applyAlignment="1">
      <alignment horizontal="center" wrapText="1"/>
    </xf>
    <xf numFmtId="2" fontId="14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/>
    <xf numFmtId="0" fontId="8" fillId="2" borderId="0" xfId="0" applyFont="1" applyFill="1" applyAlignment="1">
      <alignment horizontal="left"/>
    </xf>
    <xf numFmtId="0" fontId="8" fillId="2" borderId="7" xfId="0" applyFont="1" applyFill="1" applyBorder="1" applyAlignment="1">
      <alignment horizontal="left"/>
    </xf>
    <xf numFmtId="0" fontId="5" fillId="0" borderId="0" xfId="0" applyFont="1"/>
    <xf numFmtId="0" fontId="9" fillId="4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0" fontId="14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6" fillId="0" borderId="0" xfId="0" applyNumberFormat="1" applyFont="1"/>
    <xf numFmtId="4" fontId="20" fillId="8" borderId="0" xfId="0" applyNumberFormat="1" applyFont="1" applyFill="1"/>
    <xf numFmtId="3" fontId="20" fillId="8" borderId="0" xfId="0" applyNumberFormat="1" applyFont="1" applyFill="1"/>
    <xf numFmtId="0" fontId="15" fillId="7" borderId="0" xfId="0" applyFont="1" applyFill="1"/>
    <xf numFmtId="10" fontId="6" fillId="0" borderId="0" xfId="0" applyNumberFormat="1" applyFont="1"/>
    <xf numFmtId="0" fontId="6" fillId="0" borderId="1" xfId="0" applyFont="1" applyBorder="1" applyAlignment="1">
      <alignment horizontal="center" vertical="center"/>
    </xf>
    <xf numFmtId="3" fontId="15" fillId="7" borderId="0" xfId="0" applyNumberFormat="1" applyFont="1" applyFill="1" applyAlignment="1"/>
    <xf numFmtId="9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4" fontId="14" fillId="7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/>
    <xf numFmtId="4" fontId="2" fillId="0" borderId="12" xfId="0" applyNumberFormat="1" applyFont="1" applyBorder="1" applyAlignment="1"/>
    <xf numFmtId="10" fontId="13" fillId="0" borderId="0" xfId="0" applyNumberFormat="1" applyFont="1" applyAlignment="1">
      <alignment horizontal="center" wrapText="1"/>
    </xf>
    <xf numFmtId="0" fontId="8" fillId="5" borderId="4" xfId="0" applyFont="1" applyFill="1" applyBorder="1" applyAlignment="1"/>
    <xf numFmtId="0" fontId="8" fillId="5" borderId="0" xfId="0" applyFont="1" applyFill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8" fillId="5" borderId="18" xfId="0" applyFont="1" applyFill="1" applyBorder="1" applyAlignment="1"/>
    <xf numFmtId="3" fontId="14" fillId="5" borderId="1" xfId="0" applyNumberFormat="1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 wrapText="1"/>
    </xf>
    <xf numFmtId="0" fontId="8" fillId="0" borderId="18" xfId="0" applyFont="1" applyBorder="1" applyAlignme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10" fontId="14" fillId="5" borderId="0" xfId="0" applyNumberFormat="1" applyFont="1" applyFill="1" applyAlignment="1">
      <alignment horizontal="center" vertical="center" wrapText="1"/>
    </xf>
    <xf numFmtId="0" fontId="14" fillId="0" borderId="12" xfId="0" applyFont="1" applyBorder="1" applyAlignment="1">
      <alignment horizontal="center" wrapText="1"/>
    </xf>
    <xf numFmtId="0" fontId="15" fillId="7" borderId="0" xfId="0" applyFont="1" applyFill="1"/>
    <xf numFmtId="0" fontId="21" fillId="0" borderId="0" xfId="0" applyFont="1"/>
    <xf numFmtId="0" fontId="6" fillId="0" borderId="0" xfId="0" applyFont="1" applyAlignment="1">
      <alignment wrapText="1"/>
    </xf>
    <xf numFmtId="0" fontId="22" fillId="0" borderId="0" xfId="0" applyFont="1"/>
    <xf numFmtId="0" fontId="6" fillId="0" borderId="0" xfId="0" applyFont="1"/>
    <xf numFmtId="0" fontId="2" fillId="9" borderId="0" xfId="0" applyFont="1" applyFill="1" applyAlignment="1">
      <alignment wrapText="1"/>
    </xf>
    <xf numFmtId="0" fontId="2" fillId="7" borderId="0" xfId="0" applyFont="1" applyFill="1" applyAlignment="1"/>
    <xf numFmtId="0" fontId="2" fillId="7" borderId="0" xfId="0" applyFont="1" applyFill="1" applyAlignment="1"/>
    <xf numFmtId="0" fontId="2" fillId="10" borderId="0" xfId="0" applyFont="1" applyFill="1"/>
    <xf numFmtId="0" fontId="2" fillId="7" borderId="0" xfId="0" applyFont="1" applyFill="1"/>
    <xf numFmtId="0" fontId="2" fillId="10" borderId="0" xfId="0" applyFont="1" applyFill="1" applyAlignment="1"/>
    <xf numFmtId="0" fontId="2" fillId="7" borderId="0" xfId="0" applyFont="1" applyFill="1" applyAlignment="1"/>
    <xf numFmtId="0" fontId="6" fillId="0" borderId="0" xfId="0" applyFont="1" applyAlignment="1">
      <alignment wrapText="1"/>
    </xf>
    <xf numFmtId="0" fontId="2" fillId="10" borderId="0" xfId="0" applyFont="1" applyFill="1" applyAlignment="1"/>
    <xf numFmtId="0" fontId="23" fillId="0" borderId="0" xfId="0" applyFont="1" applyAlignment="1">
      <alignment wrapText="1"/>
    </xf>
    <xf numFmtId="0" fontId="2" fillId="5" borderId="0" xfId="0" applyFont="1" applyFill="1" applyAlignment="1"/>
    <xf numFmtId="0" fontId="1" fillId="0" borderId="0" xfId="0" applyFont="1"/>
    <xf numFmtId="0" fontId="1" fillId="0" borderId="1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/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16" fillId="0" borderId="0" xfId="0" applyFont="1" applyAlignment="1"/>
    <xf numFmtId="0" fontId="2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29" xfId="0" applyFont="1" applyBorder="1" applyAlignment="1">
      <alignment horizontal="center" wrapText="1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24" xfId="0" applyFont="1" applyBorder="1" applyAlignment="1">
      <alignment horizontal="left" vertical="center"/>
    </xf>
    <xf numFmtId="0" fontId="2" fillId="0" borderId="18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16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3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textRotation="90" wrapText="1"/>
    </xf>
    <xf numFmtId="0" fontId="4" fillId="0" borderId="14" xfId="0" applyFont="1" applyBorder="1"/>
    <xf numFmtId="0" fontId="12" fillId="6" borderId="13" xfId="0" applyFont="1" applyFill="1" applyBorder="1" applyAlignment="1">
      <alignment horizontal="center" vertical="center" textRotation="90" wrapText="1"/>
    </xf>
    <xf numFmtId="0" fontId="4" fillId="0" borderId="15" xfId="0" applyFont="1" applyBorder="1"/>
    <xf numFmtId="0" fontId="7" fillId="2" borderId="8" xfId="0" applyFont="1" applyFill="1" applyBorder="1" applyAlignment="1">
      <alignment horizontal="center"/>
    </xf>
    <xf numFmtId="0" fontId="4" fillId="0" borderId="9" xfId="0" applyFont="1" applyBorder="1"/>
    <xf numFmtId="0" fontId="9" fillId="0" borderId="10" xfId="0" applyFont="1" applyBorder="1" applyAlignment="1">
      <alignment vertical="center" wrapText="1"/>
    </xf>
    <xf numFmtId="0" fontId="4" fillId="0" borderId="11" xfId="0" applyFont="1" applyBorder="1"/>
    <xf numFmtId="0" fontId="4" fillId="0" borderId="12" xfId="0" applyFont="1" applyBorder="1"/>
    <xf numFmtId="0" fontId="8" fillId="0" borderId="10" xfId="0" applyFont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9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8" fontId="8" fillId="0" borderId="11" xfId="0" applyNumberFormat="1" applyFont="1" applyBorder="1" applyAlignment="1">
      <alignment horizontal="left" vertical="center"/>
    </xf>
    <xf numFmtId="164" fontId="8" fillId="2" borderId="10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8" fillId="2" borderId="10" xfId="0" applyFont="1" applyFill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32" xfId="0" applyFont="1" applyBorder="1"/>
    <xf numFmtId="0" fontId="2" fillId="0" borderId="25" xfId="0" applyFont="1" applyBorder="1" applyAlignment="1">
      <alignment horizontal="center" vertical="center" wrapText="1"/>
    </xf>
    <xf numFmtId="0" fontId="4" fillId="0" borderId="26" xfId="0" applyFont="1" applyBorder="1"/>
    <xf numFmtId="0" fontId="4" fillId="0" borderId="28" xfId="0" applyFont="1" applyBorder="1"/>
    <xf numFmtId="0" fontId="4" fillId="0" borderId="33" xfId="0" applyFont="1" applyBorder="1"/>
    <xf numFmtId="0" fontId="2" fillId="0" borderId="25" xfId="0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Subida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finproposito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Z1000" headerRowCount="0">
  <tableColumns count="2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</tableColumns>
  <tableStyleInfo name="Subid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1000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finproposito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9"/>
  <sheetViews>
    <sheetView tabSelected="1" workbookViewId="0">
      <selection activeCell="P60" sqref="P60"/>
    </sheetView>
  </sheetViews>
  <sheetFormatPr baseColWidth="10" defaultColWidth="14.44140625" defaultRowHeight="15" customHeight="1"/>
  <cols>
    <col min="1" max="1" width="7" customWidth="1"/>
    <col min="2" max="2" width="17.88671875" customWidth="1"/>
    <col min="3" max="3" width="51.33203125" customWidth="1"/>
    <col min="4" max="4" width="25.109375" customWidth="1"/>
    <col min="5" max="5" width="26.88671875" customWidth="1"/>
    <col min="6" max="6" width="22.5546875" customWidth="1"/>
    <col min="7" max="7" width="21.6640625" customWidth="1"/>
    <col min="8" max="8" width="21.109375" customWidth="1"/>
    <col min="9" max="9" width="29" customWidth="1"/>
    <col min="10" max="10" width="25.5546875" customWidth="1"/>
    <col min="11" max="11" width="29.88671875" customWidth="1"/>
    <col min="12" max="12" width="20.88671875" customWidth="1"/>
    <col min="13" max="13" width="21.33203125" customWidth="1"/>
    <col min="14" max="14" width="19.5546875" customWidth="1"/>
    <col min="15" max="15" width="19.44140625" customWidth="1"/>
    <col min="16" max="16" width="18.5546875" customWidth="1"/>
    <col min="17" max="17" width="23" customWidth="1"/>
    <col min="18" max="18" width="18.88671875" customWidth="1"/>
  </cols>
  <sheetData>
    <row r="1" spans="1:18" ht="15.6">
      <c r="A1" s="2"/>
      <c r="B1" s="3"/>
      <c r="C1" s="3"/>
      <c r="D1" s="4"/>
      <c r="E1" s="4"/>
      <c r="F1" s="4"/>
      <c r="G1" s="4"/>
      <c r="H1" s="4"/>
      <c r="I1" s="3"/>
      <c r="J1" s="5"/>
      <c r="K1" s="5"/>
      <c r="L1" s="3"/>
      <c r="M1" s="3"/>
      <c r="N1" s="5"/>
      <c r="O1" s="5"/>
      <c r="P1" s="5"/>
      <c r="Q1" s="3"/>
      <c r="R1" s="3"/>
    </row>
    <row r="2" spans="1:18" ht="15.6">
      <c r="A2" s="2"/>
      <c r="B2" s="3"/>
      <c r="C2" s="3"/>
      <c r="D2" s="4"/>
      <c r="E2" s="4"/>
      <c r="F2" s="4"/>
      <c r="G2" s="4"/>
      <c r="H2" s="4"/>
      <c r="I2" s="3"/>
      <c r="J2" s="5"/>
      <c r="K2" s="5"/>
      <c r="L2" s="3"/>
      <c r="M2" s="3"/>
      <c r="N2" s="5"/>
      <c r="O2" s="5"/>
      <c r="P2" s="5"/>
      <c r="Q2" s="3"/>
      <c r="R2" s="3"/>
    </row>
    <row r="3" spans="1:18" ht="15.6">
      <c r="A3" s="2"/>
      <c r="B3" s="3"/>
      <c r="C3" s="3"/>
      <c r="D3" s="4"/>
      <c r="E3" s="4"/>
      <c r="F3" s="4"/>
      <c r="G3" s="4"/>
      <c r="H3" s="4"/>
      <c r="I3" s="3"/>
      <c r="J3" s="5"/>
      <c r="K3" s="5"/>
      <c r="L3" s="3"/>
      <c r="M3" s="3"/>
      <c r="N3" s="5"/>
      <c r="O3" s="5"/>
      <c r="P3" s="5"/>
      <c r="Q3" s="3"/>
      <c r="R3" s="3"/>
    </row>
    <row r="4" spans="1:18" ht="15.6">
      <c r="A4" s="2"/>
      <c r="B4" s="3"/>
      <c r="C4" s="3"/>
      <c r="D4" s="200" t="s">
        <v>0</v>
      </c>
      <c r="E4" s="201"/>
      <c r="F4" s="201"/>
      <c r="G4" s="201"/>
      <c r="H4" s="201"/>
      <c r="I4" s="3"/>
      <c r="J4" s="5"/>
      <c r="K4" s="5"/>
      <c r="L4" s="3"/>
      <c r="M4" s="3"/>
      <c r="N4" s="5"/>
      <c r="O4" s="5"/>
      <c r="P4" s="5"/>
      <c r="Q4" s="3"/>
      <c r="R4" s="3"/>
    </row>
    <row r="5" spans="1:18" ht="15.6">
      <c r="A5" s="2"/>
      <c r="B5" s="3"/>
      <c r="C5" s="3"/>
      <c r="D5" s="200" t="s">
        <v>1</v>
      </c>
      <c r="E5" s="201"/>
      <c r="F5" s="201"/>
      <c r="G5" s="201"/>
      <c r="H5" s="201"/>
      <c r="I5" s="3"/>
      <c r="J5" s="5"/>
      <c r="K5" s="5"/>
      <c r="L5" s="3"/>
      <c r="M5" s="3"/>
      <c r="N5" s="5"/>
      <c r="O5" s="5"/>
      <c r="P5" s="5"/>
      <c r="Q5" s="3"/>
      <c r="R5" s="3"/>
    </row>
    <row r="6" spans="1:18" ht="15.6">
      <c r="A6" s="2"/>
      <c r="B6" s="3"/>
      <c r="C6" s="3"/>
      <c r="D6" s="200" t="s">
        <v>2</v>
      </c>
      <c r="E6" s="201"/>
      <c r="F6" s="201"/>
      <c r="G6" s="201"/>
      <c r="H6" s="201"/>
      <c r="I6" s="3"/>
      <c r="J6" s="5"/>
      <c r="K6" s="5"/>
      <c r="L6" s="3"/>
      <c r="M6" s="3"/>
      <c r="N6" s="5"/>
      <c r="O6" s="5"/>
      <c r="P6" s="5"/>
      <c r="Q6" s="3"/>
      <c r="R6" s="3"/>
    </row>
    <row r="7" spans="1:18" ht="15.6">
      <c r="A7" s="2"/>
      <c r="B7" s="3"/>
      <c r="C7" s="3"/>
      <c r="D7" s="200"/>
      <c r="E7" s="201"/>
      <c r="F7" s="201"/>
      <c r="G7" s="201"/>
      <c r="H7" s="201"/>
      <c r="I7" s="3"/>
      <c r="J7" s="5"/>
      <c r="K7" s="5"/>
      <c r="L7" s="3"/>
      <c r="M7" s="3"/>
      <c r="N7" s="5"/>
      <c r="O7" s="5"/>
      <c r="P7" s="5"/>
      <c r="Q7" s="3"/>
      <c r="R7" s="3"/>
    </row>
    <row r="8" spans="1:18" ht="15.6">
      <c r="A8" s="2"/>
      <c r="B8" s="3"/>
      <c r="C8" s="3"/>
      <c r="D8" s="6"/>
      <c r="E8" s="6"/>
      <c r="F8" s="6"/>
      <c r="G8" s="6"/>
      <c r="H8" s="6"/>
      <c r="I8" s="3"/>
      <c r="J8" s="5"/>
      <c r="K8" s="5"/>
      <c r="L8" s="3"/>
      <c r="M8" s="3"/>
      <c r="N8" s="5"/>
      <c r="O8" s="5"/>
      <c r="P8" s="5"/>
      <c r="Q8" s="3"/>
      <c r="R8" s="3"/>
    </row>
    <row r="9" spans="1:18" ht="15.6">
      <c r="A9" s="2"/>
      <c r="B9" s="3"/>
      <c r="C9" s="3"/>
      <c r="D9" s="4"/>
      <c r="E9" s="4"/>
      <c r="F9" s="4"/>
      <c r="G9" s="4"/>
      <c r="H9" s="4"/>
      <c r="I9" s="3"/>
      <c r="J9" s="5"/>
      <c r="K9" s="5"/>
      <c r="L9" s="3"/>
      <c r="M9" s="3"/>
      <c r="N9" s="5"/>
      <c r="O9" s="5"/>
      <c r="P9" s="5"/>
      <c r="Q9" s="3"/>
      <c r="R9" s="3"/>
    </row>
    <row r="10" spans="1:18" ht="15.6">
      <c r="A10" s="2"/>
      <c r="B10" s="3"/>
      <c r="C10" s="3"/>
      <c r="D10" s="4"/>
      <c r="E10" s="4"/>
      <c r="F10" s="4"/>
      <c r="G10" s="4"/>
      <c r="H10" s="4"/>
      <c r="I10" s="3"/>
      <c r="J10" s="5"/>
      <c r="K10" s="5"/>
      <c r="L10" s="3"/>
      <c r="M10" s="3"/>
      <c r="N10" s="5"/>
      <c r="O10" s="5"/>
      <c r="P10" s="5"/>
      <c r="Q10" s="3"/>
      <c r="R10" s="3"/>
    </row>
    <row r="11" spans="1:18" ht="15.6">
      <c r="A11" s="2"/>
      <c r="B11" s="3"/>
      <c r="C11" s="3"/>
      <c r="D11" s="4"/>
      <c r="E11" s="4"/>
      <c r="F11" s="4"/>
      <c r="G11" s="4"/>
      <c r="H11" s="4"/>
      <c r="I11" s="3"/>
      <c r="J11" s="5"/>
      <c r="K11" s="5"/>
      <c r="L11" s="3"/>
      <c r="M11" s="3"/>
      <c r="N11" s="5"/>
      <c r="O11" s="5"/>
      <c r="P11" s="5"/>
      <c r="Q11" s="3"/>
      <c r="R11" s="3"/>
    </row>
    <row r="12" spans="1:18" ht="15.6">
      <c r="A12" s="7"/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9"/>
      <c r="O12" s="9"/>
      <c r="P12" s="9"/>
      <c r="Q12" s="8"/>
      <c r="R12" s="8"/>
    </row>
    <row r="13" spans="1:18" ht="15.6">
      <c r="A13" s="7"/>
      <c r="B13" s="8"/>
      <c r="C13" s="11" t="s">
        <v>3</v>
      </c>
      <c r="D13" s="202" t="s">
        <v>4</v>
      </c>
      <c r="E13" s="203"/>
      <c r="F13" s="203"/>
      <c r="G13" s="203"/>
      <c r="H13" s="204"/>
      <c r="I13" s="12"/>
      <c r="J13" s="9"/>
      <c r="K13" s="9"/>
      <c r="L13" s="8"/>
      <c r="M13" s="8"/>
      <c r="N13" s="9"/>
      <c r="O13" s="9"/>
      <c r="P13" s="9"/>
      <c r="Q13" s="8"/>
      <c r="R13" s="8"/>
    </row>
    <row r="14" spans="1:18" ht="15.6">
      <c r="A14" s="7"/>
      <c r="B14" s="8"/>
      <c r="C14" s="11" t="s">
        <v>5</v>
      </c>
      <c r="D14" s="205" t="s">
        <v>6</v>
      </c>
      <c r="E14" s="203"/>
      <c r="F14" s="203"/>
      <c r="G14" s="203"/>
      <c r="H14" s="204"/>
      <c r="I14" s="13" t="s">
        <v>7</v>
      </c>
      <c r="J14" s="9"/>
      <c r="K14" s="9"/>
      <c r="L14" s="8"/>
      <c r="M14" s="8"/>
      <c r="N14" s="9"/>
      <c r="O14" s="9"/>
      <c r="P14" s="9"/>
      <c r="Q14" s="8"/>
      <c r="R14" s="8"/>
    </row>
    <row r="15" spans="1:18" ht="15.6">
      <c r="A15" s="7"/>
      <c r="B15" s="8"/>
      <c r="C15" s="11" t="s">
        <v>8</v>
      </c>
      <c r="D15" s="205" t="s">
        <v>9</v>
      </c>
      <c r="E15" s="203"/>
      <c r="F15" s="203"/>
      <c r="G15" s="203"/>
      <c r="H15" s="204"/>
      <c r="I15" s="13" t="s">
        <v>7</v>
      </c>
      <c r="J15" s="9"/>
      <c r="K15" s="9"/>
      <c r="L15" s="8"/>
      <c r="M15" s="8"/>
      <c r="N15" s="9"/>
      <c r="O15" s="9"/>
      <c r="P15" s="9"/>
      <c r="Q15" s="8"/>
      <c r="R15" s="8"/>
    </row>
    <row r="16" spans="1:18" ht="60">
      <c r="A16" s="7"/>
      <c r="B16" s="8"/>
      <c r="C16" s="11" t="s">
        <v>10</v>
      </c>
      <c r="D16" s="205" t="s">
        <v>11</v>
      </c>
      <c r="E16" s="203"/>
      <c r="F16" s="203"/>
      <c r="G16" s="203"/>
      <c r="H16" s="204"/>
      <c r="I16" s="14" t="s">
        <v>12</v>
      </c>
      <c r="J16" s="9"/>
      <c r="K16" s="9"/>
      <c r="L16" s="8"/>
      <c r="M16" s="8"/>
      <c r="N16" s="9"/>
      <c r="O16" s="9"/>
      <c r="P16" s="9"/>
      <c r="Q16" s="8"/>
      <c r="R16" s="8"/>
    </row>
    <row r="17" spans="1:18" ht="15.6">
      <c r="A17" s="7"/>
      <c r="B17" s="8"/>
      <c r="C17" s="11" t="s">
        <v>13</v>
      </c>
      <c r="D17" s="205" t="s">
        <v>14</v>
      </c>
      <c r="E17" s="203"/>
      <c r="F17" s="203"/>
      <c r="G17" s="203"/>
      <c r="H17" s="204"/>
      <c r="I17" s="13" t="s">
        <v>7</v>
      </c>
      <c r="J17" s="9"/>
      <c r="K17" s="9"/>
      <c r="L17" s="8"/>
      <c r="M17" s="8"/>
      <c r="N17" s="9"/>
      <c r="O17" s="9"/>
      <c r="P17" s="9"/>
      <c r="Q17" s="8"/>
      <c r="R17" s="8"/>
    </row>
    <row r="18" spans="1:18" ht="15.6">
      <c r="A18" s="15"/>
      <c r="B18" s="15"/>
      <c r="C18" s="11" t="s">
        <v>15</v>
      </c>
      <c r="D18" s="205" t="s">
        <v>16</v>
      </c>
      <c r="E18" s="203"/>
      <c r="F18" s="203"/>
      <c r="G18" s="203"/>
      <c r="H18" s="204"/>
      <c r="I18" s="13" t="s">
        <v>7</v>
      </c>
      <c r="J18" s="9"/>
      <c r="K18" s="9"/>
      <c r="L18" s="8"/>
      <c r="M18" s="8"/>
      <c r="N18" s="9"/>
      <c r="O18" s="9"/>
      <c r="P18" s="9"/>
      <c r="Q18" s="8"/>
      <c r="R18" s="8"/>
    </row>
    <row r="19" spans="1:18" ht="15.6" hidden="1">
      <c r="A19" s="16"/>
      <c r="B19" s="17"/>
      <c r="C19" s="11" t="s">
        <v>17</v>
      </c>
      <c r="D19" s="205"/>
      <c r="E19" s="203"/>
      <c r="F19" s="203"/>
      <c r="G19" s="203"/>
      <c r="H19" s="204"/>
      <c r="I19" s="12"/>
      <c r="J19" s="9"/>
      <c r="K19" s="9"/>
      <c r="L19" s="8"/>
      <c r="M19" s="8"/>
      <c r="N19" s="9"/>
      <c r="O19" s="9"/>
      <c r="P19" s="9"/>
      <c r="Q19" s="8"/>
      <c r="R19" s="8"/>
    </row>
    <row r="20" spans="1:18" ht="15.6">
      <c r="C20" s="11" t="s">
        <v>17</v>
      </c>
      <c r="D20" s="205" t="s">
        <v>18</v>
      </c>
      <c r="E20" s="203"/>
      <c r="F20" s="203"/>
      <c r="G20" s="203"/>
      <c r="H20" s="204"/>
      <c r="I20" s="13" t="s">
        <v>7</v>
      </c>
      <c r="J20" s="9"/>
      <c r="K20" s="9"/>
      <c r="L20" s="8"/>
      <c r="M20" s="8"/>
      <c r="N20" s="9"/>
      <c r="O20" s="9"/>
      <c r="P20" s="9"/>
      <c r="Q20" s="8"/>
      <c r="R20" s="8"/>
    </row>
    <row r="21" spans="1:18" ht="15.6">
      <c r="A21" s="18"/>
      <c r="B21" s="196" t="s">
        <v>19</v>
      </c>
      <c r="C21" s="11" t="s">
        <v>20</v>
      </c>
      <c r="D21" s="205" t="s">
        <v>21</v>
      </c>
      <c r="E21" s="203"/>
      <c r="F21" s="203"/>
      <c r="G21" s="203"/>
      <c r="H21" s="204"/>
      <c r="I21" s="13" t="s">
        <v>7</v>
      </c>
      <c r="K21" s="9"/>
      <c r="L21" s="8"/>
      <c r="M21" s="8"/>
      <c r="N21" s="9"/>
      <c r="O21" s="9"/>
      <c r="P21" s="9"/>
      <c r="Q21" s="8"/>
      <c r="R21" s="8"/>
    </row>
    <row r="22" spans="1:18" ht="15.6">
      <c r="A22" s="18"/>
      <c r="B22" s="197"/>
      <c r="C22" s="11" t="s">
        <v>22</v>
      </c>
      <c r="D22" s="205" t="s">
        <v>23</v>
      </c>
      <c r="E22" s="203"/>
      <c r="F22" s="203"/>
      <c r="G22" s="203"/>
      <c r="H22" s="204"/>
      <c r="I22" s="13" t="s">
        <v>7</v>
      </c>
      <c r="J22" s="9"/>
      <c r="K22" s="9"/>
      <c r="L22" s="8"/>
      <c r="M22" s="8"/>
      <c r="N22" s="9"/>
      <c r="O22" s="9"/>
      <c r="P22" s="9"/>
      <c r="Q22" s="8"/>
      <c r="R22" s="8"/>
    </row>
    <row r="23" spans="1:18" ht="15.6">
      <c r="A23" s="19"/>
      <c r="B23" s="198" t="s">
        <v>24</v>
      </c>
      <c r="C23" s="11" t="s">
        <v>25</v>
      </c>
      <c r="D23" s="205" t="s">
        <v>26</v>
      </c>
      <c r="E23" s="203"/>
      <c r="F23" s="203"/>
      <c r="G23" s="203"/>
      <c r="H23" s="204"/>
      <c r="I23" s="13" t="s">
        <v>7</v>
      </c>
      <c r="J23" s="9"/>
      <c r="K23" s="9"/>
      <c r="L23" s="8"/>
      <c r="M23" s="8"/>
      <c r="N23" s="9"/>
      <c r="O23" s="9"/>
      <c r="P23" s="9"/>
      <c r="Q23" s="8"/>
      <c r="R23" s="8"/>
    </row>
    <row r="24" spans="1:18" ht="31.2">
      <c r="A24" s="19"/>
      <c r="B24" s="199"/>
      <c r="C24" s="11" t="s">
        <v>27</v>
      </c>
      <c r="D24" s="205" t="s">
        <v>28</v>
      </c>
      <c r="E24" s="203"/>
      <c r="F24" s="203"/>
      <c r="G24" s="203"/>
      <c r="H24" s="204"/>
      <c r="I24" s="13" t="s">
        <v>7</v>
      </c>
      <c r="J24" s="9"/>
      <c r="K24" s="9"/>
      <c r="L24" s="8"/>
      <c r="M24" s="8"/>
      <c r="N24" s="9"/>
      <c r="O24" s="9"/>
      <c r="P24" s="9"/>
      <c r="Q24" s="8"/>
      <c r="R24" s="8"/>
    </row>
    <row r="25" spans="1:18" ht="15.6">
      <c r="A25" s="19"/>
      <c r="B25" s="198" t="s">
        <v>29</v>
      </c>
      <c r="C25" s="11" t="s">
        <v>30</v>
      </c>
      <c r="D25" s="205" t="s">
        <v>31</v>
      </c>
      <c r="E25" s="203"/>
      <c r="F25" s="203"/>
      <c r="G25" s="203"/>
      <c r="H25" s="204"/>
      <c r="I25" s="13" t="s">
        <v>7</v>
      </c>
      <c r="J25" s="9"/>
      <c r="K25" s="9"/>
      <c r="L25" s="8"/>
      <c r="M25" s="8"/>
      <c r="N25" s="9"/>
      <c r="O25" s="9"/>
      <c r="P25" s="9"/>
      <c r="Q25" s="8"/>
      <c r="R25" s="8"/>
    </row>
    <row r="26" spans="1:18" ht="15.6">
      <c r="A26" s="19"/>
      <c r="B26" s="197"/>
      <c r="C26" s="11" t="s">
        <v>32</v>
      </c>
      <c r="D26" s="205" t="s">
        <v>33</v>
      </c>
      <c r="E26" s="203"/>
      <c r="F26" s="203"/>
      <c r="G26" s="203"/>
      <c r="H26" s="204"/>
      <c r="I26" s="13" t="s">
        <v>7</v>
      </c>
      <c r="J26" s="9"/>
      <c r="K26" s="9"/>
      <c r="L26" s="8"/>
      <c r="M26" s="8"/>
      <c r="N26" s="9"/>
      <c r="O26" s="9"/>
      <c r="P26" s="9"/>
      <c r="Q26" s="8"/>
      <c r="R26" s="8"/>
    </row>
    <row r="27" spans="1:18" ht="15.6">
      <c r="A27" s="19"/>
      <c r="B27" s="197"/>
      <c r="C27" s="11" t="s">
        <v>34</v>
      </c>
      <c r="D27" s="205" t="s">
        <v>35</v>
      </c>
      <c r="E27" s="203"/>
      <c r="F27" s="203"/>
      <c r="G27" s="203"/>
      <c r="H27" s="204"/>
      <c r="I27" s="13" t="s">
        <v>7</v>
      </c>
      <c r="J27" s="9"/>
      <c r="K27" s="9"/>
      <c r="L27" s="8"/>
      <c r="M27" s="8"/>
      <c r="N27" s="9"/>
      <c r="O27" s="9"/>
      <c r="P27" s="9"/>
      <c r="Q27" s="8"/>
      <c r="R27" s="8"/>
    </row>
    <row r="28" spans="1:18" ht="15.6">
      <c r="A28" s="19"/>
      <c r="B28" s="197"/>
      <c r="C28" s="11" t="s">
        <v>36</v>
      </c>
      <c r="D28" s="205" t="s">
        <v>37</v>
      </c>
      <c r="E28" s="203"/>
      <c r="F28" s="203"/>
      <c r="G28" s="203"/>
      <c r="H28" s="204"/>
      <c r="I28" s="8"/>
      <c r="J28" s="9"/>
      <c r="K28" s="9"/>
      <c r="L28" s="8"/>
      <c r="M28" s="8"/>
      <c r="N28" s="9"/>
      <c r="O28" s="20"/>
      <c r="P28" s="20"/>
      <c r="Q28" s="8"/>
      <c r="R28" s="8"/>
    </row>
    <row r="29" spans="1:18" ht="31.2">
      <c r="A29" s="15"/>
      <c r="B29" s="15"/>
      <c r="C29" s="11" t="s">
        <v>38</v>
      </c>
      <c r="D29" s="214" t="s">
        <v>39</v>
      </c>
      <c r="E29" s="203"/>
      <c r="F29" s="203"/>
      <c r="G29" s="203"/>
      <c r="H29" s="203"/>
      <c r="I29" s="8"/>
      <c r="J29" s="9"/>
      <c r="K29" s="9"/>
      <c r="L29" s="8"/>
      <c r="M29" s="8"/>
      <c r="N29" s="9"/>
      <c r="O29" s="20"/>
      <c r="P29" s="20"/>
      <c r="Q29" s="8"/>
      <c r="R29" s="8"/>
    </row>
    <row r="30" spans="1:18" ht="15.6">
      <c r="A30" s="15"/>
      <c r="B30" s="15"/>
      <c r="C30" s="21" t="s">
        <v>40</v>
      </c>
      <c r="D30" s="215"/>
      <c r="E30" s="203"/>
      <c r="F30" s="203"/>
      <c r="G30" s="203"/>
      <c r="H30" s="204"/>
      <c r="I30" s="12"/>
      <c r="J30" s="9"/>
      <c r="K30" s="9"/>
      <c r="L30" s="8"/>
      <c r="M30" s="8"/>
      <c r="N30" s="9"/>
      <c r="O30" s="9"/>
      <c r="P30" s="9"/>
      <c r="Q30" s="8"/>
      <c r="R30" s="8"/>
    </row>
    <row r="31" spans="1:18" ht="15.6">
      <c r="A31" s="7"/>
      <c r="B31" s="8"/>
      <c r="C31" s="8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62.4">
      <c r="A32" s="25"/>
      <c r="B32" s="26" t="s">
        <v>42</v>
      </c>
      <c r="C32" s="27" t="s">
        <v>43</v>
      </c>
      <c r="D32" s="21" t="s">
        <v>44</v>
      </c>
      <c r="E32" s="21" t="s">
        <v>45</v>
      </c>
      <c r="F32" s="21" t="s">
        <v>46</v>
      </c>
      <c r="G32" s="21" t="s">
        <v>47</v>
      </c>
      <c r="H32" s="21" t="s">
        <v>48</v>
      </c>
      <c r="I32" s="21" t="s">
        <v>49</v>
      </c>
      <c r="J32" s="28" t="s">
        <v>50</v>
      </c>
      <c r="K32" s="28" t="s">
        <v>51</v>
      </c>
      <c r="L32" s="21" t="s">
        <v>52</v>
      </c>
      <c r="M32" s="21" t="s">
        <v>53</v>
      </c>
      <c r="N32" s="28" t="s">
        <v>54</v>
      </c>
      <c r="O32" s="28" t="s">
        <v>55</v>
      </c>
      <c r="P32" s="28" t="s">
        <v>916</v>
      </c>
      <c r="Q32" s="21" t="s">
        <v>57</v>
      </c>
      <c r="R32" s="21" t="s">
        <v>58</v>
      </c>
    </row>
    <row r="33" spans="1:18" ht="303.60000000000002">
      <c r="B33" s="8"/>
      <c r="C33" s="11" t="s">
        <v>74</v>
      </c>
      <c r="D33" s="32" t="s">
        <v>75</v>
      </c>
      <c r="E33" s="32" t="s">
        <v>76</v>
      </c>
      <c r="F33" s="32" t="s">
        <v>77</v>
      </c>
      <c r="G33" s="33" t="s">
        <v>78</v>
      </c>
      <c r="H33" s="33" t="s">
        <v>79</v>
      </c>
      <c r="I33" s="32" t="s">
        <v>80</v>
      </c>
      <c r="J33" s="34" t="s">
        <v>81</v>
      </c>
      <c r="K33" s="34" t="s">
        <v>82</v>
      </c>
      <c r="L33" s="53" t="s">
        <v>83</v>
      </c>
      <c r="M33" s="53" t="s">
        <v>84</v>
      </c>
      <c r="N33" s="106" t="s">
        <v>85</v>
      </c>
      <c r="O33" s="36">
        <v>37931</v>
      </c>
      <c r="P33" s="97" t="s">
        <v>917</v>
      </c>
      <c r="Q33" s="53" t="s">
        <v>86</v>
      </c>
      <c r="R33" s="32" t="s">
        <v>87</v>
      </c>
    </row>
    <row r="34" spans="1:18" ht="179.4">
      <c r="B34" s="39" t="s">
        <v>7</v>
      </c>
      <c r="C34" s="11" t="s">
        <v>88</v>
      </c>
      <c r="D34" s="32" t="s">
        <v>89</v>
      </c>
      <c r="E34" s="32" t="s">
        <v>90</v>
      </c>
      <c r="F34" s="32" t="s">
        <v>91</v>
      </c>
      <c r="G34" s="33" t="s">
        <v>92</v>
      </c>
      <c r="H34" s="33" t="s">
        <v>79</v>
      </c>
      <c r="I34" s="32" t="s">
        <v>93</v>
      </c>
      <c r="J34" s="40" t="s">
        <v>94</v>
      </c>
      <c r="K34" s="41" t="s">
        <v>95</v>
      </c>
      <c r="L34" s="53" t="s">
        <v>83</v>
      </c>
      <c r="M34" s="53" t="s">
        <v>84</v>
      </c>
      <c r="N34" s="106" t="s">
        <v>85</v>
      </c>
      <c r="O34" s="104">
        <v>1505457</v>
      </c>
      <c r="P34" s="97" t="s">
        <v>917</v>
      </c>
      <c r="Q34" s="53" t="s">
        <v>96</v>
      </c>
      <c r="R34" s="32" t="s">
        <v>97</v>
      </c>
    </row>
    <row r="35" spans="1:18" ht="179.4">
      <c r="B35" s="45" t="s">
        <v>98</v>
      </c>
      <c r="C35" s="46" t="s">
        <v>99</v>
      </c>
      <c r="D35" s="32" t="s">
        <v>100</v>
      </c>
      <c r="E35" s="32" t="s">
        <v>101</v>
      </c>
      <c r="F35" s="32" t="s">
        <v>102</v>
      </c>
      <c r="G35" s="32" t="s">
        <v>103</v>
      </c>
      <c r="H35" s="32" t="s">
        <v>79</v>
      </c>
      <c r="I35" s="32" t="s">
        <v>104</v>
      </c>
      <c r="J35" s="32" t="s">
        <v>105</v>
      </c>
      <c r="K35" s="47" t="s">
        <v>106</v>
      </c>
      <c r="L35" s="53" t="s">
        <v>107</v>
      </c>
      <c r="M35" s="53" t="s">
        <v>108</v>
      </c>
      <c r="N35" s="53" t="s">
        <v>85</v>
      </c>
      <c r="O35" s="37">
        <v>9</v>
      </c>
      <c r="P35" s="97">
        <v>0.22222222222222221</v>
      </c>
      <c r="Q35" s="53" t="s">
        <v>86</v>
      </c>
      <c r="R35" s="32" t="s">
        <v>109</v>
      </c>
    </row>
    <row r="36" spans="1:18" ht="151.80000000000001">
      <c r="A36" s="50"/>
      <c r="B36" s="51"/>
      <c r="C36" s="52" t="s">
        <v>110</v>
      </c>
      <c r="D36" s="32" t="s">
        <v>111</v>
      </c>
      <c r="E36" s="53" t="s">
        <v>112</v>
      </c>
      <c r="F36" s="32" t="s">
        <v>113</v>
      </c>
      <c r="G36" s="54" t="s">
        <v>103</v>
      </c>
      <c r="H36" s="54" t="s">
        <v>114</v>
      </c>
      <c r="I36" s="53" t="s">
        <v>115</v>
      </c>
      <c r="J36" s="55" t="s">
        <v>116</v>
      </c>
      <c r="K36" s="34" t="s">
        <v>117</v>
      </c>
      <c r="L36" s="53" t="s">
        <v>107</v>
      </c>
      <c r="M36" s="56" t="s">
        <v>108</v>
      </c>
      <c r="N36" s="53">
        <v>517</v>
      </c>
      <c r="O36" s="37">
        <v>7450</v>
      </c>
      <c r="P36" s="37" t="s">
        <v>340</v>
      </c>
      <c r="Q36" s="53" t="s">
        <v>118</v>
      </c>
      <c r="R36" s="32" t="s">
        <v>119</v>
      </c>
    </row>
    <row r="37" spans="1:18" ht="110.4">
      <c r="A37" s="58"/>
      <c r="B37" s="51"/>
      <c r="C37" s="52" t="s">
        <v>120</v>
      </c>
      <c r="D37" s="32" t="s">
        <v>121</v>
      </c>
      <c r="E37" s="32" t="s">
        <v>122</v>
      </c>
      <c r="F37" s="32" t="s">
        <v>123</v>
      </c>
      <c r="G37" s="54" t="s">
        <v>103</v>
      </c>
      <c r="H37" s="54" t="s">
        <v>114</v>
      </c>
      <c r="I37" s="32" t="s">
        <v>124</v>
      </c>
      <c r="J37" s="55" t="s">
        <v>125</v>
      </c>
      <c r="K37" s="34" t="s">
        <v>126</v>
      </c>
      <c r="L37" s="53" t="s">
        <v>107</v>
      </c>
      <c r="M37" s="59" t="s">
        <v>108</v>
      </c>
      <c r="N37" s="53">
        <v>925</v>
      </c>
      <c r="O37" s="61">
        <v>640</v>
      </c>
      <c r="P37" s="37" t="s">
        <v>341</v>
      </c>
      <c r="Q37" s="53" t="s">
        <v>127</v>
      </c>
      <c r="R37" s="32" t="s">
        <v>128</v>
      </c>
    </row>
    <row r="38" spans="1:18" ht="110.4">
      <c r="A38" s="58"/>
      <c r="B38" s="51"/>
      <c r="C38" s="52" t="s">
        <v>130</v>
      </c>
      <c r="D38" s="32" t="s">
        <v>131</v>
      </c>
      <c r="E38" s="32" t="s">
        <v>132</v>
      </c>
      <c r="F38" s="32" t="s">
        <v>133</v>
      </c>
      <c r="G38" s="54" t="s">
        <v>103</v>
      </c>
      <c r="H38" s="54" t="s">
        <v>114</v>
      </c>
      <c r="I38" s="53" t="s">
        <v>134</v>
      </c>
      <c r="J38" s="60" t="s">
        <v>135</v>
      </c>
      <c r="K38" s="60" t="s">
        <v>136</v>
      </c>
      <c r="L38" s="53" t="s">
        <v>107</v>
      </c>
      <c r="M38" s="59" t="s">
        <v>108</v>
      </c>
      <c r="N38" s="53">
        <v>10405</v>
      </c>
      <c r="O38" s="61">
        <v>5000</v>
      </c>
      <c r="P38" s="37" t="s">
        <v>342</v>
      </c>
      <c r="Q38" s="53" t="s">
        <v>137</v>
      </c>
      <c r="R38" s="32" t="s">
        <v>138</v>
      </c>
    </row>
    <row r="39" spans="1:18" ht="193.2">
      <c r="A39" s="58"/>
      <c r="B39" s="51"/>
      <c r="C39" s="52" t="s">
        <v>139</v>
      </c>
      <c r="D39" s="32" t="s">
        <v>140</v>
      </c>
      <c r="E39" s="32" t="s">
        <v>141</v>
      </c>
      <c r="F39" s="32" t="s">
        <v>142</v>
      </c>
      <c r="G39" s="54" t="s">
        <v>103</v>
      </c>
      <c r="H39" s="54" t="s">
        <v>114</v>
      </c>
      <c r="I39" s="53" t="s">
        <v>143</v>
      </c>
      <c r="J39" s="62" t="s">
        <v>144</v>
      </c>
      <c r="K39" s="62" t="s">
        <v>145</v>
      </c>
      <c r="L39" s="53" t="s">
        <v>107</v>
      </c>
      <c r="M39" s="59" t="s">
        <v>108</v>
      </c>
      <c r="N39" s="65">
        <v>9826</v>
      </c>
      <c r="O39" s="61">
        <v>8791</v>
      </c>
      <c r="P39" s="37" t="s">
        <v>343</v>
      </c>
      <c r="Q39" s="53" t="s">
        <v>118</v>
      </c>
      <c r="R39" s="32" t="s">
        <v>146</v>
      </c>
    </row>
    <row r="40" spans="1:18" ht="96.6">
      <c r="A40" s="58"/>
      <c r="B40" s="51"/>
      <c r="C40" s="52" t="s">
        <v>147</v>
      </c>
      <c r="D40" s="32" t="s">
        <v>148</v>
      </c>
      <c r="E40" s="32" t="s">
        <v>149</v>
      </c>
      <c r="F40" s="32" t="s">
        <v>150</v>
      </c>
      <c r="G40" s="54" t="s">
        <v>103</v>
      </c>
      <c r="H40" s="32" t="s">
        <v>114</v>
      </c>
      <c r="I40" s="53" t="s">
        <v>151</v>
      </c>
      <c r="J40" s="60" t="s">
        <v>152</v>
      </c>
      <c r="K40" s="60" t="s">
        <v>153</v>
      </c>
      <c r="L40" s="53" t="s">
        <v>107</v>
      </c>
      <c r="M40" s="65" t="s">
        <v>108</v>
      </c>
      <c r="N40" s="65">
        <v>1378450</v>
      </c>
      <c r="O40" s="61">
        <v>1190350</v>
      </c>
      <c r="P40" s="37" t="s">
        <v>344</v>
      </c>
      <c r="Q40" s="53" t="s">
        <v>154</v>
      </c>
      <c r="R40" s="32" t="s">
        <v>155</v>
      </c>
    </row>
    <row r="41" spans="1:18" ht="110.4">
      <c r="A41" s="58"/>
      <c r="B41" s="51"/>
      <c r="C41" s="52" t="s">
        <v>156</v>
      </c>
      <c r="D41" s="32" t="s">
        <v>157</v>
      </c>
      <c r="E41" s="32" t="s">
        <v>158</v>
      </c>
      <c r="F41" s="32" t="s">
        <v>159</v>
      </c>
      <c r="G41" s="54" t="s">
        <v>103</v>
      </c>
      <c r="H41" s="32" t="s">
        <v>114</v>
      </c>
      <c r="I41" s="53" t="s">
        <v>160</v>
      </c>
      <c r="J41" s="60" t="s">
        <v>152</v>
      </c>
      <c r="K41" s="60" t="s">
        <v>161</v>
      </c>
      <c r="L41" s="53" t="s">
        <v>107</v>
      </c>
      <c r="M41" s="65" t="s">
        <v>108</v>
      </c>
      <c r="N41" s="65">
        <v>26296</v>
      </c>
      <c r="O41" s="61">
        <v>26292</v>
      </c>
      <c r="P41" s="37" t="s">
        <v>345</v>
      </c>
      <c r="Q41" s="53" t="s">
        <v>154</v>
      </c>
      <c r="R41" s="32" t="s">
        <v>162</v>
      </c>
    </row>
    <row r="42" spans="1:18" ht="151.80000000000001">
      <c r="A42" s="58"/>
      <c r="B42" s="51"/>
      <c r="C42" s="52" t="s">
        <v>163</v>
      </c>
      <c r="D42" s="32" t="s">
        <v>164</v>
      </c>
      <c r="E42" s="32" t="s">
        <v>165</v>
      </c>
      <c r="F42" s="32" t="s">
        <v>166</v>
      </c>
      <c r="G42" s="54" t="s">
        <v>103</v>
      </c>
      <c r="H42" s="32" t="s">
        <v>114</v>
      </c>
      <c r="I42" s="53" t="s">
        <v>151</v>
      </c>
      <c r="J42" s="60" t="s">
        <v>152</v>
      </c>
      <c r="K42" s="60" t="s">
        <v>153</v>
      </c>
      <c r="L42" s="53" t="s">
        <v>107</v>
      </c>
      <c r="M42" s="65" t="s">
        <v>108</v>
      </c>
      <c r="N42" s="65">
        <v>4560</v>
      </c>
      <c r="O42" s="61">
        <v>4020</v>
      </c>
      <c r="P42" s="37" t="s">
        <v>345</v>
      </c>
      <c r="Q42" s="53" t="s">
        <v>154</v>
      </c>
      <c r="R42" s="32" t="s">
        <v>167</v>
      </c>
    </row>
    <row r="43" spans="1:18" ht="96.6">
      <c r="A43" s="58"/>
      <c r="B43" s="51"/>
      <c r="C43" s="52" t="s">
        <v>168</v>
      </c>
      <c r="D43" s="32" t="s">
        <v>169</v>
      </c>
      <c r="E43" s="32" t="s">
        <v>170</v>
      </c>
      <c r="F43" s="32" t="s">
        <v>171</v>
      </c>
      <c r="G43" s="54" t="s">
        <v>103</v>
      </c>
      <c r="H43" s="32" t="s">
        <v>114</v>
      </c>
      <c r="I43" s="32" t="s">
        <v>172</v>
      </c>
      <c r="J43" s="60" t="s">
        <v>173</v>
      </c>
      <c r="K43" s="60" t="s">
        <v>174</v>
      </c>
      <c r="L43" s="53" t="s">
        <v>107</v>
      </c>
      <c r="M43" s="65" t="s">
        <v>108</v>
      </c>
      <c r="N43" s="65">
        <v>7997</v>
      </c>
      <c r="O43" s="61">
        <v>6000</v>
      </c>
      <c r="P43" s="37" t="s">
        <v>346</v>
      </c>
      <c r="Q43" s="53" t="s">
        <v>175</v>
      </c>
      <c r="R43" s="32" t="s">
        <v>176</v>
      </c>
    </row>
    <row r="44" spans="1:18" ht="124.2">
      <c r="A44" s="58"/>
      <c r="B44" s="51"/>
      <c r="C44" s="52" t="s">
        <v>177</v>
      </c>
      <c r="D44" s="32" t="s">
        <v>178</v>
      </c>
      <c r="E44" s="32" t="s">
        <v>179</v>
      </c>
      <c r="F44" s="32" t="s">
        <v>180</v>
      </c>
      <c r="G44" s="32" t="s">
        <v>103</v>
      </c>
      <c r="H44" s="32" t="s">
        <v>114</v>
      </c>
      <c r="I44" s="32" t="s">
        <v>181</v>
      </c>
      <c r="J44" s="32" t="s">
        <v>182</v>
      </c>
      <c r="K44" s="32">
        <v>4</v>
      </c>
      <c r="L44" s="53" t="s">
        <v>183</v>
      </c>
      <c r="M44" s="53" t="s">
        <v>184</v>
      </c>
      <c r="N44" s="53">
        <v>2676</v>
      </c>
      <c r="O44" s="37">
        <v>2550</v>
      </c>
      <c r="P44" s="37">
        <v>1176.5</v>
      </c>
      <c r="Q44" s="53" t="s">
        <v>185</v>
      </c>
      <c r="R44" s="32" t="s">
        <v>186</v>
      </c>
    </row>
    <row r="45" spans="1:18" ht="124.2">
      <c r="A45" s="58"/>
      <c r="B45" s="51"/>
      <c r="C45" s="52" t="s">
        <v>187</v>
      </c>
      <c r="D45" s="32" t="s">
        <v>188</v>
      </c>
      <c r="E45" s="32" t="s">
        <v>189</v>
      </c>
      <c r="F45" s="32" t="s">
        <v>190</v>
      </c>
      <c r="G45" s="32" t="s">
        <v>103</v>
      </c>
      <c r="H45" s="32" t="s">
        <v>114</v>
      </c>
      <c r="I45" s="32" t="s">
        <v>191</v>
      </c>
      <c r="J45" s="32" t="s">
        <v>192</v>
      </c>
      <c r="K45" s="32" t="s">
        <v>193</v>
      </c>
      <c r="L45" s="53" t="s">
        <v>107</v>
      </c>
      <c r="M45" s="53" t="s">
        <v>108</v>
      </c>
      <c r="N45" s="53" t="s">
        <v>85</v>
      </c>
      <c r="O45" s="37">
        <v>15000</v>
      </c>
      <c r="P45" s="37" t="s">
        <v>347</v>
      </c>
      <c r="Q45" s="53" t="s">
        <v>185</v>
      </c>
      <c r="R45" s="32" t="s">
        <v>186</v>
      </c>
    </row>
    <row r="46" spans="1:18" ht="124.2">
      <c r="A46" s="58"/>
      <c r="B46" s="51"/>
      <c r="C46" s="52" t="s">
        <v>194</v>
      </c>
      <c r="D46" s="32" t="s">
        <v>195</v>
      </c>
      <c r="E46" s="32" t="s">
        <v>196</v>
      </c>
      <c r="F46" s="32" t="s">
        <v>197</v>
      </c>
      <c r="G46" s="54" t="s">
        <v>103</v>
      </c>
      <c r="H46" s="32" t="s">
        <v>114</v>
      </c>
      <c r="I46" s="53" t="s">
        <v>198</v>
      </c>
      <c r="J46" s="60" t="s">
        <v>199</v>
      </c>
      <c r="K46" s="60" t="s">
        <v>200</v>
      </c>
      <c r="L46" s="53" t="s">
        <v>107</v>
      </c>
      <c r="M46" s="65" t="s">
        <v>108</v>
      </c>
      <c r="N46" s="65">
        <v>28995</v>
      </c>
      <c r="O46" s="61">
        <v>29000</v>
      </c>
      <c r="P46" s="37" t="s">
        <v>348</v>
      </c>
      <c r="Q46" s="53" t="s">
        <v>201</v>
      </c>
      <c r="R46" s="32" t="s">
        <v>202</v>
      </c>
    </row>
    <row r="47" spans="1:18" ht="165.6">
      <c r="A47" s="58"/>
      <c r="B47" s="51"/>
      <c r="C47" s="52" t="s">
        <v>203</v>
      </c>
      <c r="D47" s="32" t="s">
        <v>204</v>
      </c>
      <c r="E47" s="32" t="s">
        <v>205</v>
      </c>
      <c r="F47" s="32" t="s">
        <v>206</v>
      </c>
      <c r="G47" s="54" t="s">
        <v>103</v>
      </c>
      <c r="H47" s="32" t="s">
        <v>114</v>
      </c>
      <c r="I47" s="32" t="s">
        <v>207</v>
      </c>
      <c r="J47" s="60" t="s">
        <v>208</v>
      </c>
      <c r="K47" s="60">
        <v>4</v>
      </c>
      <c r="L47" s="53" t="s">
        <v>183</v>
      </c>
      <c r="M47" s="65" t="s">
        <v>184</v>
      </c>
      <c r="N47" s="53" t="s">
        <v>85</v>
      </c>
      <c r="O47" s="61">
        <v>1500</v>
      </c>
      <c r="P47" s="37">
        <v>765</v>
      </c>
      <c r="Q47" s="53" t="s">
        <v>118</v>
      </c>
      <c r="R47" s="32" t="s">
        <v>209</v>
      </c>
    </row>
    <row r="48" spans="1:18" ht="165.6">
      <c r="A48" s="58"/>
      <c r="B48" s="51"/>
      <c r="C48" s="52" t="s">
        <v>210</v>
      </c>
      <c r="D48" s="32" t="s">
        <v>211</v>
      </c>
      <c r="E48" s="32" t="s">
        <v>212</v>
      </c>
      <c r="F48" s="32" t="s">
        <v>213</v>
      </c>
      <c r="G48" s="54" t="s">
        <v>103</v>
      </c>
      <c r="H48" s="32" t="s">
        <v>114</v>
      </c>
      <c r="I48" s="53" t="s">
        <v>214</v>
      </c>
      <c r="J48" s="60" t="s">
        <v>215</v>
      </c>
      <c r="K48" s="60" t="s">
        <v>216</v>
      </c>
      <c r="L48" s="53" t="s">
        <v>107</v>
      </c>
      <c r="M48" s="65" t="s">
        <v>108</v>
      </c>
      <c r="N48" s="65">
        <v>203457</v>
      </c>
      <c r="O48" s="61">
        <v>224400</v>
      </c>
      <c r="P48" s="37" t="s">
        <v>349</v>
      </c>
      <c r="Q48" s="53" t="s">
        <v>118</v>
      </c>
      <c r="R48" s="32" t="s">
        <v>209</v>
      </c>
    </row>
    <row r="49" spans="1:18" ht="82.8">
      <c r="A49" s="58"/>
      <c r="B49" s="51"/>
      <c r="C49" s="52" t="s">
        <v>217</v>
      </c>
      <c r="D49" s="66" t="s">
        <v>218</v>
      </c>
      <c r="E49" s="66" t="s">
        <v>219</v>
      </c>
      <c r="F49" s="66" t="s">
        <v>220</v>
      </c>
      <c r="G49" s="67" t="s">
        <v>103</v>
      </c>
      <c r="H49" s="66" t="s">
        <v>114</v>
      </c>
      <c r="I49" s="66" t="s">
        <v>221</v>
      </c>
      <c r="J49" s="68" t="s">
        <v>222</v>
      </c>
      <c r="K49" s="68">
        <v>4</v>
      </c>
      <c r="L49" s="53" t="s">
        <v>183</v>
      </c>
      <c r="M49" s="70" t="s">
        <v>184</v>
      </c>
      <c r="N49" s="70" t="s">
        <v>85</v>
      </c>
      <c r="O49" s="71">
        <v>4500</v>
      </c>
      <c r="P49" s="37">
        <v>2390.8000000000002</v>
      </c>
      <c r="Q49" s="53" t="s">
        <v>223</v>
      </c>
      <c r="R49" s="32" t="s">
        <v>224</v>
      </c>
    </row>
    <row r="50" spans="1:18" ht="96.6">
      <c r="A50" s="58"/>
      <c r="B50" s="51"/>
      <c r="C50" s="52" t="s">
        <v>225</v>
      </c>
      <c r="D50" s="32" t="s">
        <v>226</v>
      </c>
      <c r="E50" s="32" t="s">
        <v>227</v>
      </c>
      <c r="F50" s="32" t="s">
        <v>228</v>
      </c>
      <c r="G50" s="54" t="s">
        <v>103</v>
      </c>
      <c r="H50" s="32" t="s">
        <v>114</v>
      </c>
      <c r="I50" s="32" t="s">
        <v>229</v>
      </c>
      <c r="J50" s="60" t="s">
        <v>230</v>
      </c>
      <c r="K50" s="60">
        <v>4</v>
      </c>
      <c r="L50" s="53" t="s">
        <v>183</v>
      </c>
      <c r="M50" s="65" t="s">
        <v>184</v>
      </c>
      <c r="N50" s="37"/>
      <c r="O50" s="61">
        <v>780</v>
      </c>
      <c r="P50" s="37">
        <v>424.8</v>
      </c>
      <c r="Q50" s="53" t="s">
        <v>231</v>
      </c>
      <c r="R50" s="32" t="s">
        <v>232</v>
      </c>
    </row>
    <row r="51" spans="1:18" ht="96.6">
      <c r="A51" s="58"/>
      <c r="B51" s="51"/>
      <c r="C51" s="52" t="s">
        <v>233</v>
      </c>
      <c r="D51" s="32" t="s">
        <v>234</v>
      </c>
      <c r="E51" s="32" t="s">
        <v>235</v>
      </c>
      <c r="F51" s="32" t="s">
        <v>236</v>
      </c>
      <c r="G51" s="54" t="s">
        <v>103</v>
      </c>
      <c r="H51" s="32" t="s">
        <v>114</v>
      </c>
      <c r="I51" s="53" t="s">
        <v>237</v>
      </c>
      <c r="J51" s="60" t="s">
        <v>238</v>
      </c>
      <c r="K51" s="60" t="s">
        <v>239</v>
      </c>
      <c r="L51" s="53" t="s">
        <v>107</v>
      </c>
      <c r="M51" s="65" t="s">
        <v>108</v>
      </c>
      <c r="N51" s="65">
        <v>2037</v>
      </c>
      <c r="O51" s="61">
        <v>2030</v>
      </c>
      <c r="P51" s="37" t="s">
        <v>350</v>
      </c>
      <c r="Q51" s="53" t="s">
        <v>240</v>
      </c>
      <c r="R51" s="32" t="s">
        <v>241</v>
      </c>
    </row>
    <row r="52" spans="1:18" ht="96.6">
      <c r="A52" s="73"/>
      <c r="B52" s="51"/>
      <c r="C52" s="52" t="s">
        <v>242</v>
      </c>
      <c r="D52" s="32" t="s">
        <v>243</v>
      </c>
      <c r="E52" s="32" t="s">
        <v>244</v>
      </c>
      <c r="F52" s="32" t="s">
        <v>245</v>
      </c>
      <c r="G52" s="54" t="s">
        <v>103</v>
      </c>
      <c r="H52" s="32" t="s">
        <v>114</v>
      </c>
      <c r="I52" s="53" t="s">
        <v>246</v>
      </c>
      <c r="J52" s="60" t="s">
        <v>247</v>
      </c>
      <c r="K52" s="60" t="s">
        <v>248</v>
      </c>
      <c r="L52" s="53" t="s">
        <v>107</v>
      </c>
      <c r="M52" s="65" t="s">
        <v>108</v>
      </c>
      <c r="N52" s="53" t="s">
        <v>85</v>
      </c>
      <c r="O52" s="61">
        <v>1188</v>
      </c>
      <c r="P52" s="37" t="s">
        <v>345</v>
      </c>
      <c r="Q52" s="53" t="s">
        <v>249</v>
      </c>
      <c r="R52" s="32" t="s">
        <v>241</v>
      </c>
    </row>
    <row r="53" spans="1:18" ht="96.6">
      <c r="B53" s="74" t="s">
        <v>98</v>
      </c>
      <c r="C53" s="75" t="s">
        <v>250</v>
      </c>
      <c r="D53" s="32" t="s">
        <v>251</v>
      </c>
      <c r="E53" s="32" t="s">
        <v>252</v>
      </c>
      <c r="F53" s="32" t="s">
        <v>113</v>
      </c>
      <c r="G53" s="32" t="s">
        <v>103</v>
      </c>
      <c r="H53" s="32" t="s">
        <v>79</v>
      </c>
      <c r="I53" s="32" t="s">
        <v>253</v>
      </c>
      <c r="J53" s="60" t="s">
        <v>254</v>
      </c>
      <c r="K53" s="60" t="s">
        <v>255</v>
      </c>
      <c r="L53" s="53" t="s">
        <v>107</v>
      </c>
      <c r="M53" s="53" t="s">
        <v>108</v>
      </c>
      <c r="N53" s="53">
        <v>4431</v>
      </c>
      <c r="O53" s="37">
        <v>5000</v>
      </c>
      <c r="P53" s="37" t="s">
        <v>351</v>
      </c>
      <c r="Q53" s="53" t="s">
        <v>256</v>
      </c>
      <c r="R53" s="32" t="s">
        <v>257</v>
      </c>
    </row>
    <row r="54" spans="1:18" ht="179.4">
      <c r="A54" s="51"/>
      <c r="B54" s="51"/>
      <c r="C54" s="76" t="s">
        <v>258</v>
      </c>
      <c r="D54" s="32" t="s">
        <v>259</v>
      </c>
      <c r="E54" s="32" t="s">
        <v>260</v>
      </c>
      <c r="F54" s="32" t="s">
        <v>261</v>
      </c>
      <c r="G54" s="32" t="s">
        <v>103</v>
      </c>
      <c r="H54" s="32" t="s">
        <v>114</v>
      </c>
      <c r="I54" s="32" t="s">
        <v>262</v>
      </c>
      <c r="J54" s="60" t="s">
        <v>263</v>
      </c>
      <c r="K54" s="60" t="s">
        <v>264</v>
      </c>
      <c r="L54" s="53" t="s">
        <v>107</v>
      </c>
      <c r="M54" s="53" t="s">
        <v>108</v>
      </c>
      <c r="N54" s="53">
        <v>17</v>
      </c>
      <c r="O54" s="37">
        <v>7</v>
      </c>
      <c r="P54" s="37" t="s">
        <v>352</v>
      </c>
      <c r="Q54" s="53" t="s">
        <v>265</v>
      </c>
      <c r="R54" s="32" t="s">
        <v>266</v>
      </c>
    </row>
    <row r="55" spans="1:18" ht="124.2">
      <c r="B55" s="77" t="s">
        <v>98</v>
      </c>
      <c r="C55" s="46" t="s">
        <v>267</v>
      </c>
      <c r="D55" s="32" t="s">
        <v>268</v>
      </c>
      <c r="E55" s="32" t="s">
        <v>269</v>
      </c>
      <c r="F55" s="32" t="s">
        <v>270</v>
      </c>
      <c r="G55" s="32" t="s">
        <v>103</v>
      </c>
      <c r="H55" s="32" t="s">
        <v>79</v>
      </c>
      <c r="I55" s="32" t="s">
        <v>271</v>
      </c>
      <c r="J55" s="78" t="s">
        <v>272</v>
      </c>
      <c r="K55" s="79" t="s">
        <v>273</v>
      </c>
      <c r="L55" s="53" t="s">
        <v>107</v>
      </c>
      <c r="M55" s="53" t="s">
        <v>108</v>
      </c>
      <c r="N55" s="80" t="s">
        <v>85</v>
      </c>
      <c r="O55" s="37">
        <v>1100</v>
      </c>
      <c r="P55" s="37" t="s">
        <v>353</v>
      </c>
      <c r="Q55" s="53" t="s">
        <v>274</v>
      </c>
      <c r="R55" s="32" t="s">
        <v>275</v>
      </c>
    </row>
    <row r="56" spans="1:18" ht="138">
      <c r="A56" s="50"/>
      <c r="B56" s="81"/>
      <c r="C56" s="52" t="s">
        <v>276</v>
      </c>
      <c r="D56" s="32" t="s">
        <v>277</v>
      </c>
      <c r="E56" s="32" t="s">
        <v>278</v>
      </c>
      <c r="F56" s="32" t="s">
        <v>279</v>
      </c>
      <c r="G56" s="32" t="s">
        <v>103</v>
      </c>
      <c r="H56" s="32" t="s">
        <v>114</v>
      </c>
      <c r="I56" s="32" t="s">
        <v>280</v>
      </c>
      <c r="J56" s="60" t="s">
        <v>281</v>
      </c>
      <c r="K56" s="60" t="s">
        <v>282</v>
      </c>
      <c r="L56" s="53" t="s">
        <v>107</v>
      </c>
      <c r="M56" s="53" t="s">
        <v>108</v>
      </c>
      <c r="N56" s="80" t="s">
        <v>85</v>
      </c>
      <c r="O56" s="37">
        <v>700</v>
      </c>
      <c r="P56" s="37" t="s">
        <v>354</v>
      </c>
      <c r="Q56" s="53" t="s">
        <v>283</v>
      </c>
      <c r="R56" s="32" t="s">
        <v>284</v>
      </c>
    </row>
    <row r="57" spans="1:18" ht="96.6">
      <c r="A57" s="73"/>
      <c r="B57" s="81"/>
      <c r="C57" s="52" t="s">
        <v>285</v>
      </c>
      <c r="D57" s="32" t="s">
        <v>286</v>
      </c>
      <c r="E57" s="32" t="s">
        <v>287</v>
      </c>
      <c r="F57" s="32" t="s">
        <v>288</v>
      </c>
      <c r="G57" s="32" t="s">
        <v>103</v>
      </c>
      <c r="H57" s="32" t="s">
        <v>114</v>
      </c>
      <c r="I57" s="32" t="s">
        <v>289</v>
      </c>
      <c r="J57" s="60" t="s">
        <v>290</v>
      </c>
      <c r="K57" s="60" t="s">
        <v>291</v>
      </c>
      <c r="L57" s="53" t="s">
        <v>107</v>
      </c>
      <c r="M57" s="53" t="s">
        <v>108</v>
      </c>
      <c r="N57" s="80" t="s">
        <v>85</v>
      </c>
      <c r="O57" s="37">
        <v>400</v>
      </c>
      <c r="P57" s="37" t="s">
        <v>355</v>
      </c>
      <c r="Q57" s="53" t="s">
        <v>292</v>
      </c>
      <c r="R57" s="32" t="s">
        <v>293</v>
      </c>
    </row>
    <row r="58" spans="1:18" ht="124.2">
      <c r="B58" s="74" t="s">
        <v>294</v>
      </c>
      <c r="C58" s="46" t="s">
        <v>295</v>
      </c>
      <c r="D58" s="32" t="s">
        <v>296</v>
      </c>
      <c r="E58" s="32" t="s">
        <v>297</v>
      </c>
      <c r="F58" s="32" t="s">
        <v>298</v>
      </c>
      <c r="G58" s="32" t="s">
        <v>103</v>
      </c>
      <c r="H58" s="32" t="s">
        <v>79</v>
      </c>
      <c r="I58" s="32" t="s">
        <v>299</v>
      </c>
      <c r="J58" s="60" t="s">
        <v>300</v>
      </c>
      <c r="K58" s="60" t="s">
        <v>301</v>
      </c>
      <c r="L58" s="53" t="s">
        <v>107</v>
      </c>
      <c r="M58" s="53" t="s">
        <v>108</v>
      </c>
      <c r="N58" s="83">
        <v>12</v>
      </c>
      <c r="O58" s="37">
        <v>12</v>
      </c>
      <c r="P58" s="37" t="s">
        <v>356</v>
      </c>
      <c r="Q58" s="53" t="s">
        <v>302</v>
      </c>
      <c r="R58" s="32" t="s">
        <v>303</v>
      </c>
    </row>
    <row r="59" spans="1:18" ht="110.4">
      <c r="A59" s="51"/>
      <c r="B59" s="51"/>
      <c r="C59" s="52" t="s">
        <v>304</v>
      </c>
      <c r="D59" s="32" t="s">
        <v>305</v>
      </c>
      <c r="E59" s="32" t="s">
        <v>306</v>
      </c>
      <c r="F59" s="33" t="s">
        <v>307</v>
      </c>
      <c r="G59" s="32" t="s">
        <v>103</v>
      </c>
      <c r="H59" s="32" t="s">
        <v>114</v>
      </c>
      <c r="I59" s="32" t="s">
        <v>308</v>
      </c>
      <c r="J59" s="60" t="s">
        <v>309</v>
      </c>
      <c r="K59" s="60">
        <v>4</v>
      </c>
      <c r="L59" s="53" t="s">
        <v>183</v>
      </c>
      <c r="M59" s="53" t="s">
        <v>184</v>
      </c>
      <c r="N59" s="80" t="s">
        <v>85</v>
      </c>
      <c r="O59" s="37">
        <v>330</v>
      </c>
      <c r="P59" s="37">
        <v>144.5</v>
      </c>
      <c r="Q59" s="53" t="s">
        <v>310</v>
      </c>
      <c r="R59" s="32" t="s">
        <v>311</v>
      </c>
    </row>
    <row r="60" spans="1:18" ht="152.4">
      <c r="A60" s="51"/>
      <c r="B60" s="51"/>
      <c r="C60" s="52" t="s">
        <v>312</v>
      </c>
      <c r="D60" s="84" t="s">
        <v>313</v>
      </c>
      <c r="E60" s="85" t="s">
        <v>314</v>
      </c>
      <c r="F60" s="86" t="s">
        <v>315</v>
      </c>
      <c r="G60" s="85" t="s">
        <v>103</v>
      </c>
      <c r="H60" s="85" t="s">
        <v>114</v>
      </c>
      <c r="I60" s="86" t="s">
        <v>316</v>
      </c>
      <c r="J60" s="87" t="s">
        <v>317</v>
      </c>
      <c r="K60" s="88" t="s">
        <v>318</v>
      </c>
      <c r="L60" s="193" t="s">
        <v>107</v>
      </c>
      <c r="M60" s="193" t="s">
        <v>108</v>
      </c>
      <c r="N60" s="194" t="s">
        <v>85</v>
      </c>
      <c r="O60" s="195">
        <v>1800</v>
      </c>
      <c r="P60" s="37" t="s">
        <v>357</v>
      </c>
      <c r="Q60" s="193" t="s">
        <v>319</v>
      </c>
      <c r="R60" s="85" t="s">
        <v>311</v>
      </c>
    </row>
    <row r="61" spans="1:18" ht="15.6">
      <c r="A61" s="91"/>
      <c r="B61" s="92"/>
    </row>
    <row r="62" spans="1:18" ht="15.6">
      <c r="D62" s="93"/>
      <c r="E62" s="93"/>
      <c r="F62" s="93"/>
      <c r="G62" s="93"/>
      <c r="H62" s="93"/>
    </row>
    <row r="63" spans="1:18" ht="15.6">
      <c r="D63" s="93"/>
      <c r="E63" s="93"/>
      <c r="F63" s="93"/>
      <c r="G63" s="93"/>
      <c r="H63" s="93"/>
    </row>
    <row r="64" spans="1:18" ht="15.6">
      <c r="D64" s="93"/>
      <c r="E64" s="93"/>
      <c r="F64" s="93"/>
      <c r="G64" s="93"/>
      <c r="H64" s="93"/>
    </row>
    <row r="65" spans="4:8" ht="15.6">
      <c r="D65" s="93"/>
      <c r="E65" s="93"/>
      <c r="F65" s="93"/>
      <c r="G65" s="93"/>
      <c r="H65" s="93"/>
    </row>
    <row r="66" spans="4:8" ht="15.6">
      <c r="D66" s="93"/>
      <c r="E66" s="93"/>
      <c r="F66" s="93"/>
      <c r="G66" s="93"/>
      <c r="H66" s="93"/>
    </row>
    <row r="67" spans="4:8" ht="15.6">
      <c r="D67" s="93"/>
      <c r="E67" s="93"/>
      <c r="F67" s="93"/>
      <c r="G67" s="93"/>
      <c r="H67" s="93"/>
    </row>
    <row r="68" spans="4:8" ht="15.6">
      <c r="D68" s="93"/>
      <c r="E68" s="93"/>
      <c r="F68" s="93"/>
      <c r="G68" s="93"/>
      <c r="H68" s="93"/>
    </row>
    <row r="69" spans="4:8" ht="15.6">
      <c r="D69" s="93"/>
      <c r="E69" s="93"/>
      <c r="F69" s="93"/>
      <c r="G69" s="93"/>
      <c r="H69" s="93"/>
    </row>
    <row r="70" spans="4:8" ht="15.6">
      <c r="D70" s="93"/>
      <c r="E70" s="93"/>
      <c r="F70" s="93"/>
      <c r="G70" s="93"/>
      <c r="H70" s="93"/>
    </row>
    <row r="71" spans="4:8" ht="15.6">
      <c r="D71" s="93"/>
      <c r="E71" s="93"/>
      <c r="F71" s="93"/>
      <c r="G71" s="93"/>
      <c r="H71" s="93"/>
    </row>
    <row r="72" spans="4:8" ht="15.6">
      <c r="D72" s="93"/>
      <c r="E72" s="93"/>
      <c r="F72" s="93"/>
      <c r="G72" s="93"/>
      <c r="H72" s="93"/>
    </row>
    <row r="73" spans="4:8" ht="15.6">
      <c r="D73" s="93"/>
      <c r="E73" s="93"/>
      <c r="F73" s="93"/>
      <c r="G73" s="93"/>
      <c r="H73" s="93"/>
    </row>
    <row r="74" spans="4:8" ht="15.6">
      <c r="D74" s="93"/>
      <c r="E74" s="93"/>
      <c r="F74" s="93"/>
      <c r="G74" s="93"/>
      <c r="H74" s="93"/>
    </row>
    <row r="75" spans="4:8" ht="15.6">
      <c r="D75" s="93"/>
      <c r="E75" s="93"/>
      <c r="F75" s="93"/>
      <c r="G75" s="93"/>
      <c r="H75" s="93"/>
    </row>
    <row r="76" spans="4:8" ht="15.6">
      <c r="D76" s="93"/>
      <c r="E76" s="93"/>
      <c r="F76" s="93"/>
      <c r="G76" s="93"/>
      <c r="H76" s="93"/>
    </row>
    <row r="77" spans="4:8" ht="15.6">
      <c r="D77" s="93"/>
      <c r="E77" s="93"/>
      <c r="F77" s="93"/>
      <c r="G77" s="93"/>
      <c r="H77" s="93"/>
    </row>
    <row r="78" spans="4:8" ht="15.6">
      <c r="D78" s="93"/>
      <c r="E78" s="93"/>
      <c r="F78" s="93"/>
      <c r="G78" s="93"/>
      <c r="H78" s="93"/>
    </row>
    <row r="79" spans="4:8" ht="15.6">
      <c r="D79" s="93"/>
      <c r="E79" s="93"/>
      <c r="F79" s="93"/>
      <c r="G79" s="93"/>
      <c r="H79" s="93"/>
    </row>
    <row r="80" spans="4:8" ht="15.6">
      <c r="D80" s="93"/>
      <c r="E80" s="93"/>
      <c r="F80" s="93"/>
      <c r="G80" s="93"/>
      <c r="H80" s="93"/>
    </row>
    <row r="81" spans="4:8" ht="15.6">
      <c r="D81" s="93"/>
      <c r="E81" s="93"/>
      <c r="F81" s="93"/>
      <c r="G81" s="93"/>
      <c r="H81" s="93"/>
    </row>
    <row r="82" spans="4:8" ht="15.6">
      <c r="D82" s="93"/>
      <c r="E82" s="93"/>
      <c r="F82" s="93"/>
      <c r="G82" s="93"/>
      <c r="H82" s="93"/>
    </row>
    <row r="83" spans="4:8" ht="15.6">
      <c r="D83" s="93"/>
      <c r="E83" s="93"/>
      <c r="F83" s="93"/>
      <c r="G83" s="93"/>
      <c r="H83" s="93"/>
    </row>
    <row r="84" spans="4:8" ht="15.6">
      <c r="D84" s="93"/>
      <c r="E84" s="93"/>
      <c r="F84" s="93"/>
      <c r="G84" s="93"/>
      <c r="H84" s="93"/>
    </row>
    <row r="85" spans="4:8" ht="15.6">
      <c r="D85" s="93"/>
      <c r="E85" s="93"/>
      <c r="F85" s="93"/>
      <c r="G85" s="93"/>
      <c r="H85" s="93"/>
    </row>
    <row r="86" spans="4:8" ht="15.6">
      <c r="D86" s="93"/>
      <c r="E86" s="93"/>
      <c r="F86" s="93"/>
      <c r="G86" s="93"/>
      <c r="H86" s="93"/>
    </row>
    <row r="87" spans="4:8" ht="15.6">
      <c r="D87" s="93"/>
      <c r="E87" s="93"/>
      <c r="F87" s="93"/>
      <c r="G87" s="93"/>
      <c r="H87" s="93"/>
    </row>
    <row r="88" spans="4:8" ht="15.6">
      <c r="D88" s="93"/>
      <c r="E88" s="93"/>
      <c r="F88" s="93"/>
      <c r="G88" s="93"/>
      <c r="H88" s="93"/>
    </row>
    <row r="89" spans="4:8" ht="15.6">
      <c r="D89" s="93"/>
      <c r="E89" s="93"/>
      <c r="F89" s="93"/>
      <c r="G89" s="93"/>
      <c r="H89" s="93"/>
    </row>
    <row r="90" spans="4:8" ht="15.6">
      <c r="D90" s="93"/>
      <c r="E90" s="93"/>
      <c r="F90" s="93"/>
      <c r="G90" s="93"/>
      <c r="H90" s="93"/>
    </row>
    <row r="91" spans="4:8" ht="15.6">
      <c r="D91" s="93"/>
      <c r="E91" s="93"/>
      <c r="F91" s="93"/>
      <c r="G91" s="93"/>
      <c r="H91" s="93"/>
    </row>
    <row r="92" spans="4:8" ht="15.6">
      <c r="D92" s="93"/>
      <c r="E92" s="93"/>
      <c r="F92" s="93"/>
      <c r="G92" s="93"/>
      <c r="H92" s="93"/>
    </row>
    <row r="93" spans="4:8" ht="15.6">
      <c r="D93" s="93"/>
      <c r="E93" s="93"/>
      <c r="F93" s="93"/>
      <c r="G93" s="93"/>
      <c r="H93" s="93"/>
    </row>
    <row r="94" spans="4:8" ht="15.6">
      <c r="D94" s="93"/>
      <c r="E94" s="93"/>
      <c r="F94" s="93"/>
      <c r="G94" s="93"/>
      <c r="H94" s="93"/>
    </row>
    <row r="95" spans="4:8" ht="15.6">
      <c r="D95" s="93"/>
      <c r="E95" s="93"/>
      <c r="F95" s="93"/>
      <c r="G95" s="93"/>
      <c r="H95" s="93"/>
    </row>
    <row r="96" spans="4:8" ht="15.6">
      <c r="D96" s="93"/>
      <c r="E96" s="93"/>
      <c r="F96" s="93"/>
      <c r="G96" s="93"/>
      <c r="H96" s="93"/>
    </row>
    <row r="97" spans="4:8" ht="15.6">
      <c r="D97" s="93"/>
      <c r="E97" s="93"/>
      <c r="F97" s="93"/>
      <c r="G97" s="93"/>
      <c r="H97" s="93"/>
    </row>
    <row r="98" spans="4:8" ht="15.6">
      <c r="D98" s="93"/>
      <c r="E98" s="93"/>
      <c r="F98" s="93"/>
      <c r="G98" s="93"/>
      <c r="H98" s="93"/>
    </row>
    <row r="99" spans="4:8" ht="15.6">
      <c r="D99" s="93"/>
      <c r="E99" s="93"/>
      <c r="F99" s="93"/>
      <c r="G99" s="93"/>
      <c r="H99" s="93"/>
    </row>
    <row r="100" spans="4:8" ht="15.6">
      <c r="D100" s="93"/>
      <c r="E100" s="93"/>
      <c r="F100" s="93"/>
      <c r="G100" s="93"/>
      <c r="H100" s="93"/>
    </row>
    <row r="101" spans="4:8" ht="15.6">
      <c r="D101" s="93"/>
      <c r="E101" s="93"/>
      <c r="F101" s="93"/>
      <c r="G101" s="93"/>
      <c r="H101" s="93"/>
    </row>
    <row r="102" spans="4:8" ht="15.6">
      <c r="D102" s="93"/>
      <c r="E102" s="93"/>
      <c r="F102" s="93"/>
      <c r="G102" s="93"/>
      <c r="H102" s="93"/>
    </row>
    <row r="103" spans="4:8" ht="15.6">
      <c r="D103" s="93"/>
      <c r="E103" s="93"/>
      <c r="F103" s="93"/>
      <c r="G103" s="93"/>
      <c r="H103" s="93"/>
    </row>
    <row r="104" spans="4:8" ht="15.6">
      <c r="D104" s="93"/>
      <c r="E104" s="93"/>
      <c r="F104" s="93"/>
      <c r="G104" s="93"/>
      <c r="H104" s="93"/>
    </row>
    <row r="105" spans="4:8" ht="15.6">
      <c r="D105" s="93"/>
      <c r="E105" s="93"/>
      <c r="F105" s="93"/>
      <c r="G105" s="93"/>
      <c r="H105" s="93"/>
    </row>
    <row r="106" spans="4:8" ht="15.6">
      <c r="D106" s="93"/>
      <c r="E106" s="93"/>
      <c r="F106" s="93"/>
      <c r="G106" s="93"/>
      <c r="H106" s="93"/>
    </row>
    <row r="107" spans="4:8" ht="15.6">
      <c r="D107" s="93"/>
      <c r="E107" s="93"/>
      <c r="F107" s="93"/>
      <c r="G107" s="93"/>
      <c r="H107" s="93"/>
    </row>
    <row r="108" spans="4:8" ht="15.6">
      <c r="D108" s="93"/>
      <c r="E108" s="93"/>
      <c r="F108" s="93"/>
      <c r="G108" s="93"/>
      <c r="H108" s="93"/>
    </row>
    <row r="109" spans="4:8" ht="15.6">
      <c r="D109" s="93"/>
      <c r="E109" s="93"/>
      <c r="F109" s="93"/>
      <c r="G109" s="93"/>
      <c r="H109" s="93"/>
    </row>
    <row r="110" spans="4:8" ht="15.6">
      <c r="D110" s="93"/>
      <c r="E110" s="93"/>
      <c r="F110" s="93"/>
      <c r="G110" s="93"/>
      <c r="H110" s="93"/>
    </row>
    <row r="111" spans="4:8" ht="15.6">
      <c r="D111" s="93"/>
      <c r="E111" s="93"/>
      <c r="F111" s="93"/>
      <c r="G111" s="93"/>
      <c r="H111" s="93"/>
    </row>
    <row r="112" spans="4:8" ht="15.6">
      <c r="D112" s="93"/>
      <c r="E112" s="93"/>
      <c r="F112" s="93"/>
      <c r="G112" s="93"/>
      <c r="H112" s="93"/>
    </row>
    <row r="113" spans="3:18" ht="15.6">
      <c r="D113" s="93"/>
      <c r="E113" s="93"/>
      <c r="F113" s="93"/>
      <c r="G113" s="93"/>
      <c r="H113" s="93"/>
    </row>
    <row r="114" spans="3:18" ht="15.6">
      <c r="D114" s="93"/>
      <c r="E114" s="93"/>
      <c r="F114" s="93"/>
      <c r="G114" s="93"/>
      <c r="H114" s="93"/>
    </row>
    <row r="115" spans="3:18" ht="15.6">
      <c r="D115" s="93"/>
      <c r="E115" s="93"/>
      <c r="F115" s="93"/>
      <c r="G115" s="93"/>
      <c r="H115" s="93"/>
    </row>
    <row r="116" spans="3:18" ht="15.6">
      <c r="D116" s="93"/>
      <c r="E116" s="93"/>
      <c r="F116" s="93"/>
      <c r="G116" s="93"/>
      <c r="H116" s="93"/>
    </row>
    <row r="117" spans="3:18" ht="15.6">
      <c r="D117" s="93"/>
      <c r="E117" s="93"/>
      <c r="F117" s="93"/>
      <c r="G117" s="93"/>
      <c r="H117" s="93"/>
    </row>
    <row r="118" spans="3:18" ht="15.6">
      <c r="D118" s="93"/>
      <c r="E118" s="93"/>
      <c r="F118" s="93"/>
      <c r="G118" s="93"/>
      <c r="H118" s="93"/>
    </row>
    <row r="119" spans="3:18" ht="15.6">
      <c r="D119" s="93"/>
      <c r="E119" s="93"/>
      <c r="F119" s="93"/>
      <c r="G119" s="93"/>
      <c r="H119" s="93"/>
    </row>
    <row r="120" spans="3:18" ht="15.6">
      <c r="D120" s="93"/>
      <c r="E120" s="93"/>
      <c r="F120" s="93"/>
      <c r="G120" s="93"/>
      <c r="H120" s="93"/>
    </row>
    <row r="121" spans="3:18" ht="15.6">
      <c r="D121" s="93"/>
      <c r="E121" s="93"/>
      <c r="F121" s="93"/>
      <c r="G121" s="93"/>
      <c r="H121" s="93"/>
    </row>
    <row r="122" spans="3:18" ht="15.6">
      <c r="D122" s="93"/>
      <c r="E122" s="93"/>
      <c r="F122" s="93"/>
      <c r="G122" s="93"/>
      <c r="H122" s="93"/>
    </row>
    <row r="123" spans="3:18" ht="15.6">
      <c r="D123" s="93"/>
      <c r="E123" s="93"/>
      <c r="F123" s="93"/>
      <c r="G123" s="93"/>
      <c r="H123" s="93"/>
    </row>
    <row r="124" spans="3:18" ht="15.6">
      <c r="D124" s="93"/>
      <c r="E124" s="93"/>
      <c r="F124" s="93"/>
      <c r="G124" s="93"/>
      <c r="H124" s="93"/>
    </row>
    <row r="125" spans="3:18" ht="15.6">
      <c r="D125" s="93"/>
      <c r="E125" s="93"/>
      <c r="F125" s="93"/>
      <c r="G125" s="93"/>
      <c r="H125" s="93"/>
    </row>
    <row r="126" spans="3:18" ht="15.6">
      <c r="D126" s="93"/>
      <c r="E126" s="93"/>
      <c r="F126" s="93"/>
      <c r="G126" s="93"/>
      <c r="H126" s="93"/>
    </row>
    <row r="127" spans="3:18" ht="15.6">
      <c r="C127" s="94" t="s">
        <v>320</v>
      </c>
      <c r="D127" s="208"/>
      <c r="E127" s="209"/>
      <c r="F127" s="209"/>
      <c r="G127" s="210"/>
      <c r="H127" s="13" t="s">
        <v>7</v>
      </c>
      <c r="I127" s="213" t="s">
        <v>321</v>
      </c>
      <c r="J127" s="203"/>
      <c r="K127" s="203"/>
      <c r="L127" s="203"/>
      <c r="M127" s="203"/>
      <c r="N127" s="203"/>
      <c r="O127" s="203"/>
      <c r="P127" s="203"/>
      <c r="Q127" s="203"/>
      <c r="R127" s="204"/>
    </row>
    <row r="128" spans="3:18" ht="15.6">
      <c r="C128" s="11" t="s">
        <v>322</v>
      </c>
      <c r="D128" s="206"/>
      <c r="E128" s="203"/>
      <c r="F128" s="203"/>
      <c r="G128" s="204"/>
      <c r="H128" s="13" t="s">
        <v>7</v>
      </c>
      <c r="I128" s="95" t="s">
        <v>323</v>
      </c>
      <c r="J128" s="96" t="s">
        <v>324</v>
      </c>
      <c r="K128" s="96" t="s">
        <v>325</v>
      </c>
      <c r="L128" s="96" t="s">
        <v>326</v>
      </c>
      <c r="M128" s="96" t="s">
        <v>327</v>
      </c>
      <c r="N128" s="96" t="s">
        <v>328</v>
      </c>
      <c r="O128" s="96" t="s">
        <v>329</v>
      </c>
      <c r="P128" s="96" t="s">
        <v>330</v>
      </c>
      <c r="Q128" s="96" t="s">
        <v>331</v>
      </c>
      <c r="R128" s="96" t="s">
        <v>332</v>
      </c>
    </row>
    <row r="129" spans="3:18" ht="15.6">
      <c r="C129" s="11" t="s">
        <v>335</v>
      </c>
      <c r="D129" s="206"/>
      <c r="E129" s="203"/>
      <c r="F129" s="203"/>
      <c r="G129" s="204"/>
      <c r="H129" s="13" t="s">
        <v>7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38"/>
    </row>
    <row r="130" spans="3:18" ht="15.6">
      <c r="C130" s="52" t="s">
        <v>336</v>
      </c>
      <c r="D130" s="211"/>
      <c r="E130" s="203"/>
      <c r="F130" s="203"/>
      <c r="G130" s="204"/>
      <c r="H130" s="93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3:18" ht="15.6">
      <c r="C131" s="11" t="s">
        <v>337</v>
      </c>
      <c r="D131" s="212"/>
      <c r="E131" s="203"/>
      <c r="F131" s="203"/>
      <c r="G131" s="204"/>
      <c r="H131" s="13" t="s">
        <v>7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3:18" ht="15.6">
      <c r="C132" s="11" t="s">
        <v>338</v>
      </c>
      <c r="D132" s="206"/>
      <c r="E132" s="203"/>
      <c r="F132" s="203"/>
      <c r="G132" s="204"/>
      <c r="H132" s="93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3:18" ht="31.2">
      <c r="C133" s="11" t="s">
        <v>339</v>
      </c>
      <c r="D133" s="207"/>
      <c r="E133" s="203"/>
      <c r="F133" s="203"/>
      <c r="G133" s="204"/>
      <c r="H133" s="93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3:18" ht="15.6">
      <c r="D134" s="93"/>
      <c r="E134" s="93"/>
      <c r="F134" s="93"/>
      <c r="G134" s="93"/>
      <c r="H134" s="93"/>
    </row>
    <row r="135" spans="3:18" ht="15.6">
      <c r="D135" s="93"/>
      <c r="E135" s="93"/>
      <c r="F135" s="93"/>
      <c r="G135" s="93"/>
      <c r="H135" s="93"/>
    </row>
    <row r="136" spans="3:18" ht="15.6">
      <c r="D136" s="93"/>
      <c r="E136" s="93"/>
      <c r="F136" s="93"/>
      <c r="G136" s="93"/>
      <c r="H136" s="93"/>
    </row>
    <row r="137" spans="3:18" ht="15.6">
      <c r="D137" s="93"/>
      <c r="E137" s="93"/>
      <c r="F137" s="93"/>
      <c r="G137" s="93"/>
      <c r="H137" s="93"/>
    </row>
    <row r="138" spans="3:18" ht="15.6">
      <c r="D138" s="93"/>
      <c r="E138" s="93"/>
      <c r="F138" s="93"/>
      <c r="G138" s="93"/>
      <c r="H138" s="93"/>
    </row>
    <row r="139" spans="3:18" ht="15.6">
      <c r="D139" s="93"/>
      <c r="E139" s="93"/>
      <c r="F139" s="93"/>
      <c r="G139" s="93"/>
      <c r="H139" s="93"/>
    </row>
    <row r="140" spans="3:18" ht="15.6">
      <c r="D140" s="93"/>
      <c r="E140" s="93"/>
      <c r="F140" s="93"/>
      <c r="G140" s="93"/>
      <c r="H140" s="93"/>
    </row>
    <row r="141" spans="3:18" ht="15.6">
      <c r="D141" s="93"/>
      <c r="E141" s="93"/>
      <c r="F141" s="93"/>
      <c r="G141" s="93"/>
      <c r="H141" s="93"/>
    </row>
    <row r="142" spans="3:18" ht="15.6">
      <c r="D142" s="93"/>
      <c r="E142" s="93"/>
      <c r="F142" s="93"/>
      <c r="G142" s="93"/>
      <c r="H142" s="93"/>
    </row>
    <row r="143" spans="3:18" ht="15.6">
      <c r="D143" s="93"/>
      <c r="E143" s="93"/>
      <c r="F143" s="93"/>
      <c r="G143" s="93"/>
      <c r="H143" s="93"/>
    </row>
    <row r="144" spans="3:18" ht="15.6">
      <c r="D144" s="93"/>
      <c r="E144" s="93"/>
      <c r="F144" s="93"/>
      <c r="G144" s="93"/>
      <c r="H144" s="93"/>
    </row>
    <row r="145" spans="4:8" ht="15.6">
      <c r="D145" s="93"/>
      <c r="E145" s="93"/>
      <c r="F145" s="93"/>
      <c r="G145" s="93"/>
      <c r="H145" s="93"/>
    </row>
    <row r="146" spans="4:8" ht="15.6">
      <c r="D146" s="93"/>
      <c r="E146" s="93"/>
      <c r="F146" s="93"/>
      <c r="G146" s="93"/>
      <c r="H146" s="93"/>
    </row>
    <row r="147" spans="4:8" ht="15.6">
      <c r="D147" s="93"/>
      <c r="E147" s="93"/>
      <c r="F147" s="93"/>
      <c r="G147" s="93"/>
      <c r="H147" s="93"/>
    </row>
    <row r="148" spans="4:8" ht="15.6">
      <c r="D148" s="93"/>
      <c r="E148" s="93"/>
      <c r="F148" s="93"/>
      <c r="G148" s="93"/>
      <c r="H148" s="93"/>
    </row>
    <row r="149" spans="4:8" ht="15.6">
      <c r="D149" s="93"/>
      <c r="E149" s="93"/>
      <c r="F149" s="93"/>
      <c r="G149" s="93"/>
      <c r="H149" s="93"/>
    </row>
    <row r="150" spans="4:8" ht="15.6">
      <c r="D150" s="93"/>
      <c r="E150" s="93"/>
      <c r="F150" s="93"/>
      <c r="G150" s="93"/>
      <c r="H150" s="93"/>
    </row>
    <row r="151" spans="4:8" ht="15.6">
      <c r="D151" s="93"/>
      <c r="E151" s="93"/>
      <c r="F151" s="93"/>
      <c r="G151" s="93"/>
      <c r="H151" s="93"/>
    </row>
    <row r="152" spans="4:8" ht="15.6">
      <c r="D152" s="93"/>
      <c r="E152" s="93"/>
      <c r="F152" s="93"/>
      <c r="G152" s="93"/>
      <c r="H152" s="93"/>
    </row>
    <row r="153" spans="4:8" ht="15.6">
      <c r="D153" s="93"/>
      <c r="E153" s="93"/>
      <c r="F153" s="93"/>
      <c r="G153" s="93"/>
      <c r="H153" s="93"/>
    </row>
    <row r="154" spans="4:8" ht="15.6">
      <c r="D154" s="93"/>
      <c r="E154" s="93"/>
      <c r="F154" s="93"/>
      <c r="G154" s="93"/>
      <c r="H154" s="93"/>
    </row>
    <row r="155" spans="4:8" ht="15.6">
      <c r="D155" s="93"/>
      <c r="E155" s="93"/>
      <c r="F155" s="93"/>
      <c r="G155" s="93"/>
      <c r="H155" s="93"/>
    </row>
    <row r="156" spans="4:8" ht="15.6">
      <c r="D156" s="93"/>
      <c r="E156" s="93"/>
      <c r="F156" s="93"/>
      <c r="G156" s="93"/>
      <c r="H156" s="93"/>
    </row>
    <row r="157" spans="4:8" ht="15.6">
      <c r="D157" s="93"/>
      <c r="E157" s="93"/>
      <c r="F157" s="93"/>
      <c r="G157" s="93"/>
      <c r="H157" s="93"/>
    </row>
    <row r="158" spans="4:8" ht="15.6">
      <c r="D158" s="93"/>
      <c r="E158" s="93"/>
      <c r="F158" s="93"/>
      <c r="G158" s="93"/>
      <c r="H158" s="93"/>
    </row>
    <row r="159" spans="4:8" ht="15.6">
      <c r="D159" s="93"/>
      <c r="E159" s="93"/>
      <c r="F159" s="93"/>
      <c r="G159" s="93"/>
      <c r="H159" s="93"/>
    </row>
    <row r="160" spans="4:8" ht="15.6">
      <c r="D160" s="93"/>
      <c r="E160" s="93"/>
      <c r="F160" s="93"/>
      <c r="G160" s="93"/>
      <c r="H160" s="93"/>
    </row>
    <row r="161" spans="4:8" ht="15.6">
      <c r="D161" s="93"/>
      <c r="E161" s="93"/>
      <c r="F161" s="93"/>
      <c r="G161" s="93"/>
      <c r="H161" s="93"/>
    </row>
    <row r="162" spans="4:8" ht="15.6">
      <c r="D162" s="93"/>
      <c r="E162" s="93"/>
      <c r="F162" s="93"/>
      <c r="G162" s="93"/>
      <c r="H162" s="93"/>
    </row>
    <row r="163" spans="4:8" ht="15.6">
      <c r="D163" s="93"/>
      <c r="E163" s="93"/>
      <c r="F163" s="93"/>
      <c r="G163" s="93"/>
      <c r="H163" s="93"/>
    </row>
    <row r="164" spans="4:8" ht="15.6">
      <c r="D164" s="93"/>
      <c r="E164" s="93"/>
      <c r="F164" s="93"/>
      <c r="G164" s="93"/>
      <c r="H164" s="93"/>
    </row>
    <row r="165" spans="4:8" ht="15.6">
      <c r="D165" s="93"/>
      <c r="E165" s="93"/>
      <c r="F165" s="93"/>
      <c r="G165" s="93"/>
      <c r="H165" s="93"/>
    </row>
    <row r="166" spans="4:8" ht="15.6">
      <c r="D166" s="93"/>
      <c r="E166" s="93"/>
      <c r="F166" s="93"/>
      <c r="G166" s="93"/>
      <c r="H166" s="93"/>
    </row>
    <row r="167" spans="4:8" ht="15.6">
      <c r="D167" s="93"/>
      <c r="E167" s="93"/>
      <c r="F167" s="93"/>
      <c r="G167" s="93"/>
      <c r="H167" s="93"/>
    </row>
    <row r="168" spans="4:8" ht="15.6">
      <c r="D168" s="93"/>
      <c r="E168" s="93"/>
      <c r="F168" s="93"/>
      <c r="G168" s="93"/>
      <c r="H168" s="93"/>
    </row>
    <row r="169" spans="4:8" ht="15.6">
      <c r="D169" s="93"/>
      <c r="E169" s="93"/>
      <c r="F169" s="93"/>
      <c r="G169" s="93"/>
      <c r="H169" s="93"/>
    </row>
    <row r="170" spans="4:8" ht="15.6">
      <c r="D170" s="93"/>
      <c r="E170" s="93"/>
      <c r="F170" s="93"/>
      <c r="G170" s="93"/>
      <c r="H170" s="93"/>
    </row>
    <row r="171" spans="4:8" ht="15.6">
      <c r="D171" s="93"/>
      <c r="E171" s="93"/>
      <c r="F171" s="93"/>
      <c r="G171" s="93"/>
      <c r="H171" s="93"/>
    </row>
    <row r="172" spans="4:8" ht="15.6">
      <c r="D172" s="93"/>
      <c r="E172" s="93"/>
      <c r="F172" s="93"/>
      <c r="G172" s="93"/>
      <c r="H172" s="93"/>
    </row>
    <row r="173" spans="4:8" ht="15.6">
      <c r="D173" s="93"/>
      <c r="E173" s="93"/>
      <c r="F173" s="93"/>
      <c r="G173" s="93"/>
      <c r="H173" s="93"/>
    </row>
    <row r="174" spans="4:8" ht="15.6">
      <c r="D174" s="93"/>
      <c r="E174" s="93"/>
      <c r="F174" s="93"/>
      <c r="G174" s="93"/>
      <c r="H174" s="93"/>
    </row>
    <row r="175" spans="4:8" ht="15.6">
      <c r="D175" s="93"/>
      <c r="E175" s="93"/>
      <c r="F175" s="93"/>
      <c r="G175" s="93"/>
      <c r="H175" s="93"/>
    </row>
    <row r="176" spans="4:8" ht="15.6">
      <c r="D176" s="93"/>
      <c r="E176" s="93"/>
      <c r="F176" s="93"/>
      <c r="G176" s="93"/>
      <c r="H176" s="93"/>
    </row>
    <row r="177" spans="4:8" ht="15.6">
      <c r="D177" s="93"/>
      <c r="E177" s="93"/>
      <c r="F177" s="93"/>
      <c r="G177" s="93"/>
      <c r="H177" s="93"/>
    </row>
    <row r="178" spans="4:8" ht="15.6">
      <c r="D178" s="93"/>
      <c r="E178" s="93"/>
      <c r="F178" s="93"/>
      <c r="G178" s="93"/>
      <c r="H178" s="93"/>
    </row>
    <row r="179" spans="4:8" ht="15.6">
      <c r="D179" s="93"/>
      <c r="E179" s="93"/>
      <c r="F179" s="93"/>
      <c r="G179" s="93"/>
      <c r="H179" s="93"/>
    </row>
    <row r="180" spans="4:8" ht="15.6">
      <c r="D180" s="93"/>
      <c r="E180" s="93"/>
      <c r="F180" s="93"/>
      <c r="G180" s="93"/>
      <c r="H180" s="93"/>
    </row>
    <row r="181" spans="4:8" ht="15.6">
      <c r="D181" s="93"/>
      <c r="E181" s="93"/>
      <c r="F181" s="93"/>
      <c r="G181" s="93"/>
      <c r="H181" s="93"/>
    </row>
    <row r="182" spans="4:8" ht="15.6">
      <c r="D182" s="93"/>
      <c r="E182" s="93"/>
      <c r="F182" s="93"/>
      <c r="G182" s="93"/>
      <c r="H182" s="93"/>
    </row>
    <row r="183" spans="4:8" ht="15.6">
      <c r="D183" s="93"/>
      <c r="E183" s="93"/>
      <c r="F183" s="93"/>
      <c r="G183" s="93"/>
      <c r="H183" s="93"/>
    </row>
    <row r="184" spans="4:8" ht="15.6">
      <c r="D184" s="93"/>
      <c r="E184" s="93"/>
      <c r="F184" s="93"/>
      <c r="G184" s="93"/>
      <c r="H184" s="93"/>
    </row>
    <row r="185" spans="4:8" ht="15.6">
      <c r="D185" s="93"/>
      <c r="E185" s="93"/>
      <c r="F185" s="93"/>
      <c r="G185" s="93"/>
      <c r="H185" s="93"/>
    </row>
    <row r="186" spans="4:8" ht="15.6">
      <c r="D186" s="93"/>
      <c r="E186" s="93"/>
      <c r="F186" s="93"/>
      <c r="G186" s="93"/>
      <c r="H186" s="93"/>
    </row>
    <row r="187" spans="4:8" ht="15.6">
      <c r="D187" s="93"/>
      <c r="E187" s="93"/>
      <c r="F187" s="93"/>
      <c r="G187" s="93"/>
      <c r="H187" s="93"/>
    </row>
    <row r="188" spans="4:8" ht="15.6">
      <c r="D188" s="93"/>
      <c r="E188" s="93"/>
      <c r="F188" s="93"/>
      <c r="G188" s="93"/>
      <c r="H188" s="93"/>
    </row>
    <row r="189" spans="4:8" ht="15.6">
      <c r="D189" s="93"/>
      <c r="E189" s="93"/>
      <c r="F189" s="93"/>
      <c r="G189" s="93"/>
      <c r="H189" s="93"/>
    </row>
    <row r="190" spans="4:8" ht="15.6">
      <c r="D190" s="93"/>
      <c r="E190" s="93"/>
      <c r="F190" s="93"/>
      <c r="G190" s="93"/>
      <c r="H190" s="93"/>
    </row>
    <row r="191" spans="4:8" ht="15.6">
      <c r="D191" s="93"/>
      <c r="E191" s="93"/>
      <c r="F191" s="93"/>
      <c r="G191" s="93"/>
      <c r="H191" s="93"/>
    </row>
    <row r="192" spans="4:8" ht="15.6">
      <c r="D192" s="93"/>
      <c r="E192" s="93"/>
      <c r="F192" s="93"/>
      <c r="G192" s="93"/>
      <c r="H192" s="93"/>
    </row>
    <row r="193" spans="4:8" ht="15.6">
      <c r="D193" s="93"/>
      <c r="E193" s="93"/>
      <c r="F193" s="93"/>
      <c r="G193" s="93"/>
      <c r="H193" s="93"/>
    </row>
    <row r="194" spans="4:8" ht="15.6">
      <c r="D194" s="93"/>
      <c r="E194" s="93"/>
      <c r="F194" s="93"/>
      <c r="G194" s="93"/>
      <c r="H194" s="93"/>
    </row>
    <row r="195" spans="4:8" ht="15.6">
      <c r="D195" s="93"/>
      <c r="E195" s="93"/>
      <c r="F195" s="93"/>
      <c r="G195" s="93"/>
      <c r="H195" s="93"/>
    </row>
    <row r="196" spans="4:8" ht="15.6">
      <c r="D196" s="93"/>
      <c r="E196" s="93"/>
      <c r="F196" s="93"/>
      <c r="G196" s="93"/>
      <c r="H196" s="93"/>
    </row>
    <row r="197" spans="4:8" ht="15.6">
      <c r="D197" s="93"/>
      <c r="E197" s="93"/>
      <c r="F197" s="93"/>
      <c r="G197" s="93"/>
      <c r="H197" s="93"/>
    </row>
    <row r="198" spans="4:8" ht="15.6">
      <c r="D198" s="93"/>
      <c r="E198" s="93"/>
      <c r="F198" s="93"/>
      <c r="G198" s="93"/>
      <c r="H198" s="93"/>
    </row>
    <row r="199" spans="4:8" ht="15.6">
      <c r="D199" s="93"/>
      <c r="E199" s="93"/>
      <c r="F199" s="93"/>
      <c r="G199" s="93"/>
      <c r="H199" s="93"/>
    </row>
    <row r="200" spans="4:8" ht="15.6">
      <c r="D200" s="93"/>
      <c r="E200" s="93"/>
      <c r="F200" s="93"/>
      <c r="G200" s="93"/>
      <c r="H200" s="93"/>
    </row>
    <row r="201" spans="4:8" ht="15.6">
      <c r="D201" s="93"/>
      <c r="E201" s="93"/>
      <c r="F201" s="93"/>
      <c r="G201" s="93"/>
      <c r="H201" s="93"/>
    </row>
    <row r="202" spans="4:8" ht="15.6">
      <c r="D202" s="93"/>
      <c r="E202" s="93"/>
      <c r="F202" s="93"/>
      <c r="G202" s="93"/>
      <c r="H202" s="93"/>
    </row>
    <row r="203" spans="4:8" ht="15.6">
      <c r="D203" s="93"/>
      <c r="E203" s="93"/>
      <c r="F203" s="93"/>
      <c r="G203" s="93"/>
      <c r="H203" s="93"/>
    </row>
    <row r="204" spans="4:8" ht="15.6">
      <c r="D204" s="93"/>
      <c r="E204" s="93"/>
      <c r="F204" s="93"/>
      <c r="G204" s="93"/>
      <c r="H204" s="93"/>
    </row>
    <row r="205" spans="4:8" ht="15.6">
      <c r="D205" s="93"/>
      <c r="E205" s="93"/>
      <c r="F205" s="93"/>
      <c r="G205" s="93"/>
      <c r="H205" s="93"/>
    </row>
    <row r="206" spans="4:8" ht="15.6">
      <c r="D206" s="93"/>
      <c r="E206" s="93"/>
      <c r="F206" s="93"/>
      <c r="G206" s="93"/>
      <c r="H206" s="93"/>
    </row>
    <row r="207" spans="4:8" ht="15.6">
      <c r="D207" s="93"/>
      <c r="E207" s="93"/>
      <c r="F207" s="93"/>
      <c r="G207" s="93"/>
      <c r="H207" s="93"/>
    </row>
    <row r="208" spans="4:8" ht="15.6">
      <c r="D208" s="93"/>
      <c r="E208" s="93"/>
      <c r="F208" s="93"/>
      <c r="G208" s="93"/>
      <c r="H208" s="93"/>
    </row>
    <row r="209" spans="4:8" ht="15.6">
      <c r="D209" s="93"/>
      <c r="E209" s="93"/>
      <c r="F209" s="93"/>
      <c r="G209" s="93"/>
      <c r="H209" s="93"/>
    </row>
    <row r="210" spans="4:8" ht="15.6">
      <c r="D210" s="93"/>
      <c r="E210" s="93"/>
      <c r="F210" s="93"/>
      <c r="G210" s="93"/>
      <c r="H210" s="93"/>
    </row>
    <row r="211" spans="4:8" ht="15.6">
      <c r="D211" s="93"/>
      <c r="E211" s="93"/>
      <c r="F211" s="93"/>
      <c r="G211" s="93"/>
      <c r="H211" s="93"/>
    </row>
    <row r="212" spans="4:8" ht="15.6">
      <c r="D212" s="93"/>
      <c r="E212" s="93"/>
      <c r="F212" s="93"/>
      <c r="G212" s="93"/>
      <c r="H212" s="93"/>
    </row>
    <row r="213" spans="4:8" ht="15.6">
      <c r="D213" s="93"/>
      <c r="E213" s="93"/>
      <c r="F213" s="93"/>
      <c r="G213" s="93"/>
      <c r="H213" s="93"/>
    </row>
    <row r="214" spans="4:8" ht="15.6">
      <c r="D214" s="93"/>
      <c r="E214" s="93"/>
      <c r="F214" s="93"/>
      <c r="G214" s="93"/>
      <c r="H214" s="93"/>
    </row>
    <row r="215" spans="4:8" ht="15.6">
      <c r="D215" s="93"/>
      <c r="E215" s="93"/>
      <c r="F215" s="93"/>
      <c r="G215" s="93"/>
      <c r="H215" s="93"/>
    </row>
    <row r="216" spans="4:8" ht="15.6">
      <c r="D216" s="93"/>
      <c r="E216" s="93"/>
      <c r="F216" s="93"/>
      <c r="G216" s="93"/>
      <c r="H216" s="93"/>
    </row>
    <row r="217" spans="4:8" ht="15.6">
      <c r="D217" s="93"/>
      <c r="E217" s="93"/>
      <c r="F217" s="93"/>
      <c r="G217" s="93"/>
      <c r="H217" s="93"/>
    </row>
    <row r="218" spans="4:8" ht="15.6">
      <c r="D218" s="93"/>
      <c r="E218" s="93"/>
      <c r="F218" s="93"/>
      <c r="G218" s="93"/>
      <c r="H218" s="93"/>
    </row>
    <row r="219" spans="4:8" ht="15.6">
      <c r="D219" s="93"/>
      <c r="E219" s="93"/>
      <c r="F219" s="93"/>
      <c r="G219" s="93"/>
      <c r="H219" s="93"/>
    </row>
    <row r="220" spans="4:8" ht="15.6">
      <c r="D220" s="93"/>
      <c r="E220" s="93"/>
      <c r="F220" s="93"/>
      <c r="G220" s="93"/>
      <c r="H220" s="93"/>
    </row>
    <row r="221" spans="4:8" ht="15.6">
      <c r="D221" s="93"/>
      <c r="E221" s="93"/>
      <c r="F221" s="93"/>
      <c r="G221" s="93"/>
      <c r="H221" s="93"/>
    </row>
    <row r="222" spans="4:8" ht="15.6">
      <c r="D222" s="93"/>
      <c r="E222" s="93"/>
      <c r="F222" s="93"/>
      <c r="G222" s="93"/>
      <c r="H222" s="93"/>
    </row>
    <row r="223" spans="4:8" ht="15.6">
      <c r="D223" s="93"/>
      <c r="E223" s="93"/>
      <c r="F223" s="93"/>
      <c r="G223" s="93"/>
      <c r="H223" s="93"/>
    </row>
    <row r="224" spans="4:8" ht="15.6">
      <c r="D224" s="93"/>
      <c r="E224" s="93"/>
      <c r="F224" s="93"/>
      <c r="G224" s="93"/>
      <c r="H224" s="93"/>
    </row>
    <row r="225" spans="4:8" ht="15.6">
      <c r="D225" s="93"/>
      <c r="E225" s="93"/>
      <c r="F225" s="93"/>
      <c r="G225" s="93"/>
      <c r="H225" s="93"/>
    </row>
    <row r="226" spans="4:8" ht="15.6">
      <c r="D226" s="93"/>
      <c r="E226" s="93"/>
      <c r="F226" s="93"/>
      <c r="G226" s="93"/>
      <c r="H226" s="93"/>
    </row>
    <row r="227" spans="4:8" ht="15.6">
      <c r="D227" s="93"/>
      <c r="E227" s="93"/>
      <c r="F227" s="93"/>
      <c r="G227" s="93"/>
      <c r="H227" s="93"/>
    </row>
    <row r="228" spans="4:8" ht="15.6">
      <c r="D228" s="93"/>
      <c r="E228" s="93"/>
      <c r="F228" s="93"/>
      <c r="G228" s="93"/>
      <c r="H228" s="93"/>
    </row>
    <row r="229" spans="4:8" ht="15.6">
      <c r="D229" s="93"/>
      <c r="E229" s="93"/>
      <c r="F229" s="93"/>
      <c r="G229" s="93"/>
      <c r="H229" s="93"/>
    </row>
    <row r="230" spans="4:8" ht="15.6">
      <c r="D230" s="93"/>
      <c r="E230" s="93"/>
      <c r="F230" s="93"/>
      <c r="G230" s="93"/>
      <c r="H230" s="93"/>
    </row>
    <row r="231" spans="4:8" ht="15.6">
      <c r="D231" s="93"/>
      <c r="E231" s="93"/>
      <c r="F231" s="93"/>
      <c r="G231" s="93"/>
      <c r="H231" s="93"/>
    </row>
    <row r="232" spans="4:8" ht="15.6">
      <c r="D232" s="93"/>
      <c r="E232" s="93"/>
      <c r="F232" s="93"/>
      <c r="G232" s="93"/>
      <c r="H232" s="93"/>
    </row>
    <row r="233" spans="4:8" ht="15.6">
      <c r="D233" s="93"/>
      <c r="E233" s="93"/>
      <c r="F233" s="93"/>
      <c r="G233" s="93"/>
      <c r="H233" s="93"/>
    </row>
    <row r="234" spans="4:8" ht="15.6">
      <c r="D234" s="93"/>
      <c r="E234" s="93"/>
      <c r="F234" s="93"/>
      <c r="G234" s="93"/>
      <c r="H234" s="93"/>
    </row>
    <row r="235" spans="4:8" ht="15.6">
      <c r="D235" s="93"/>
      <c r="E235" s="93"/>
      <c r="F235" s="93"/>
      <c r="G235" s="93"/>
      <c r="H235" s="93"/>
    </row>
    <row r="236" spans="4:8" ht="15.6">
      <c r="D236" s="93"/>
      <c r="E236" s="93"/>
      <c r="F236" s="93"/>
      <c r="G236" s="93"/>
      <c r="H236" s="93"/>
    </row>
    <row r="237" spans="4:8" ht="15.6">
      <c r="D237" s="93"/>
      <c r="E237" s="93"/>
      <c r="F237" s="93"/>
      <c r="G237" s="93"/>
      <c r="H237" s="93"/>
    </row>
    <row r="238" spans="4:8" ht="15.6">
      <c r="D238" s="93"/>
      <c r="E238" s="93"/>
      <c r="F238" s="93"/>
      <c r="G238" s="93"/>
      <c r="H238" s="93"/>
    </row>
    <row r="239" spans="4:8" ht="15.6">
      <c r="D239" s="93"/>
      <c r="E239" s="93"/>
      <c r="F239" s="93"/>
      <c r="G239" s="93"/>
      <c r="H239" s="93"/>
    </row>
    <row r="240" spans="4:8" ht="15.6">
      <c r="D240" s="93"/>
      <c r="E240" s="93"/>
      <c r="F240" s="93"/>
      <c r="G240" s="93"/>
      <c r="H240" s="93"/>
    </row>
    <row r="241" spans="4:8" ht="15.6">
      <c r="D241" s="93"/>
      <c r="E241" s="93"/>
      <c r="F241" s="93"/>
      <c r="G241" s="93"/>
      <c r="H241" s="93"/>
    </row>
    <row r="242" spans="4:8" ht="15.6">
      <c r="D242" s="93"/>
      <c r="E242" s="93"/>
      <c r="F242" s="93"/>
      <c r="G242" s="93"/>
      <c r="H242" s="93"/>
    </row>
    <row r="243" spans="4:8" ht="15.6">
      <c r="D243" s="93"/>
      <c r="E243" s="93"/>
      <c r="F243" s="93"/>
      <c r="G243" s="93"/>
      <c r="H243" s="93"/>
    </row>
    <row r="244" spans="4:8" ht="15.6">
      <c r="D244" s="93"/>
      <c r="E244" s="93"/>
      <c r="F244" s="93"/>
      <c r="G244" s="93"/>
      <c r="H244" s="93"/>
    </row>
    <row r="245" spans="4:8" ht="15.6">
      <c r="D245" s="93"/>
      <c r="E245" s="93"/>
      <c r="F245" s="93"/>
      <c r="G245" s="93"/>
      <c r="H245" s="93"/>
    </row>
    <row r="246" spans="4:8" ht="15.6">
      <c r="D246" s="93"/>
      <c r="E246" s="93"/>
      <c r="F246" s="93"/>
      <c r="G246" s="93"/>
      <c r="H246" s="93"/>
    </row>
    <row r="247" spans="4:8" ht="15.6">
      <c r="D247" s="93"/>
      <c r="E247" s="93"/>
      <c r="F247" s="93"/>
      <c r="G247" s="93"/>
      <c r="H247" s="93"/>
    </row>
    <row r="248" spans="4:8" ht="15.6">
      <c r="D248" s="93"/>
      <c r="E248" s="93"/>
      <c r="F248" s="93"/>
      <c r="G248" s="93"/>
      <c r="H248" s="93"/>
    </row>
    <row r="249" spans="4:8" ht="15.6">
      <c r="D249" s="93"/>
      <c r="E249" s="93"/>
      <c r="F249" s="93"/>
      <c r="G249" s="93"/>
      <c r="H249" s="93"/>
    </row>
    <row r="250" spans="4:8" ht="15.6">
      <c r="D250" s="93"/>
      <c r="E250" s="93"/>
      <c r="F250" s="93"/>
      <c r="G250" s="93"/>
      <c r="H250" s="93"/>
    </row>
    <row r="251" spans="4:8" ht="15.6">
      <c r="D251" s="93"/>
      <c r="E251" s="93"/>
      <c r="F251" s="93"/>
      <c r="G251" s="93"/>
      <c r="H251" s="93"/>
    </row>
    <row r="252" spans="4:8" ht="15.6">
      <c r="D252" s="93"/>
      <c r="E252" s="93"/>
      <c r="F252" s="93"/>
      <c r="G252" s="93"/>
      <c r="H252" s="93"/>
    </row>
    <row r="253" spans="4:8" ht="15.6">
      <c r="D253" s="93"/>
      <c r="E253" s="93"/>
      <c r="F253" s="93"/>
      <c r="G253" s="93"/>
      <c r="H253" s="93"/>
    </row>
    <row r="254" spans="4:8" ht="15.6">
      <c r="D254" s="93"/>
      <c r="E254" s="93"/>
      <c r="F254" s="93"/>
      <c r="G254" s="93"/>
      <c r="H254" s="93"/>
    </row>
    <row r="255" spans="4:8" ht="15.6">
      <c r="D255" s="93"/>
      <c r="E255" s="93"/>
      <c r="F255" s="93"/>
      <c r="G255" s="93"/>
      <c r="H255" s="93"/>
    </row>
    <row r="256" spans="4:8" ht="15.6">
      <c r="D256" s="93"/>
      <c r="E256" s="93"/>
      <c r="F256" s="93"/>
      <c r="G256" s="93"/>
      <c r="H256" s="93"/>
    </row>
    <row r="257" spans="4:8" ht="15.6">
      <c r="D257" s="93"/>
      <c r="E257" s="93"/>
      <c r="F257" s="93"/>
      <c r="G257" s="93"/>
      <c r="H257" s="93"/>
    </row>
    <row r="258" spans="4:8" ht="15.6">
      <c r="D258" s="93"/>
      <c r="E258" s="93"/>
      <c r="F258" s="93"/>
      <c r="G258" s="93"/>
      <c r="H258" s="93"/>
    </row>
    <row r="259" spans="4:8" ht="15.6">
      <c r="D259" s="93"/>
      <c r="E259" s="93"/>
      <c r="F259" s="93"/>
      <c r="G259" s="93"/>
      <c r="H259" s="93"/>
    </row>
    <row r="260" spans="4:8" ht="15.6">
      <c r="D260" s="93"/>
      <c r="E260" s="93"/>
      <c r="F260" s="93"/>
      <c r="G260" s="93"/>
      <c r="H260" s="93"/>
    </row>
    <row r="261" spans="4:8" ht="15.6">
      <c r="D261" s="93"/>
      <c r="E261" s="93"/>
      <c r="F261" s="93"/>
      <c r="G261" s="93"/>
      <c r="H261" s="93"/>
    </row>
    <row r="262" spans="4:8" ht="15.6">
      <c r="D262" s="93"/>
      <c r="E262" s="93"/>
      <c r="F262" s="93"/>
      <c r="G262" s="93"/>
      <c r="H262" s="93"/>
    </row>
    <row r="263" spans="4:8" ht="15.6">
      <c r="D263" s="93"/>
      <c r="E263" s="93"/>
      <c r="F263" s="93"/>
      <c r="G263" s="93"/>
      <c r="H263" s="93"/>
    </row>
    <row r="264" spans="4:8" ht="15.6">
      <c r="D264" s="93"/>
      <c r="E264" s="93"/>
      <c r="F264" s="93"/>
      <c r="G264" s="93"/>
      <c r="H264" s="93"/>
    </row>
    <row r="265" spans="4:8" ht="15.6">
      <c r="D265" s="93"/>
      <c r="E265" s="93"/>
      <c r="F265" s="93"/>
      <c r="G265" s="93"/>
      <c r="H265" s="93"/>
    </row>
    <row r="266" spans="4:8" ht="15.6">
      <c r="D266" s="93"/>
      <c r="E266" s="93"/>
      <c r="F266" s="93"/>
      <c r="G266" s="93"/>
      <c r="H266" s="93"/>
    </row>
    <row r="267" spans="4:8" ht="15.6">
      <c r="D267" s="93"/>
      <c r="E267" s="93"/>
      <c r="F267" s="93"/>
      <c r="G267" s="93"/>
      <c r="H267" s="93"/>
    </row>
    <row r="268" spans="4:8" ht="15.6">
      <c r="D268" s="93"/>
      <c r="E268" s="93"/>
      <c r="F268" s="93"/>
      <c r="G268" s="93"/>
      <c r="H268" s="93"/>
    </row>
    <row r="269" spans="4:8" ht="15.6">
      <c r="D269" s="93"/>
      <c r="E269" s="93"/>
      <c r="F269" s="93"/>
      <c r="G269" s="93"/>
      <c r="H269" s="93"/>
    </row>
    <row r="270" spans="4:8" ht="15.6">
      <c r="D270" s="93"/>
      <c r="E270" s="93"/>
      <c r="F270" s="93"/>
      <c r="G270" s="93"/>
      <c r="H270" s="93"/>
    </row>
    <row r="271" spans="4:8" ht="15.6">
      <c r="D271" s="93"/>
      <c r="E271" s="93"/>
      <c r="F271" s="93"/>
      <c r="G271" s="93"/>
      <c r="H271" s="93"/>
    </row>
    <row r="272" spans="4:8" ht="15.6">
      <c r="D272" s="93"/>
      <c r="E272" s="93"/>
      <c r="F272" s="93"/>
      <c r="G272" s="93"/>
      <c r="H272" s="93"/>
    </row>
    <row r="273" spans="4:8" ht="15.6">
      <c r="D273" s="93"/>
      <c r="E273" s="93"/>
      <c r="F273" s="93"/>
      <c r="G273" s="93"/>
      <c r="H273" s="93"/>
    </row>
    <row r="274" spans="4:8" ht="15.6">
      <c r="D274" s="93"/>
      <c r="E274" s="93"/>
      <c r="F274" s="93"/>
      <c r="G274" s="93"/>
      <c r="H274" s="93"/>
    </row>
    <row r="275" spans="4:8" ht="15.6">
      <c r="D275" s="93"/>
      <c r="E275" s="93"/>
      <c r="F275" s="93"/>
      <c r="G275" s="93"/>
      <c r="H275" s="93"/>
    </row>
    <row r="276" spans="4:8" ht="15.6">
      <c r="D276" s="93"/>
      <c r="E276" s="93"/>
      <c r="F276" s="93"/>
      <c r="G276" s="93"/>
      <c r="H276" s="93"/>
    </row>
    <row r="277" spans="4:8" ht="15.6">
      <c r="D277" s="93"/>
      <c r="E277" s="93"/>
      <c r="F277" s="93"/>
      <c r="G277" s="93"/>
      <c r="H277" s="93"/>
    </row>
    <row r="278" spans="4:8" ht="15.6">
      <c r="D278" s="93"/>
      <c r="E278" s="93"/>
      <c r="F278" s="93"/>
      <c r="G278" s="93"/>
      <c r="H278" s="93"/>
    </row>
    <row r="279" spans="4:8" ht="15.6">
      <c r="D279" s="93"/>
      <c r="E279" s="93"/>
      <c r="F279" s="93"/>
      <c r="G279" s="93"/>
      <c r="H279" s="93"/>
    </row>
    <row r="280" spans="4:8" ht="15.6">
      <c r="D280" s="93"/>
      <c r="E280" s="93"/>
      <c r="F280" s="93"/>
      <c r="G280" s="93"/>
      <c r="H280" s="93"/>
    </row>
    <row r="281" spans="4:8" ht="15.6">
      <c r="D281" s="93"/>
      <c r="E281" s="93"/>
      <c r="F281" s="93"/>
      <c r="G281" s="93"/>
      <c r="H281" s="93"/>
    </row>
    <row r="282" spans="4:8" ht="15.6">
      <c r="D282" s="93"/>
      <c r="E282" s="93"/>
      <c r="F282" s="93"/>
      <c r="G282" s="93"/>
      <c r="H282" s="93"/>
    </row>
    <row r="283" spans="4:8" ht="15.6">
      <c r="D283" s="93"/>
      <c r="E283" s="93"/>
      <c r="F283" s="93"/>
      <c r="G283" s="93"/>
      <c r="H283" s="93"/>
    </row>
    <row r="284" spans="4:8" ht="15.6">
      <c r="D284" s="93"/>
      <c r="E284" s="93"/>
      <c r="F284" s="93"/>
      <c r="G284" s="93"/>
      <c r="H284" s="93"/>
    </row>
    <row r="285" spans="4:8" ht="15.6">
      <c r="D285" s="93"/>
      <c r="E285" s="93"/>
      <c r="F285" s="93"/>
      <c r="G285" s="93"/>
      <c r="H285" s="93"/>
    </row>
    <row r="286" spans="4:8" ht="15.6">
      <c r="D286" s="93"/>
      <c r="E286" s="93"/>
      <c r="F286" s="93"/>
      <c r="G286" s="93"/>
      <c r="H286" s="93"/>
    </row>
    <row r="287" spans="4:8" ht="15.6">
      <c r="D287" s="93"/>
      <c r="E287" s="93"/>
      <c r="F287" s="93"/>
      <c r="G287" s="93"/>
      <c r="H287" s="93"/>
    </row>
    <row r="288" spans="4:8" ht="15.6">
      <c r="D288" s="93"/>
      <c r="E288" s="93"/>
      <c r="F288" s="93"/>
      <c r="G288" s="93"/>
      <c r="H288" s="93"/>
    </row>
    <row r="289" spans="4:8" ht="15.6">
      <c r="D289" s="93"/>
      <c r="E289" s="93"/>
      <c r="F289" s="93"/>
      <c r="G289" s="93"/>
      <c r="H289" s="93"/>
    </row>
    <row r="290" spans="4:8" ht="15.6">
      <c r="D290" s="93"/>
      <c r="E290" s="93"/>
      <c r="F290" s="93"/>
      <c r="G290" s="93"/>
      <c r="H290" s="93"/>
    </row>
    <row r="291" spans="4:8" ht="15.6">
      <c r="D291" s="93"/>
      <c r="E291" s="93"/>
      <c r="F291" s="93"/>
      <c r="G291" s="93"/>
      <c r="H291" s="93"/>
    </row>
    <row r="292" spans="4:8" ht="15.6">
      <c r="D292" s="93"/>
      <c r="E292" s="93"/>
      <c r="F292" s="93"/>
      <c r="G292" s="93"/>
      <c r="H292" s="93"/>
    </row>
    <row r="293" spans="4:8" ht="15.6">
      <c r="D293" s="93"/>
      <c r="E293" s="93"/>
      <c r="F293" s="93"/>
      <c r="G293" s="93"/>
      <c r="H293" s="93"/>
    </row>
    <row r="294" spans="4:8" ht="15.6">
      <c r="D294" s="93"/>
      <c r="E294" s="93"/>
      <c r="F294" s="93"/>
      <c r="G294" s="93"/>
      <c r="H294" s="93"/>
    </row>
    <row r="295" spans="4:8" ht="15.6">
      <c r="D295" s="93"/>
      <c r="E295" s="93"/>
      <c r="F295" s="93"/>
      <c r="G295" s="93"/>
      <c r="H295" s="93"/>
    </row>
    <row r="296" spans="4:8" ht="15.6">
      <c r="D296" s="93"/>
      <c r="E296" s="93"/>
      <c r="F296" s="93"/>
      <c r="G296" s="93"/>
      <c r="H296" s="93"/>
    </row>
    <row r="297" spans="4:8" ht="15.6">
      <c r="D297" s="93"/>
      <c r="E297" s="93"/>
      <c r="F297" s="93"/>
      <c r="G297" s="93"/>
      <c r="H297" s="93"/>
    </row>
    <row r="298" spans="4:8" ht="15.6">
      <c r="D298" s="93"/>
      <c r="E298" s="93"/>
      <c r="F298" s="93"/>
      <c r="G298" s="93"/>
      <c r="H298" s="93"/>
    </row>
    <row r="299" spans="4:8" ht="15.6">
      <c r="D299" s="93"/>
      <c r="E299" s="93"/>
      <c r="F299" s="93"/>
      <c r="G299" s="93"/>
      <c r="H299" s="93"/>
    </row>
    <row r="300" spans="4:8" ht="15.6">
      <c r="D300" s="93"/>
      <c r="E300" s="93"/>
      <c r="F300" s="93"/>
      <c r="G300" s="93"/>
      <c r="H300" s="93"/>
    </row>
    <row r="301" spans="4:8" ht="15.6">
      <c r="D301" s="93"/>
      <c r="E301" s="93"/>
      <c r="F301" s="93"/>
      <c r="G301" s="93"/>
      <c r="H301" s="93"/>
    </row>
    <row r="302" spans="4:8" ht="15.6">
      <c r="D302" s="93"/>
      <c r="E302" s="93"/>
      <c r="F302" s="93"/>
      <c r="G302" s="93"/>
      <c r="H302" s="93"/>
    </row>
    <row r="303" spans="4:8" ht="15.6">
      <c r="D303" s="93"/>
      <c r="E303" s="93"/>
      <c r="F303" s="93"/>
      <c r="G303" s="93"/>
      <c r="H303" s="93"/>
    </row>
    <row r="304" spans="4:8" ht="15.6">
      <c r="D304" s="93"/>
      <c r="E304" s="93"/>
      <c r="F304" s="93"/>
      <c r="G304" s="93"/>
      <c r="H304" s="93"/>
    </row>
    <row r="305" spans="4:8" ht="15.6">
      <c r="D305" s="93"/>
      <c r="E305" s="93"/>
      <c r="F305" s="93"/>
      <c r="G305" s="93"/>
      <c r="H305" s="93"/>
    </row>
    <row r="306" spans="4:8" ht="15.6">
      <c r="D306" s="93"/>
      <c r="E306" s="93"/>
      <c r="F306" s="93"/>
      <c r="G306" s="93"/>
      <c r="H306" s="93"/>
    </row>
    <row r="307" spans="4:8" ht="15.6">
      <c r="D307" s="93"/>
      <c r="E307" s="93"/>
      <c r="F307" s="93"/>
      <c r="G307" s="93"/>
      <c r="H307" s="93"/>
    </row>
    <row r="308" spans="4:8" ht="15.6">
      <c r="D308" s="93"/>
      <c r="E308" s="93"/>
      <c r="F308" s="93"/>
      <c r="G308" s="93"/>
      <c r="H308" s="93"/>
    </row>
    <row r="309" spans="4:8" ht="15.6">
      <c r="D309" s="93"/>
      <c r="E309" s="93"/>
      <c r="F309" s="93"/>
      <c r="G309" s="93"/>
      <c r="H309" s="93"/>
    </row>
    <row r="310" spans="4:8" ht="15.6">
      <c r="D310" s="93"/>
      <c r="E310" s="93"/>
      <c r="F310" s="93"/>
      <c r="G310" s="93"/>
      <c r="H310" s="93"/>
    </row>
    <row r="311" spans="4:8" ht="15.6">
      <c r="D311" s="93"/>
      <c r="E311" s="93"/>
      <c r="F311" s="93"/>
      <c r="G311" s="93"/>
      <c r="H311" s="93"/>
    </row>
    <row r="312" spans="4:8" ht="15.6">
      <c r="D312" s="93"/>
      <c r="E312" s="93"/>
      <c r="F312" s="93"/>
      <c r="G312" s="93"/>
      <c r="H312" s="93"/>
    </row>
    <row r="313" spans="4:8" ht="15.6">
      <c r="D313" s="93"/>
      <c r="E313" s="93"/>
      <c r="F313" s="93"/>
      <c r="G313" s="93"/>
      <c r="H313" s="93"/>
    </row>
    <row r="314" spans="4:8" ht="15.6">
      <c r="D314" s="93"/>
      <c r="E314" s="93"/>
      <c r="F314" s="93"/>
      <c r="G314" s="93"/>
      <c r="H314" s="93"/>
    </row>
    <row r="315" spans="4:8" ht="15.6">
      <c r="D315" s="93"/>
      <c r="E315" s="93"/>
      <c r="F315" s="93"/>
      <c r="G315" s="93"/>
      <c r="H315" s="93"/>
    </row>
    <row r="316" spans="4:8" ht="15.6">
      <c r="D316" s="93"/>
      <c r="E316" s="93"/>
      <c r="F316" s="93"/>
      <c r="G316" s="93"/>
      <c r="H316" s="93"/>
    </row>
    <row r="317" spans="4:8" ht="15.6">
      <c r="D317" s="93"/>
      <c r="E317" s="93"/>
      <c r="F317" s="93"/>
      <c r="G317" s="93"/>
      <c r="H317" s="93"/>
    </row>
    <row r="318" spans="4:8" ht="15.6">
      <c r="D318" s="93"/>
      <c r="E318" s="93"/>
      <c r="F318" s="93"/>
      <c r="G318" s="93"/>
      <c r="H318" s="93"/>
    </row>
    <row r="319" spans="4:8" ht="15.6">
      <c r="D319" s="93"/>
      <c r="E319" s="93"/>
      <c r="F319" s="93"/>
      <c r="G319" s="93"/>
      <c r="H319" s="93"/>
    </row>
    <row r="320" spans="4:8" ht="15.6">
      <c r="D320" s="93"/>
      <c r="E320" s="93"/>
      <c r="F320" s="93"/>
      <c r="G320" s="93"/>
      <c r="H320" s="93"/>
    </row>
    <row r="321" spans="4:8" ht="15.6">
      <c r="D321" s="93"/>
      <c r="E321" s="93"/>
      <c r="F321" s="93"/>
      <c r="G321" s="93"/>
      <c r="H321" s="93"/>
    </row>
    <row r="322" spans="4:8" ht="15.6">
      <c r="D322" s="93"/>
      <c r="E322" s="93"/>
      <c r="F322" s="93"/>
      <c r="G322" s="93"/>
      <c r="H322" s="93"/>
    </row>
    <row r="323" spans="4:8" ht="15.6">
      <c r="D323" s="93"/>
      <c r="E323" s="93"/>
      <c r="F323" s="93"/>
      <c r="G323" s="93"/>
      <c r="H323" s="93"/>
    </row>
    <row r="324" spans="4:8" ht="15.6">
      <c r="D324" s="93"/>
      <c r="E324" s="93"/>
      <c r="F324" s="93"/>
      <c r="G324" s="93"/>
      <c r="H324" s="93"/>
    </row>
    <row r="325" spans="4:8" ht="15.6">
      <c r="D325" s="93"/>
      <c r="E325" s="93"/>
      <c r="F325" s="93"/>
      <c r="G325" s="93"/>
      <c r="H325" s="93"/>
    </row>
    <row r="326" spans="4:8" ht="15.6">
      <c r="D326" s="93"/>
      <c r="E326" s="93"/>
      <c r="F326" s="93"/>
      <c r="G326" s="93"/>
      <c r="H326" s="93"/>
    </row>
    <row r="327" spans="4:8" ht="15.6">
      <c r="D327" s="93"/>
      <c r="E327" s="93"/>
      <c r="F327" s="93"/>
      <c r="G327" s="93"/>
      <c r="H327" s="93"/>
    </row>
    <row r="328" spans="4:8" ht="15.6">
      <c r="D328" s="93"/>
      <c r="E328" s="93"/>
      <c r="F328" s="93"/>
      <c r="G328" s="93"/>
      <c r="H328" s="93"/>
    </row>
    <row r="329" spans="4:8" ht="15.6">
      <c r="D329" s="93"/>
      <c r="E329" s="93"/>
      <c r="F329" s="93"/>
      <c r="G329" s="93"/>
      <c r="H329" s="93"/>
    </row>
    <row r="330" spans="4:8" ht="15.6">
      <c r="D330" s="93"/>
      <c r="E330" s="93"/>
      <c r="F330" s="93"/>
      <c r="G330" s="93"/>
      <c r="H330" s="93"/>
    </row>
    <row r="331" spans="4:8" ht="15.6">
      <c r="D331" s="93"/>
      <c r="E331" s="93"/>
      <c r="F331" s="93"/>
      <c r="G331" s="93"/>
      <c r="H331" s="93"/>
    </row>
    <row r="332" spans="4:8" ht="15.6">
      <c r="D332" s="93"/>
      <c r="E332" s="93"/>
      <c r="F332" s="93"/>
      <c r="G332" s="93"/>
      <c r="H332" s="93"/>
    </row>
    <row r="333" spans="4:8" ht="15.6">
      <c r="D333" s="93"/>
      <c r="E333" s="93"/>
      <c r="F333" s="93"/>
      <c r="G333" s="93"/>
      <c r="H333" s="93"/>
    </row>
    <row r="334" spans="4:8" ht="15.6">
      <c r="D334" s="93"/>
      <c r="E334" s="93"/>
      <c r="F334" s="93"/>
      <c r="G334" s="93"/>
      <c r="H334" s="93"/>
    </row>
    <row r="335" spans="4:8" ht="15.6">
      <c r="D335" s="93"/>
      <c r="E335" s="93"/>
      <c r="F335" s="93"/>
      <c r="G335" s="93"/>
      <c r="H335" s="93"/>
    </row>
    <row r="336" spans="4:8" ht="15.6">
      <c r="D336" s="93"/>
      <c r="E336" s="93"/>
      <c r="F336" s="93"/>
      <c r="G336" s="93"/>
      <c r="H336" s="93"/>
    </row>
    <row r="337" spans="4:8" ht="15.6">
      <c r="D337" s="93"/>
      <c r="E337" s="93"/>
      <c r="F337" s="93"/>
      <c r="G337" s="93"/>
      <c r="H337" s="93"/>
    </row>
    <row r="338" spans="4:8" ht="15.6">
      <c r="D338" s="93"/>
      <c r="E338" s="93"/>
      <c r="F338" s="93"/>
      <c r="G338" s="93"/>
      <c r="H338" s="93"/>
    </row>
    <row r="339" spans="4:8" ht="15.6">
      <c r="D339" s="93"/>
      <c r="E339" s="93"/>
      <c r="F339" s="93"/>
      <c r="G339" s="93"/>
      <c r="H339" s="93"/>
    </row>
    <row r="340" spans="4:8" ht="15.6">
      <c r="D340" s="93"/>
      <c r="E340" s="93"/>
      <c r="F340" s="93"/>
      <c r="G340" s="93"/>
      <c r="H340" s="93"/>
    </row>
    <row r="341" spans="4:8" ht="15.6">
      <c r="D341" s="93"/>
      <c r="E341" s="93"/>
      <c r="F341" s="93"/>
      <c r="G341" s="93"/>
      <c r="H341" s="93"/>
    </row>
    <row r="342" spans="4:8" ht="15.6">
      <c r="D342" s="93"/>
      <c r="E342" s="93"/>
      <c r="F342" s="93"/>
      <c r="G342" s="93"/>
      <c r="H342" s="93"/>
    </row>
    <row r="343" spans="4:8" ht="15.6">
      <c r="D343" s="93"/>
      <c r="E343" s="93"/>
      <c r="F343" s="93"/>
      <c r="G343" s="93"/>
      <c r="H343" s="93"/>
    </row>
    <row r="344" spans="4:8" ht="15.6">
      <c r="D344" s="93"/>
      <c r="E344" s="93"/>
      <c r="F344" s="93"/>
      <c r="G344" s="93"/>
      <c r="H344" s="93"/>
    </row>
    <row r="345" spans="4:8" ht="15.6">
      <c r="D345" s="93"/>
      <c r="E345" s="93"/>
      <c r="F345" s="93"/>
      <c r="G345" s="93"/>
      <c r="H345" s="93"/>
    </row>
    <row r="346" spans="4:8" ht="15.6">
      <c r="D346" s="93"/>
      <c r="E346" s="93"/>
      <c r="F346" s="93"/>
      <c r="G346" s="93"/>
      <c r="H346" s="93"/>
    </row>
    <row r="347" spans="4:8" ht="15.6">
      <c r="D347" s="93"/>
      <c r="E347" s="93"/>
      <c r="F347" s="93"/>
      <c r="G347" s="93"/>
      <c r="H347" s="93"/>
    </row>
    <row r="348" spans="4:8" ht="15.6">
      <c r="D348" s="93"/>
      <c r="E348" s="93"/>
      <c r="F348" s="93"/>
      <c r="G348" s="93"/>
      <c r="H348" s="93"/>
    </row>
    <row r="349" spans="4:8" ht="15.6">
      <c r="D349" s="93"/>
      <c r="E349" s="93"/>
      <c r="F349" s="93"/>
      <c r="G349" s="93"/>
      <c r="H349" s="93"/>
    </row>
    <row r="350" spans="4:8" ht="15.6">
      <c r="D350" s="93"/>
      <c r="E350" s="93"/>
      <c r="F350" s="93"/>
      <c r="G350" s="93"/>
      <c r="H350" s="93"/>
    </row>
    <row r="351" spans="4:8" ht="15.6">
      <c r="D351" s="93"/>
      <c r="E351" s="93"/>
      <c r="F351" s="93"/>
      <c r="G351" s="93"/>
      <c r="H351" s="93"/>
    </row>
    <row r="352" spans="4:8" ht="15.6">
      <c r="D352" s="93"/>
      <c r="E352" s="93"/>
      <c r="F352" s="93"/>
      <c r="G352" s="93"/>
      <c r="H352" s="93"/>
    </row>
    <row r="353" spans="4:8" ht="15.6">
      <c r="D353" s="93"/>
      <c r="E353" s="93"/>
      <c r="F353" s="93"/>
      <c r="G353" s="93"/>
      <c r="H353" s="93"/>
    </row>
    <row r="354" spans="4:8" ht="15.6">
      <c r="D354" s="93"/>
      <c r="E354" s="93"/>
      <c r="F354" s="93"/>
      <c r="G354" s="93"/>
      <c r="H354" s="93"/>
    </row>
    <row r="355" spans="4:8" ht="15.6">
      <c r="D355" s="93"/>
      <c r="E355" s="93"/>
      <c r="F355" s="93"/>
      <c r="G355" s="93"/>
      <c r="H355" s="93"/>
    </row>
    <row r="356" spans="4:8" ht="15.6">
      <c r="D356" s="93"/>
      <c r="E356" s="93"/>
      <c r="F356" s="93"/>
      <c r="G356" s="93"/>
      <c r="H356" s="93"/>
    </row>
    <row r="357" spans="4:8" ht="15.6">
      <c r="D357" s="93"/>
      <c r="E357" s="93"/>
      <c r="F357" s="93"/>
      <c r="G357" s="93"/>
      <c r="H357" s="93"/>
    </row>
    <row r="358" spans="4:8" ht="15.6">
      <c r="D358" s="93"/>
      <c r="E358" s="93"/>
      <c r="F358" s="93"/>
      <c r="G358" s="93"/>
      <c r="H358" s="93"/>
    </row>
    <row r="359" spans="4:8" ht="15.6">
      <c r="D359" s="93"/>
      <c r="E359" s="93"/>
      <c r="F359" s="93"/>
      <c r="G359" s="93"/>
      <c r="H359" s="93"/>
    </row>
    <row r="360" spans="4:8" ht="15.6">
      <c r="D360" s="93"/>
      <c r="E360" s="93"/>
      <c r="F360" s="93"/>
      <c r="G360" s="93"/>
      <c r="H360" s="93"/>
    </row>
    <row r="361" spans="4:8" ht="15.6">
      <c r="D361" s="93"/>
      <c r="E361" s="93"/>
      <c r="F361" s="93"/>
      <c r="G361" s="93"/>
      <c r="H361" s="93"/>
    </row>
    <row r="362" spans="4:8" ht="15.6">
      <c r="D362" s="93"/>
      <c r="E362" s="93"/>
      <c r="F362" s="93"/>
      <c r="G362" s="93"/>
      <c r="H362" s="93"/>
    </row>
    <row r="363" spans="4:8" ht="15.6">
      <c r="D363" s="93"/>
      <c r="E363" s="93"/>
      <c r="F363" s="93"/>
      <c r="G363" s="93"/>
      <c r="H363" s="93"/>
    </row>
    <row r="364" spans="4:8" ht="15.6">
      <c r="D364" s="93"/>
      <c r="E364" s="93"/>
      <c r="F364" s="93"/>
      <c r="G364" s="93"/>
      <c r="H364" s="93"/>
    </row>
    <row r="365" spans="4:8" ht="15.6">
      <c r="D365" s="93"/>
      <c r="E365" s="93"/>
      <c r="F365" s="93"/>
      <c r="G365" s="93"/>
      <c r="H365" s="93"/>
    </row>
    <row r="366" spans="4:8" ht="15.6">
      <c r="D366" s="93"/>
      <c r="E366" s="93"/>
      <c r="F366" s="93"/>
      <c r="G366" s="93"/>
      <c r="H366" s="93"/>
    </row>
    <row r="367" spans="4:8" ht="15.6">
      <c r="D367" s="93"/>
      <c r="E367" s="93"/>
      <c r="F367" s="93"/>
      <c r="G367" s="93"/>
      <c r="H367" s="93"/>
    </row>
    <row r="368" spans="4:8" ht="15.6">
      <c r="D368" s="93"/>
      <c r="E368" s="93"/>
      <c r="F368" s="93"/>
      <c r="G368" s="93"/>
      <c r="H368" s="93"/>
    </row>
    <row r="369" spans="4:8" ht="15.6">
      <c r="D369" s="93"/>
      <c r="E369" s="93"/>
      <c r="F369" s="93"/>
      <c r="G369" s="93"/>
      <c r="H369" s="93"/>
    </row>
    <row r="370" spans="4:8" ht="15.6">
      <c r="D370" s="93"/>
      <c r="E370" s="93"/>
      <c r="F370" s="93"/>
      <c r="G370" s="93"/>
      <c r="H370" s="93"/>
    </row>
    <row r="371" spans="4:8" ht="15.6">
      <c r="D371" s="93"/>
      <c r="E371" s="93"/>
      <c r="F371" s="93"/>
      <c r="G371" s="93"/>
      <c r="H371" s="93"/>
    </row>
    <row r="372" spans="4:8" ht="15.6">
      <c r="D372" s="93"/>
      <c r="E372" s="93"/>
      <c r="F372" s="93"/>
      <c r="G372" s="93"/>
      <c r="H372" s="93"/>
    </row>
    <row r="373" spans="4:8" ht="15.6">
      <c r="D373" s="93"/>
      <c r="E373" s="93"/>
      <c r="F373" s="93"/>
      <c r="G373" s="93"/>
      <c r="H373" s="93"/>
    </row>
    <row r="374" spans="4:8" ht="15.6">
      <c r="D374" s="93"/>
      <c r="E374" s="93"/>
      <c r="F374" s="93"/>
      <c r="G374" s="93"/>
      <c r="H374" s="93"/>
    </row>
    <row r="375" spans="4:8" ht="15.6">
      <c r="D375" s="93"/>
      <c r="E375" s="93"/>
      <c r="F375" s="93"/>
      <c r="G375" s="93"/>
      <c r="H375" s="93"/>
    </row>
    <row r="376" spans="4:8" ht="15.6">
      <c r="D376" s="93"/>
      <c r="E376" s="93"/>
      <c r="F376" s="93"/>
      <c r="G376" s="93"/>
      <c r="H376" s="93"/>
    </row>
    <row r="377" spans="4:8" ht="15.6">
      <c r="D377" s="93"/>
      <c r="E377" s="93"/>
      <c r="F377" s="93"/>
      <c r="G377" s="93"/>
      <c r="H377" s="93"/>
    </row>
    <row r="378" spans="4:8" ht="15.6">
      <c r="D378" s="93"/>
      <c r="E378" s="93"/>
      <c r="F378" s="93"/>
      <c r="G378" s="93"/>
      <c r="H378" s="93"/>
    </row>
    <row r="379" spans="4:8" ht="15.6">
      <c r="D379" s="93"/>
      <c r="E379" s="93"/>
      <c r="F379" s="93"/>
      <c r="G379" s="93"/>
      <c r="H379" s="93"/>
    </row>
    <row r="380" spans="4:8" ht="15.6">
      <c r="D380" s="93"/>
      <c r="E380" s="93"/>
      <c r="F380" s="93"/>
      <c r="G380" s="93"/>
      <c r="H380" s="93"/>
    </row>
    <row r="381" spans="4:8" ht="15.6">
      <c r="D381" s="93"/>
      <c r="E381" s="93"/>
      <c r="F381" s="93"/>
      <c r="G381" s="93"/>
      <c r="H381" s="93"/>
    </row>
    <row r="382" spans="4:8" ht="15.6">
      <c r="D382" s="93"/>
      <c r="E382" s="93"/>
      <c r="F382" s="93"/>
      <c r="G382" s="93"/>
      <c r="H382" s="93"/>
    </row>
    <row r="383" spans="4:8" ht="15.6">
      <c r="D383" s="93"/>
      <c r="E383" s="93"/>
      <c r="F383" s="93"/>
      <c r="G383" s="93"/>
      <c r="H383" s="93"/>
    </row>
    <row r="384" spans="4:8" ht="15.6">
      <c r="D384" s="93"/>
      <c r="E384" s="93"/>
      <c r="F384" s="93"/>
      <c r="G384" s="93"/>
      <c r="H384" s="93"/>
    </row>
    <row r="385" spans="4:8" ht="15.6">
      <c r="D385" s="93"/>
      <c r="E385" s="93"/>
      <c r="F385" s="93"/>
      <c r="G385" s="93"/>
      <c r="H385" s="93"/>
    </row>
    <row r="386" spans="4:8" ht="15.6">
      <c r="D386" s="93"/>
      <c r="E386" s="93"/>
      <c r="F386" s="93"/>
      <c r="G386" s="93"/>
      <c r="H386" s="93"/>
    </row>
    <row r="387" spans="4:8" ht="15.6">
      <c r="D387" s="93"/>
      <c r="E387" s="93"/>
      <c r="F387" s="93"/>
      <c r="G387" s="93"/>
      <c r="H387" s="93"/>
    </row>
    <row r="388" spans="4:8" ht="15.6">
      <c r="D388" s="93"/>
      <c r="E388" s="93"/>
      <c r="F388" s="93"/>
      <c r="G388" s="93"/>
      <c r="H388" s="93"/>
    </row>
    <row r="389" spans="4:8" ht="15.6">
      <c r="D389" s="93"/>
      <c r="E389" s="93"/>
      <c r="F389" s="93"/>
      <c r="G389" s="93"/>
      <c r="H389" s="93"/>
    </row>
    <row r="390" spans="4:8" ht="15.6">
      <c r="D390" s="93"/>
      <c r="E390" s="93"/>
      <c r="F390" s="93"/>
      <c r="G390" s="93"/>
      <c r="H390" s="93"/>
    </row>
    <row r="391" spans="4:8" ht="15.6">
      <c r="D391" s="93"/>
      <c r="E391" s="93"/>
      <c r="F391" s="93"/>
      <c r="G391" s="93"/>
      <c r="H391" s="93"/>
    </row>
    <row r="392" spans="4:8" ht="15.6">
      <c r="D392" s="93"/>
      <c r="E392" s="93"/>
      <c r="F392" s="93"/>
      <c r="G392" s="93"/>
      <c r="H392" s="93"/>
    </row>
    <row r="393" spans="4:8" ht="15.6">
      <c r="D393" s="93"/>
      <c r="E393" s="93"/>
      <c r="F393" s="93"/>
      <c r="G393" s="93"/>
      <c r="H393" s="93"/>
    </row>
    <row r="394" spans="4:8" ht="15.6">
      <c r="D394" s="93"/>
      <c r="E394" s="93"/>
      <c r="F394" s="93"/>
      <c r="G394" s="93"/>
      <c r="H394" s="93"/>
    </row>
    <row r="395" spans="4:8" ht="15.6">
      <c r="D395" s="93"/>
      <c r="E395" s="93"/>
      <c r="F395" s="93"/>
      <c r="G395" s="93"/>
      <c r="H395" s="93"/>
    </row>
    <row r="396" spans="4:8" ht="15.6">
      <c r="D396" s="93"/>
      <c r="E396" s="93"/>
      <c r="F396" s="93"/>
      <c r="G396" s="93"/>
      <c r="H396" s="93"/>
    </row>
    <row r="397" spans="4:8" ht="15.6">
      <c r="D397" s="93"/>
      <c r="E397" s="93"/>
      <c r="F397" s="93"/>
      <c r="G397" s="93"/>
      <c r="H397" s="93"/>
    </row>
    <row r="398" spans="4:8" ht="15.6">
      <c r="D398" s="93"/>
      <c r="E398" s="93"/>
      <c r="F398" s="93"/>
      <c r="G398" s="93"/>
      <c r="H398" s="93"/>
    </row>
    <row r="399" spans="4:8" ht="15.6">
      <c r="D399" s="93"/>
      <c r="E399" s="93"/>
      <c r="F399" s="93"/>
      <c r="G399" s="93"/>
      <c r="H399" s="93"/>
    </row>
    <row r="400" spans="4:8" ht="15.6">
      <c r="D400" s="93"/>
      <c r="E400" s="93"/>
      <c r="F400" s="93"/>
      <c r="G400" s="93"/>
      <c r="H400" s="93"/>
    </row>
    <row r="401" spans="4:8" ht="15.6">
      <c r="D401" s="93"/>
      <c r="E401" s="93"/>
      <c r="F401" s="93"/>
      <c r="G401" s="93"/>
      <c r="H401" s="93"/>
    </row>
    <row r="402" spans="4:8" ht="15.6">
      <c r="D402" s="93"/>
      <c r="E402" s="93"/>
      <c r="F402" s="93"/>
      <c r="G402" s="93"/>
      <c r="H402" s="93"/>
    </row>
    <row r="403" spans="4:8" ht="15.6">
      <c r="D403" s="93"/>
      <c r="E403" s="93"/>
      <c r="F403" s="93"/>
      <c r="G403" s="93"/>
      <c r="H403" s="93"/>
    </row>
    <row r="404" spans="4:8" ht="15.6">
      <c r="D404" s="93"/>
      <c r="E404" s="93"/>
      <c r="F404" s="93"/>
      <c r="G404" s="93"/>
      <c r="H404" s="93"/>
    </row>
    <row r="405" spans="4:8" ht="15.6">
      <c r="D405" s="93"/>
      <c r="E405" s="93"/>
      <c r="F405" s="93"/>
      <c r="G405" s="93"/>
      <c r="H405" s="93"/>
    </row>
    <row r="406" spans="4:8" ht="15.6">
      <c r="D406" s="93"/>
      <c r="E406" s="93"/>
      <c r="F406" s="93"/>
      <c r="G406" s="93"/>
      <c r="H406" s="93"/>
    </row>
    <row r="407" spans="4:8" ht="15.6">
      <c r="D407" s="93"/>
      <c r="E407" s="93"/>
      <c r="F407" s="93"/>
      <c r="G407" s="93"/>
      <c r="H407" s="93"/>
    </row>
    <row r="408" spans="4:8" ht="15.6">
      <c r="D408" s="93"/>
      <c r="E408" s="93"/>
      <c r="F408" s="93"/>
      <c r="G408" s="93"/>
      <c r="H408" s="93"/>
    </row>
    <row r="409" spans="4:8" ht="15.6">
      <c r="D409" s="93"/>
      <c r="E409" s="93"/>
      <c r="F409" s="93"/>
      <c r="G409" s="93"/>
      <c r="H409" s="93"/>
    </row>
    <row r="410" spans="4:8" ht="15.6">
      <c r="D410" s="93"/>
      <c r="E410" s="93"/>
      <c r="F410" s="93"/>
      <c r="G410" s="93"/>
      <c r="H410" s="93"/>
    </row>
    <row r="411" spans="4:8" ht="15.6">
      <c r="D411" s="93"/>
      <c r="E411" s="93"/>
      <c r="F411" s="93"/>
      <c r="G411" s="93"/>
      <c r="H411" s="93"/>
    </row>
    <row r="412" spans="4:8" ht="15.6">
      <c r="D412" s="93"/>
      <c r="E412" s="93"/>
      <c r="F412" s="93"/>
      <c r="G412" s="93"/>
      <c r="H412" s="93"/>
    </row>
    <row r="413" spans="4:8" ht="15.6">
      <c r="D413" s="93"/>
      <c r="E413" s="93"/>
      <c r="F413" s="93"/>
      <c r="G413" s="93"/>
      <c r="H413" s="93"/>
    </row>
    <row r="414" spans="4:8" ht="15.6">
      <c r="D414" s="93"/>
      <c r="E414" s="93"/>
      <c r="F414" s="93"/>
      <c r="G414" s="93"/>
      <c r="H414" s="93"/>
    </row>
    <row r="415" spans="4:8" ht="15.6">
      <c r="D415" s="93"/>
      <c r="E415" s="93"/>
      <c r="F415" s="93"/>
      <c r="G415" s="93"/>
      <c r="H415" s="93"/>
    </row>
    <row r="416" spans="4:8" ht="15.6">
      <c r="D416" s="93"/>
      <c r="E416" s="93"/>
      <c r="F416" s="93"/>
      <c r="G416" s="93"/>
      <c r="H416" s="93"/>
    </row>
    <row r="417" spans="4:8" ht="15.6">
      <c r="D417" s="93"/>
      <c r="E417" s="93"/>
      <c r="F417" s="93"/>
      <c r="G417" s="93"/>
      <c r="H417" s="93"/>
    </row>
    <row r="418" spans="4:8" ht="15.6">
      <c r="D418" s="93"/>
      <c r="E418" s="93"/>
      <c r="F418" s="93"/>
      <c r="G418" s="93"/>
      <c r="H418" s="93"/>
    </row>
    <row r="419" spans="4:8" ht="15.6">
      <c r="D419" s="93"/>
      <c r="E419" s="93"/>
      <c r="F419" s="93"/>
      <c r="G419" s="93"/>
      <c r="H419" s="93"/>
    </row>
    <row r="420" spans="4:8" ht="15.6">
      <c r="D420" s="93"/>
      <c r="E420" s="93"/>
      <c r="F420" s="93"/>
      <c r="G420" s="93"/>
      <c r="H420" s="93"/>
    </row>
    <row r="421" spans="4:8" ht="15.6">
      <c r="D421" s="93"/>
      <c r="E421" s="93"/>
      <c r="F421" s="93"/>
      <c r="G421" s="93"/>
      <c r="H421" s="93"/>
    </row>
    <row r="422" spans="4:8" ht="15.6">
      <c r="D422" s="93"/>
      <c r="E422" s="93"/>
      <c r="F422" s="93"/>
      <c r="G422" s="93"/>
      <c r="H422" s="93"/>
    </row>
    <row r="423" spans="4:8" ht="15.6">
      <c r="D423" s="93"/>
      <c r="E423" s="93"/>
      <c r="F423" s="93"/>
      <c r="G423" s="93"/>
      <c r="H423" s="93"/>
    </row>
    <row r="424" spans="4:8" ht="15.6">
      <c r="D424" s="93"/>
      <c r="E424" s="93"/>
      <c r="F424" s="93"/>
      <c r="G424" s="93"/>
      <c r="H424" s="93"/>
    </row>
    <row r="425" spans="4:8" ht="15.6">
      <c r="D425" s="93"/>
      <c r="E425" s="93"/>
      <c r="F425" s="93"/>
      <c r="G425" s="93"/>
      <c r="H425" s="93"/>
    </row>
    <row r="426" spans="4:8" ht="15.6">
      <c r="D426" s="93"/>
      <c r="E426" s="93"/>
      <c r="F426" s="93"/>
      <c r="G426" s="93"/>
      <c r="H426" s="93"/>
    </row>
    <row r="427" spans="4:8" ht="15.6">
      <c r="D427" s="93"/>
      <c r="E427" s="93"/>
      <c r="F427" s="93"/>
      <c r="G427" s="93"/>
      <c r="H427" s="93"/>
    </row>
    <row r="428" spans="4:8" ht="15.6">
      <c r="D428" s="93"/>
      <c r="E428" s="93"/>
      <c r="F428" s="93"/>
      <c r="G428" s="93"/>
      <c r="H428" s="93"/>
    </row>
    <row r="429" spans="4:8" ht="15.6">
      <c r="D429" s="93"/>
      <c r="E429" s="93"/>
      <c r="F429" s="93"/>
      <c r="G429" s="93"/>
      <c r="H429" s="93"/>
    </row>
    <row r="430" spans="4:8" ht="15.6">
      <c r="D430" s="93"/>
      <c r="E430" s="93"/>
      <c r="F430" s="93"/>
      <c r="G430" s="93"/>
      <c r="H430" s="93"/>
    </row>
    <row r="431" spans="4:8" ht="15.6">
      <c r="D431" s="93"/>
      <c r="E431" s="93"/>
      <c r="F431" s="93"/>
      <c r="G431" s="93"/>
      <c r="H431" s="93"/>
    </row>
    <row r="432" spans="4:8" ht="15.6">
      <c r="D432" s="93"/>
      <c r="E432" s="93"/>
      <c r="F432" s="93"/>
      <c r="G432" s="93"/>
      <c r="H432" s="93"/>
    </row>
    <row r="433" spans="4:8" ht="15.6">
      <c r="D433" s="93"/>
      <c r="E433" s="93"/>
      <c r="F433" s="93"/>
      <c r="G433" s="93"/>
      <c r="H433" s="93"/>
    </row>
    <row r="434" spans="4:8" ht="15.6">
      <c r="D434" s="93"/>
      <c r="E434" s="93"/>
      <c r="F434" s="93"/>
      <c r="G434" s="93"/>
      <c r="H434" s="93"/>
    </row>
    <row r="435" spans="4:8" ht="15.6">
      <c r="D435" s="93"/>
      <c r="E435" s="93"/>
      <c r="F435" s="93"/>
      <c r="G435" s="93"/>
      <c r="H435" s="93"/>
    </row>
    <row r="436" spans="4:8" ht="15.6">
      <c r="D436" s="93"/>
      <c r="E436" s="93"/>
      <c r="F436" s="93"/>
      <c r="G436" s="93"/>
      <c r="H436" s="93"/>
    </row>
    <row r="437" spans="4:8" ht="15.6">
      <c r="D437" s="93"/>
      <c r="E437" s="93"/>
      <c r="F437" s="93"/>
      <c r="G437" s="93"/>
      <c r="H437" s="93"/>
    </row>
    <row r="438" spans="4:8" ht="15.6">
      <c r="D438" s="93"/>
      <c r="E438" s="93"/>
      <c r="F438" s="93"/>
      <c r="G438" s="93"/>
      <c r="H438" s="93"/>
    </row>
    <row r="439" spans="4:8" ht="15.6">
      <c r="D439" s="93"/>
      <c r="E439" s="93"/>
      <c r="F439" s="93"/>
      <c r="G439" s="93"/>
      <c r="H439" s="93"/>
    </row>
    <row r="440" spans="4:8" ht="15.6">
      <c r="D440" s="93"/>
      <c r="E440" s="93"/>
      <c r="F440" s="93"/>
      <c r="G440" s="93"/>
      <c r="H440" s="93"/>
    </row>
    <row r="441" spans="4:8" ht="15.6">
      <c r="D441" s="93"/>
      <c r="E441" s="93"/>
      <c r="F441" s="93"/>
      <c r="G441" s="93"/>
      <c r="H441" s="93"/>
    </row>
    <row r="442" spans="4:8" ht="15.6">
      <c r="D442" s="93"/>
      <c r="E442" s="93"/>
      <c r="F442" s="93"/>
      <c r="G442" s="93"/>
      <c r="H442" s="93"/>
    </row>
    <row r="443" spans="4:8" ht="15.6">
      <c r="D443" s="93"/>
      <c r="E443" s="93"/>
      <c r="F443" s="93"/>
      <c r="G443" s="93"/>
      <c r="H443" s="93"/>
    </row>
    <row r="444" spans="4:8" ht="15.6">
      <c r="D444" s="93"/>
      <c r="E444" s="93"/>
      <c r="F444" s="93"/>
      <c r="G444" s="93"/>
      <c r="H444" s="93"/>
    </row>
    <row r="445" spans="4:8" ht="15.6">
      <c r="D445" s="93"/>
      <c r="E445" s="93"/>
      <c r="F445" s="93"/>
      <c r="G445" s="93"/>
      <c r="H445" s="93"/>
    </row>
    <row r="446" spans="4:8" ht="15.6">
      <c r="D446" s="93"/>
      <c r="E446" s="93"/>
      <c r="F446" s="93"/>
      <c r="G446" s="93"/>
      <c r="H446" s="93"/>
    </row>
    <row r="447" spans="4:8" ht="15.6">
      <c r="D447" s="93"/>
      <c r="E447" s="93"/>
      <c r="F447" s="93"/>
      <c r="G447" s="93"/>
      <c r="H447" s="93"/>
    </row>
    <row r="448" spans="4:8" ht="15.6">
      <c r="D448" s="93"/>
      <c r="E448" s="93"/>
      <c r="F448" s="93"/>
      <c r="G448" s="93"/>
      <c r="H448" s="93"/>
    </row>
    <row r="449" spans="4:8" ht="15.6">
      <c r="D449" s="93"/>
      <c r="E449" s="93"/>
      <c r="F449" s="93"/>
      <c r="G449" s="93"/>
      <c r="H449" s="93"/>
    </row>
    <row r="450" spans="4:8" ht="15.6">
      <c r="D450" s="93"/>
      <c r="E450" s="93"/>
      <c r="F450" s="93"/>
      <c r="G450" s="93"/>
      <c r="H450" s="93"/>
    </row>
    <row r="451" spans="4:8" ht="15.6">
      <c r="D451" s="93"/>
      <c r="E451" s="93"/>
      <c r="F451" s="93"/>
      <c r="G451" s="93"/>
      <c r="H451" s="93"/>
    </row>
    <row r="452" spans="4:8" ht="15.6">
      <c r="D452" s="93"/>
      <c r="E452" s="93"/>
      <c r="F452" s="93"/>
      <c r="G452" s="93"/>
      <c r="H452" s="93"/>
    </row>
    <row r="453" spans="4:8" ht="15.6">
      <c r="D453" s="93"/>
      <c r="E453" s="93"/>
      <c r="F453" s="93"/>
      <c r="G453" s="93"/>
      <c r="H453" s="93"/>
    </row>
    <row r="454" spans="4:8" ht="15.6">
      <c r="D454" s="93"/>
      <c r="E454" s="93"/>
      <c r="F454" s="93"/>
      <c r="G454" s="93"/>
      <c r="H454" s="93"/>
    </row>
    <row r="455" spans="4:8" ht="15.6">
      <c r="D455" s="93"/>
      <c r="E455" s="93"/>
      <c r="F455" s="93"/>
      <c r="G455" s="93"/>
      <c r="H455" s="93"/>
    </row>
    <row r="456" spans="4:8" ht="15.6">
      <c r="D456" s="93"/>
      <c r="E456" s="93"/>
      <c r="F456" s="93"/>
      <c r="G456" s="93"/>
      <c r="H456" s="93"/>
    </row>
    <row r="457" spans="4:8" ht="15.6">
      <c r="D457" s="93"/>
      <c r="E457" s="93"/>
      <c r="F457" s="93"/>
      <c r="G457" s="93"/>
      <c r="H457" s="93"/>
    </row>
    <row r="458" spans="4:8" ht="15.6">
      <c r="D458" s="93"/>
      <c r="E458" s="93"/>
      <c r="F458" s="93"/>
      <c r="G458" s="93"/>
      <c r="H458" s="93"/>
    </row>
    <row r="459" spans="4:8" ht="15.6">
      <c r="D459" s="93"/>
      <c r="E459" s="93"/>
      <c r="F459" s="93"/>
      <c r="G459" s="93"/>
      <c r="H459" s="93"/>
    </row>
    <row r="460" spans="4:8" ht="15.6">
      <c r="D460" s="93"/>
      <c r="E460" s="93"/>
      <c r="F460" s="93"/>
      <c r="G460" s="93"/>
      <c r="H460" s="93"/>
    </row>
    <row r="461" spans="4:8" ht="15.6">
      <c r="D461" s="93"/>
      <c r="E461" s="93"/>
      <c r="F461" s="93"/>
      <c r="G461" s="93"/>
      <c r="H461" s="93"/>
    </row>
    <row r="462" spans="4:8" ht="15.6">
      <c r="D462" s="93"/>
      <c r="E462" s="93"/>
      <c r="F462" s="93"/>
      <c r="G462" s="93"/>
      <c r="H462" s="93"/>
    </row>
    <row r="463" spans="4:8" ht="15.6">
      <c r="D463" s="93"/>
      <c r="E463" s="93"/>
      <c r="F463" s="93"/>
      <c r="G463" s="93"/>
      <c r="H463" s="93"/>
    </row>
    <row r="464" spans="4:8" ht="15.6">
      <c r="D464" s="93"/>
      <c r="E464" s="93"/>
      <c r="F464" s="93"/>
      <c r="G464" s="93"/>
      <c r="H464" s="93"/>
    </row>
    <row r="465" spans="4:8" ht="15.6">
      <c r="D465" s="93"/>
      <c r="E465" s="93"/>
      <c r="F465" s="93"/>
      <c r="G465" s="93"/>
      <c r="H465" s="93"/>
    </row>
    <row r="466" spans="4:8" ht="15.6">
      <c r="D466" s="93"/>
      <c r="E466" s="93"/>
      <c r="F466" s="93"/>
      <c r="G466" s="93"/>
      <c r="H466" s="93"/>
    </row>
    <row r="467" spans="4:8" ht="15.6">
      <c r="D467" s="93"/>
      <c r="E467" s="93"/>
      <c r="F467" s="93"/>
      <c r="G467" s="93"/>
      <c r="H467" s="93"/>
    </row>
    <row r="468" spans="4:8" ht="15.6">
      <c r="D468" s="93"/>
      <c r="E468" s="93"/>
      <c r="F468" s="93"/>
      <c r="G468" s="93"/>
      <c r="H468" s="93"/>
    </row>
    <row r="469" spans="4:8" ht="15.6">
      <c r="D469" s="93"/>
      <c r="E469" s="93"/>
      <c r="F469" s="93"/>
      <c r="G469" s="93"/>
      <c r="H469" s="93"/>
    </row>
    <row r="470" spans="4:8" ht="15.6">
      <c r="D470" s="93"/>
      <c r="E470" s="93"/>
      <c r="F470" s="93"/>
      <c r="G470" s="93"/>
      <c r="H470" s="93"/>
    </row>
    <row r="471" spans="4:8" ht="15.6">
      <c r="D471" s="93"/>
      <c r="E471" s="93"/>
      <c r="F471" s="93"/>
      <c r="G471" s="93"/>
      <c r="H471" s="93"/>
    </row>
    <row r="472" spans="4:8" ht="15.6">
      <c r="D472" s="93"/>
      <c r="E472" s="93"/>
      <c r="F472" s="93"/>
      <c r="G472" s="93"/>
      <c r="H472" s="93"/>
    </row>
    <row r="473" spans="4:8" ht="15.6">
      <c r="D473" s="93"/>
      <c r="E473" s="93"/>
      <c r="F473" s="93"/>
      <c r="G473" s="93"/>
      <c r="H473" s="93"/>
    </row>
    <row r="474" spans="4:8" ht="15.6">
      <c r="D474" s="93"/>
      <c r="E474" s="93"/>
      <c r="F474" s="93"/>
      <c r="G474" s="93"/>
      <c r="H474" s="93"/>
    </row>
    <row r="475" spans="4:8" ht="15.6">
      <c r="D475" s="93"/>
      <c r="E475" s="93"/>
      <c r="F475" s="93"/>
      <c r="G475" s="93"/>
      <c r="H475" s="93"/>
    </row>
    <row r="476" spans="4:8" ht="15.6">
      <c r="D476" s="93"/>
      <c r="E476" s="93"/>
      <c r="F476" s="93"/>
      <c r="G476" s="93"/>
      <c r="H476" s="93"/>
    </row>
    <row r="477" spans="4:8" ht="15.6">
      <c r="D477" s="93"/>
      <c r="E477" s="93"/>
      <c r="F477" s="93"/>
      <c r="G477" s="93"/>
      <c r="H477" s="93"/>
    </row>
    <row r="478" spans="4:8" ht="15.6">
      <c r="D478" s="93"/>
      <c r="E478" s="93"/>
      <c r="F478" s="93"/>
      <c r="G478" s="93"/>
      <c r="H478" s="93"/>
    </row>
    <row r="479" spans="4:8" ht="15.6">
      <c r="D479" s="93"/>
      <c r="E479" s="93"/>
      <c r="F479" s="93"/>
      <c r="G479" s="93"/>
      <c r="H479" s="93"/>
    </row>
    <row r="480" spans="4:8" ht="15.6">
      <c r="D480" s="93"/>
      <c r="E480" s="93"/>
      <c r="F480" s="93"/>
      <c r="G480" s="93"/>
      <c r="H480" s="93"/>
    </row>
    <row r="481" spans="4:8" ht="15.6">
      <c r="D481" s="93"/>
      <c r="E481" s="93"/>
      <c r="F481" s="93"/>
      <c r="G481" s="93"/>
      <c r="H481" s="93"/>
    </row>
    <row r="482" spans="4:8" ht="15.6">
      <c r="D482" s="93"/>
      <c r="E482" s="93"/>
      <c r="F482" s="93"/>
      <c r="G482" s="93"/>
      <c r="H482" s="93"/>
    </row>
    <row r="483" spans="4:8" ht="15.6">
      <c r="D483" s="93"/>
      <c r="E483" s="93"/>
      <c r="F483" s="93"/>
      <c r="G483" s="93"/>
      <c r="H483" s="93"/>
    </row>
    <row r="484" spans="4:8" ht="15.6">
      <c r="D484" s="93"/>
      <c r="E484" s="93"/>
      <c r="F484" s="93"/>
      <c r="G484" s="93"/>
      <c r="H484" s="93"/>
    </row>
    <row r="485" spans="4:8" ht="15.6">
      <c r="D485" s="93"/>
      <c r="E485" s="93"/>
      <c r="F485" s="93"/>
      <c r="G485" s="93"/>
      <c r="H485" s="93"/>
    </row>
    <row r="486" spans="4:8" ht="15.6">
      <c r="D486" s="93"/>
      <c r="E486" s="93"/>
      <c r="F486" s="93"/>
      <c r="G486" s="93"/>
      <c r="H486" s="93"/>
    </row>
    <row r="487" spans="4:8" ht="15.6">
      <c r="D487" s="93"/>
      <c r="E487" s="93"/>
      <c r="F487" s="93"/>
      <c r="G487" s="93"/>
      <c r="H487" s="93"/>
    </row>
    <row r="488" spans="4:8" ht="15.6">
      <c r="D488" s="93"/>
      <c r="E488" s="93"/>
      <c r="F488" s="93"/>
      <c r="G488" s="93"/>
      <c r="H488" s="93"/>
    </row>
    <row r="489" spans="4:8" ht="15.6">
      <c r="D489" s="93"/>
      <c r="E489" s="93"/>
      <c r="F489" s="93"/>
      <c r="G489" s="93"/>
      <c r="H489" s="93"/>
    </row>
    <row r="490" spans="4:8" ht="15.6">
      <c r="D490" s="93"/>
      <c r="E490" s="93"/>
      <c r="F490" s="93"/>
      <c r="G490" s="93"/>
      <c r="H490" s="93"/>
    </row>
    <row r="491" spans="4:8" ht="15.6">
      <c r="D491" s="93"/>
      <c r="E491" s="93"/>
      <c r="F491" s="93"/>
      <c r="G491" s="93"/>
      <c r="H491" s="93"/>
    </row>
    <row r="492" spans="4:8" ht="15.6">
      <c r="D492" s="93"/>
      <c r="E492" s="93"/>
      <c r="F492" s="93"/>
      <c r="G492" s="93"/>
      <c r="H492" s="93"/>
    </row>
    <row r="493" spans="4:8" ht="15.6">
      <c r="D493" s="93"/>
      <c r="E493" s="93"/>
      <c r="F493" s="93"/>
      <c r="G493" s="93"/>
      <c r="H493" s="93"/>
    </row>
    <row r="494" spans="4:8" ht="15.6">
      <c r="D494" s="93"/>
      <c r="E494" s="93"/>
      <c r="F494" s="93"/>
      <c r="G494" s="93"/>
      <c r="H494" s="93"/>
    </row>
    <row r="495" spans="4:8" ht="15.6">
      <c r="D495" s="93"/>
      <c r="E495" s="93"/>
      <c r="F495" s="93"/>
      <c r="G495" s="93"/>
      <c r="H495" s="93"/>
    </row>
    <row r="496" spans="4:8" ht="15.6">
      <c r="D496" s="93"/>
      <c r="E496" s="93"/>
      <c r="F496" s="93"/>
      <c r="G496" s="93"/>
      <c r="H496" s="93"/>
    </row>
    <row r="497" spans="4:8" ht="15.6">
      <c r="D497" s="93"/>
      <c r="E497" s="93"/>
      <c r="F497" s="93"/>
      <c r="G497" s="93"/>
      <c r="H497" s="93"/>
    </row>
    <row r="498" spans="4:8" ht="15.6">
      <c r="D498" s="93"/>
      <c r="E498" s="93"/>
      <c r="F498" s="93"/>
      <c r="G498" s="93"/>
      <c r="H498" s="93"/>
    </row>
    <row r="499" spans="4:8" ht="15.6">
      <c r="D499" s="93"/>
      <c r="E499" s="93"/>
      <c r="F499" s="93"/>
      <c r="G499" s="93"/>
      <c r="H499" s="93"/>
    </row>
    <row r="500" spans="4:8" ht="15.6">
      <c r="D500" s="93"/>
      <c r="E500" s="93"/>
      <c r="F500" s="93"/>
      <c r="G500" s="93"/>
      <c r="H500" s="93"/>
    </row>
    <row r="501" spans="4:8" ht="15.6">
      <c r="D501" s="93"/>
      <c r="E501" s="93"/>
      <c r="F501" s="93"/>
      <c r="G501" s="93"/>
      <c r="H501" s="93"/>
    </row>
    <row r="502" spans="4:8" ht="15.6">
      <c r="D502" s="93"/>
      <c r="E502" s="93"/>
      <c r="F502" s="93"/>
      <c r="G502" s="93"/>
      <c r="H502" s="93"/>
    </row>
    <row r="503" spans="4:8" ht="15.6">
      <c r="D503" s="93"/>
      <c r="E503" s="93"/>
      <c r="F503" s="93"/>
      <c r="G503" s="93"/>
      <c r="H503" s="93"/>
    </row>
    <row r="504" spans="4:8" ht="15.6">
      <c r="D504" s="93"/>
      <c r="E504" s="93"/>
      <c r="F504" s="93"/>
      <c r="G504" s="93"/>
      <c r="H504" s="93"/>
    </row>
    <row r="505" spans="4:8" ht="15.6">
      <c r="D505" s="93"/>
      <c r="E505" s="93"/>
      <c r="F505" s="93"/>
      <c r="G505" s="93"/>
      <c r="H505" s="93"/>
    </row>
    <row r="506" spans="4:8" ht="15.6">
      <c r="D506" s="93"/>
      <c r="E506" s="93"/>
      <c r="F506" s="93"/>
      <c r="G506" s="93"/>
      <c r="H506" s="93"/>
    </row>
    <row r="507" spans="4:8" ht="15.6">
      <c r="D507" s="93"/>
      <c r="E507" s="93"/>
      <c r="F507" s="93"/>
      <c r="G507" s="93"/>
      <c r="H507" s="93"/>
    </row>
    <row r="508" spans="4:8" ht="15.6">
      <c r="D508" s="93"/>
      <c r="E508" s="93"/>
      <c r="F508" s="93"/>
      <c r="G508" s="93"/>
      <c r="H508" s="93"/>
    </row>
    <row r="509" spans="4:8" ht="15.6">
      <c r="D509" s="93"/>
      <c r="E509" s="93"/>
      <c r="F509" s="93"/>
      <c r="G509" s="93"/>
      <c r="H509" s="93"/>
    </row>
    <row r="510" spans="4:8" ht="15.6">
      <c r="D510" s="93"/>
      <c r="E510" s="93"/>
      <c r="F510" s="93"/>
      <c r="G510" s="93"/>
      <c r="H510" s="93"/>
    </row>
    <row r="511" spans="4:8" ht="15.6">
      <c r="D511" s="93"/>
      <c r="E511" s="93"/>
      <c r="F511" s="93"/>
      <c r="G511" s="93"/>
      <c r="H511" s="93"/>
    </row>
    <row r="512" spans="4:8" ht="15.6">
      <c r="D512" s="93"/>
      <c r="E512" s="93"/>
      <c r="F512" s="93"/>
      <c r="G512" s="93"/>
      <c r="H512" s="93"/>
    </row>
    <row r="513" spans="4:8" ht="15.6">
      <c r="D513" s="93"/>
      <c r="E513" s="93"/>
      <c r="F513" s="93"/>
      <c r="G513" s="93"/>
      <c r="H513" s="93"/>
    </row>
    <row r="514" spans="4:8" ht="15.6">
      <c r="D514" s="93"/>
      <c r="E514" s="93"/>
      <c r="F514" s="93"/>
      <c r="G514" s="93"/>
      <c r="H514" s="93"/>
    </row>
    <row r="515" spans="4:8" ht="15.6">
      <c r="D515" s="93"/>
      <c r="E515" s="93"/>
      <c r="F515" s="93"/>
      <c r="G515" s="93"/>
      <c r="H515" s="93"/>
    </row>
    <row r="516" spans="4:8" ht="15.6">
      <c r="D516" s="93"/>
      <c r="E516" s="93"/>
      <c r="F516" s="93"/>
      <c r="G516" s="93"/>
      <c r="H516" s="93"/>
    </row>
    <row r="517" spans="4:8" ht="15.6">
      <c r="D517" s="93"/>
      <c r="E517" s="93"/>
      <c r="F517" s="93"/>
      <c r="G517" s="93"/>
      <c r="H517" s="93"/>
    </row>
    <row r="518" spans="4:8" ht="15.6">
      <c r="D518" s="93"/>
      <c r="E518" s="93"/>
      <c r="F518" s="93"/>
      <c r="G518" s="93"/>
      <c r="H518" s="93"/>
    </row>
    <row r="519" spans="4:8" ht="15.6">
      <c r="D519" s="93"/>
      <c r="E519" s="93"/>
      <c r="F519" s="93"/>
      <c r="G519" s="93"/>
      <c r="H519" s="93"/>
    </row>
    <row r="520" spans="4:8" ht="15.6">
      <c r="D520" s="93"/>
      <c r="E520" s="93"/>
      <c r="F520" s="93"/>
      <c r="G520" s="93"/>
      <c r="H520" s="93"/>
    </row>
    <row r="521" spans="4:8" ht="15.6">
      <c r="D521" s="93"/>
      <c r="E521" s="93"/>
      <c r="F521" s="93"/>
      <c r="G521" s="93"/>
      <c r="H521" s="93"/>
    </row>
    <row r="522" spans="4:8" ht="15.6">
      <c r="D522" s="93"/>
      <c r="E522" s="93"/>
      <c r="F522" s="93"/>
      <c r="G522" s="93"/>
      <c r="H522" s="93"/>
    </row>
    <row r="523" spans="4:8" ht="15.6">
      <c r="D523" s="93"/>
      <c r="E523" s="93"/>
      <c r="F523" s="93"/>
      <c r="G523" s="93"/>
      <c r="H523" s="93"/>
    </row>
    <row r="524" spans="4:8" ht="15.6">
      <c r="D524" s="93"/>
      <c r="E524" s="93"/>
      <c r="F524" s="93"/>
      <c r="G524" s="93"/>
      <c r="H524" s="93"/>
    </row>
    <row r="525" spans="4:8" ht="15.6">
      <c r="D525" s="93"/>
      <c r="E525" s="93"/>
      <c r="F525" s="93"/>
      <c r="G525" s="93"/>
      <c r="H525" s="93"/>
    </row>
    <row r="526" spans="4:8" ht="15.6">
      <c r="D526" s="93"/>
      <c r="E526" s="93"/>
      <c r="F526" s="93"/>
      <c r="G526" s="93"/>
      <c r="H526" s="93"/>
    </row>
    <row r="527" spans="4:8" ht="15.6">
      <c r="D527" s="93"/>
      <c r="E527" s="93"/>
      <c r="F527" s="93"/>
      <c r="G527" s="93"/>
      <c r="H527" s="93"/>
    </row>
    <row r="528" spans="4:8" ht="15.6">
      <c r="D528" s="93"/>
      <c r="E528" s="93"/>
      <c r="F528" s="93"/>
      <c r="G528" s="93"/>
      <c r="H528" s="93"/>
    </row>
    <row r="529" spans="4:8" ht="15.6">
      <c r="D529" s="93"/>
      <c r="E529" s="93"/>
      <c r="F529" s="93"/>
      <c r="G529" s="93"/>
      <c r="H529" s="93"/>
    </row>
    <row r="530" spans="4:8" ht="15.6">
      <c r="D530" s="93"/>
      <c r="E530" s="93"/>
      <c r="F530" s="93"/>
      <c r="G530" s="93"/>
      <c r="H530" s="93"/>
    </row>
    <row r="531" spans="4:8" ht="15.6">
      <c r="D531" s="93"/>
      <c r="E531" s="93"/>
      <c r="F531" s="93"/>
      <c r="G531" s="93"/>
      <c r="H531" s="93"/>
    </row>
    <row r="532" spans="4:8" ht="15.6">
      <c r="D532" s="93"/>
      <c r="E532" s="93"/>
      <c r="F532" s="93"/>
      <c r="G532" s="93"/>
      <c r="H532" s="93"/>
    </row>
    <row r="533" spans="4:8" ht="15.6">
      <c r="D533" s="93"/>
      <c r="E533" s="93"/>
      <c r="F533" s="93"/>
      <c r="G533" s="93"/>
      <c r="H533" s="93"/>
    </row>
    <row r="534" spans="4:8" ht="15.6">
      <c r="D534" s="93"/>
      <c r="E534" s="93"/>
      <c r="F534" s="93"/>
      <c r="G534" s="93"/>
      <c r="H534" s="93"/>
    </row>
    <row r="535" spans="4:8" ht="15.6">
      <c r="D535" s="93"/>
      <c r="E535" s="93"/>
      <c r="F535" s="93"/>
      <c r="G535" s="93"/>
      <c r="H535" s="93"/>
    </row>
    <row r="536" spans="4:8" ht="15.6">
      <c r="D536" s="93"/>
      <c r="E536" s="93"/>
      <c r="F536" s="93"/>
      <c r="G536" s="93"/>
      <c r="H536" s="93"/>
    </row>
    <row r="537" spans="4:8" ht="15.6">
      <c r="D537" s="93"/>
      <c r="E537" s="93"/>
      <c r="F537" s="93"/>
      <c r="G537" s="93"/>
      <c r="H537" s="93"/>
    </row>
    <row r="538" spans="4:8" ht="15.6">
      <c r="D538" s="93"/>
      <c r="E538" s="93"/>
      <c r="F538" s="93"/>
      <c r="G538" s="93"/>
      <c r="H538" s="93"/>
    </row>
    <row r="539" spans="4:8" ht="15.6">
      <c r="D539" s="93"/>
      <c r="E539" s="93"/>
      <c r="F539" s="93"/>
      <c r="G539" s="93"/>
      <c r="H539" s="93"/>
    </row>
    <row r="540" spans="4:8" ht="15.6">
      <c r="D540" s="93"/>
      <c r="E540" s="93"/>
      <c r="F540" s="93"/>
      <c r="G540" s="93"/>
      <c r="H540" s="93"/>
    </row>
    <row r="541" spans="4:8" ht="15.6">
      <c r="D541" s="93"/>
      <c r="E541" s="93"/>
      <c r="F541" s="93"/>
      <c r="G541" s="93"/>
      <c r="H541" s="93"/>
    </row>
    <row r="542" spans="4:8" ht="15.6">
      <c r="D542" s="93"/>
      <c r="E542" s="93"/>
      <c r="F542" s="93"/>
      <c r="G542" s="93"/>
      <c r="H542" s="93"/>
    </row>
    <row r="543" spans="4:8" ht="15.6">
      <c r="D543" s="93"/>
      <c r="E543" s="93"/>
      <c r="F543" s="93"/>
      <c r="G543" s="93"/>
      <c r="H543" s="93"/>
    </row>
    <row r="544" spans="4:8" ht="15.6">
      <c r="D544" s="93"/>
      <c r="E544" s="93"/>
      <c r="F544" s="93"/>
      <c r="G544" s="93"/>
      <c r="H544" s="93"/>
    </row>
    <row r="545" spans="4:8" ht="15.6">
      <c r="D545" s="93"/>
      <c r="E545" s="93"/>
      <c r="F545" s="93"/>
      <c r="G545" s="93"/>
      <c r="H545" s="93"/>
    </row>
    <row r="546" spans="4:8" ht="15.6">
      <c r="D546" s="93"/>
      <c r="E546" s="93"/>
      <c r="F546" s="93"/>
      <c r="G546" s="93"/>
      <c r="H546" s="93"/>
    </row>
    <row r="547" spans="4:8" ht="15.6">
      <c r="D547" s="93"/>
      <c r="E547" s="93"/>
      <c r="F547" s="93"/>
      <c r="G547" s="93"/>
      <c r="H547" s="93"/>
    </row>
    <row r="548" spans="4:8" ht="15.6">
      <c r="D548" s="93"/>
      <c r="E548" s="93"/>
      <c r="F548" s="93"/>
      <c r="G548" s="93"/>
      <c r="H548" s="93"/>
    </row>
    <row r="549" spans="4:8" ht="15.6">
      <c r="D549" s="93"/>
      <c r="E549" s="93"/>
      <c r="F549" s="93"/>
      <c r="G549" s="93"/>
      <c r="H549" s="93"/>
    </row>
    <row r="550" spans="4:8" ht="15.6">
      <c r="D550" s="93"/>
      <c r="E550" s="93"/>
      <c r="F550" s="93"/>
      <c r="G550" s="93"/>
      <c r="H550" s="93"/>
    </row>
    <row r="551" spans="4:8" ht="15.6">
      <c r="D551" s="93"/>
      <c r="E551" s="93"/>
      <c r="F551" s="93"/>
      <c r="G551" s="93"/>
      <c r="H551" s="93"/>
    </row>
    <row r="552" spans="4:8" ht="15.6">
      <c r="D552" s="93"/>
      <c r="E552" s="93"/>
      <c r="F552" s="93"/>
      <c r="G552" s="93"/>
      <c r="H552" s="93"/>
    </row>
    <row r="553" spans="4:8" ht="15.6">
      <c r="D553" s="93"/>
      <c r="E553" s="93"/>
      <c r="F553" s="93"/>
      <c r="G553" s="93"/>
      <c r="H553" s="93"/>
    </row>
    <row r="554" spans="4:8" ht="15.6">
      <c r="D554" s="93"/>
      <c r="E554" s="93"/>
      <c r="F554" s="93"/>
      <c r="G554" s="93"/>
      <c r="H554" s="93"/>
    </row>
    <row r="555" spans="4:8" ht="15.6">
      <c r="D555" s="93"/>
      <c r="E555" s="93"/>
      <c r="F555" s="93"/>
      <c r="G555" s="93"/>
      <c r="H555" s="93"/>
    </row>
    <row r="556" spans="4:8" ht="15.6">
      <c r="D556" s="93"/>
      <c r="E556" s="93"/>
      <c r="F556" s="93"/>
      <c r="G556" s="93"/>
      <c r="H556" s="93"/>
    </row>
    <row r="557" spans="4:8" ht="15.6">
      <c r="D557" s="93"/>
      <c r="E557" s="93"/>
      <c r="F557" s="93"/>
      <c r="G557" s="93"/>
      <c r="H557" s="93"/>
    </row>
    <row r="558" spans="4:8" ht="15.6">
      <c r="D558" s="93"/>
      <c r="E558" s="93"/>
      <c r="F558" s="93"/>
      <c r="G558" s="93"/>
      <c r="H558" s="93"/>
    </row>
    <row r="559" spans="4:8" ht="15.6">
      <c r="D559" s="93"/>
      <c r="E559" s="93"/>
      <c r="F559" s="93"/>
      <c r="G559" s="93"/>
      <c r="H559" s="93"/>
    </row>
    <row r="560" spans="4:8" ht="15.6">
      <c r="D560" s="93"/>
      <c r="E560" s="93"/>
      <c r="F560" s="93"/>
      <c r="G560" s="93"/>
      <c r="H560" s="93"/>
    </row>
    <row r="561" spans="4:8" ht="15.6">
      <c r="D561" s="93"/>
      <c r="E561" s="93"/>
      <c r="F561" s="93"/>
      <c r="G561" s="93"/>
      <c r="H561" s="93"/>
    </row>
    <row r="562" spans="4:8" ht="15.6">
      <c r="D562" s="93"/>
      <c r="E562" s="93"/>
      <c r="F562" s="93"/>
      <c r="G562" s="93"/>
      <c r="H562" s="93"/>
    </row>
    <row r="563" spans="4:8" ht="15.6">
      <c r="D563" s="93"/>
      <c r="E563" s="93"/>
      <c r="F563" s="93"/>
      <c r="G563" s="93"/>
      <c r="H563" s="93"/>
    </row>
    <row r="564" spans="4:8" ht="15.6">
      <c r="D564" s="93"/>
      <c r="E564" s="93"/>
      <c r="F564" s="93"/>
      <c r="G564" s="93"/>
      <c r="H564" s="93"/>
    </row>
    <row r="565" spans="4:8" ht="15.6">
      <c r="D565" s="93"/>
      <c r="E565" s="93"/>
      <c r="F565" s="93"/>
      <c r="G565" s="93"/>
      <c r="H565" s="93"/>
    </row>
    <row r="566" spans="4:8" ht="15.6">
      <c r="D566" s="93"/>
      <c r="E566" s="93"/>
      <c r="F566" s="93"/>
      <c r="G566" s="93"/>
      <c r="H566" s="93"/>
    </row>
    <row r="567" spans="4:8" ht="15.6">
      <c r="D567" s="93"/>
      <c r="E567" s="93"/>
      <c r="F567" s="93"/>
      <c r="G567" s="93"/>
      <c r="H567" s="93"/>
    </row>
    <row r="568" spans="4:8" ht="15.6">
      <c r="D568" s="93"/>
      <c r="E568" s="93"/>
      <c r="F568" s="93"/>
      <c r="G568" s="93"/>
      <c r="H568" s="93"/>
    </row>
    <row r="569" spans="4:8" ht="15.6">
      <c r="D569" s="93"/>
      <c r="E569" s="93"/>
      <c r="F569" s="93"/>
      <c r="G569" s="93"/>
      <c r="H569" s="93"/>
    </row>
    <row r="570" spans="4:8" ht="15.6">
      <c r="D570" s="93"/>
      <c r="E570" s="93"/>
      <c r="F570" s="93"/>
      <c r="G570" s="93"/>
      <c r="H570" s="93"/>
    </row>
    <row r="571" spans="4:8" ht="15.6">
      <c r="D571" s="93"/>
      <c r="E571" s="93"/>
      <c r="F571" s="93"/>
      <c r="G571" s="93"/>
      <c r="H571" s="93"/>
    </row>
    <row r="572" spans="4:8" ht="15.6">
      <c r="D572" s="93"/>
      <c r="E572" s="93"/>
      <c r="F572" s="93"/>
      <c r="G572" s="93"/>
      <c r="H572" s="93"/>
    </row>
    <row r="573" spans="4:8" ht="15.6">
      <c r="D573" s="93"/>
      <c r="E573" s="93"/>
      <c r="F573" s="93"/>
      <c r="G573" s="93"/>
      <c r="H573" s="93"/>
    </row>
    <row r="574" spans="4:8" ht="15.6">
      <c r="D574" s="93"/>
      <c r="E574" s="93"/>
      <c r="F574" s="93"/>
      <c r="G574" s="93"/>
      <c r="H574" s="93"/>
    </row>
    <row r="575" spans="4:8" ht="15.6">
      <c r="D575" s="93"/>
      <c r="E575" s="93"/>
      <c r="F575" s="93"/>
      <c r="G575" s="93"/>
      <c r="H575" s="93"/>
    </row>
    <row r="576" spans="4:8" ht="15.6">
      <c r="D576" s="93"/>
      <c r="E576" s="93"/>
      <c r="F576" s="93"/>
      <c r="G576" s="93"/>
      <c r="H576" s="93"/>
    </row>
    <row r="577" spans="4:8" ht="15.6">
      <c r="D577" s="93"/>
      <c r="E577" s="93"/>
      <c r="F577" s="93"/>
      <c r="G577" s="93"/>
      <c r="H577" s="93"/>
    </row>
    <row r="578" spans="4:8" ht="15.6">
      <c r="D578" s="93"/>
      <c r="E578" s="93"/>
      <c r="F578" s="93"/>
      <c r="G578" s="93"/>
      <c r="H578" s="93"/>
    </row>
    <row r="579" spans="4:8" ht="15.6">
      <c r="D579" s="93"/>
      <c r="E579" s="93"/>
      <c r="F579" s="93"/>
      <c r="G579" s="93"/>
      <c r="H579" s="93"/>
    </row>
    <row r="580" spans="4:8" ht="15.6">
      <c r="D580" s="93"/>
      <c r="E580" s="93"/>
      <c r="F580" s="93"/>
      <c r="G580" s="93"/>
      <c r="H580" s="93"/>
    </row>
    <row r="581" spans="4:8" ht="15.6">
      <c r="D581" s="93"/>
      <c r="E581" s="93"/>
      <c r="F581" s="93"/>
      <c r="G581" s="93"/>
      <c r="H581" s="93"/>
    </row>
    <row r="582" spans="4:8" ht="15.6">
      <c r="D582" s="93"/>
      <c r="E582" s="93"/>
      <c r="F582" s="93"/>
      <c r="G582" s="93"/>
      <c r="H582" s="93"/>
    </row>
    <row r="583" spans="4:8" ht="15.6">
      <c r="D583" s="93"/>
      <c r="E583" s="93"/>
      <c r="F583" s="93"/>
      <c r="G583" s="93"/>
      <c r="H583" s="93"/>
    </row>
    <row r="584" spans="4:8" ht="15.6">
      <c r="D584" s="93"/>
      <c r="E584" s="93"/>
      <c r="F584" s="93"/>
      <c r="G584" s="93"/>
      <c r="H584" s="93"/>
    </row>
    <row r="585" spans="4:8" ht="15.6">
      <c r="D585" s="93"/>
      <c r="E585" s="93"/>
      <c r="F585" s="93"/>
      <c r="G585" s="93"/>
      <c r="H585" s="93"/>
    </row>
    <row r="586" spans="4:8" ht="15.6">
      <c r="D586" s="93"/>
      <c r="E586" s="93"/>
      <c r="F586" s="93"/>
      <c r="G586" s="93"/>
      <c r="H586" s="93"/>
    </row>
    <row r="587" spans="4:8" ht="15.6">
      <c r="D587" s="93"/>
      <c r="E587" s="93"/>
      <c r="F587" s="93"/>
      <c r="G587" s="93"/>
      <c r="H587" s="93"/>
    </row>
    <row r="588" spans="4:8" ht="15.6">
      <c r="D588" s="93"/>
      <c r="E588" s="93"/>
      <c r="F588" s="93"/>
      <c r="G588" s="93"/>
      <c r="H588" s="93"/>
    </row>
    <row r="589" spans="4:8" ht="15.6">
      <c r="D589" s="93"/>
      <c r="E589" s="93"/>
      <c r="F589" s="93"/>
      <c r="G589" s="93"/>
      <c r="H589" s="93"/>
    </row>
    <row r="590" spans="4:8" ht="15.6">
      <c r="D590" s="93"/>
      <c r="E590" s="93"/>
      <c r="F590" s="93"/>
      <c r="G590" s="93"/>
      <c r="H590" s="93"/>
    </row>
    <row r="591" spans="4:8" ht="15.6">
      <c r="D591" s="93"/>
      <c r="E591" s="93"/>
      <c r="F591" s="93"/>
      <c r="G591" s="93"/>
      <c r="H591" s="93"/>
    </row>
    <row r="592" spans="4:8" ht="15.6">
      <c r="D592" s="93"/>
      <c r="E592" s="93"/>
      <c r="F592" s="93"/>
      <c r="G592" s="93"/>
      <c r="H592" s="93"/>
    </row>
    <row r="593" spans="4:8" ht="15.6">
      <c r="D593" s="93"/>
      <c r="E593" s="93"/>
      <c r="F593" s="93"/>
      <c r="G593" s="93"/>
      <c r="H593" s="93"/>
    </row>
    <row r="594" spans="4:8" ht="15.6">
      <c r="D594" s="93"/>
      <c r="E594" s="93"/>
      <c r="F594" s="93"/>
      <c r="G594" s="93"/>
      <c r="H594" s="93"/>
    </row>
    <row r="595" spans="4:8" ht="15.6">
      <c r="D595" s="93"/>
      <c r="E595" s="93"/>
      <c r="F595" s="93"/>
      <c r="G595" s="93"/>
      <c r="H595" s="93"/>
    </row>
    <row r="596" spans="4:8" ht="15.6">
      <c r="D596" s="93"/>
      <c r="E596" s="93"/>
      <c r="F596" s="93"/>
      <c r="G596" s="93"/>
      <c r="H596" s="93"/>
    </row>
    <row r="597" spans="4:8" ht="15.6">
      <c r="D597" s="93"/>
      <c r="E597" s="93"/>
      <c r="F597" s="93"/>
      <c r="G597" s="93"/>
      <c r="H597" s="93"/>
    </row>
    <row r="598" spans="4:8" ht="15.6">
      <c r="D598" s="93"/>
      <c r="E598" s="93"/>
      <c r="F598" s="93"/>
      <c r="G598" s="93"/>
      <c r="H598" s="93"/>
    </row>
    <row r="599" spans="4:8" ht="15.6">
      <c r="D599" s="93"/>
      <c r="E599" s="93"/>
      <c r="F599" s="93"/>
      <c r="G599" s="93"/>
      <c r="H599" s="93"/>
    </row>
    <row r="600" spans="4:8" ht="15.6">
      <c r="D600" s="93"/>
      <c r="E600" s="93"/>
      <c r="F600" s="93"/>
      <c r="G600" s="93"/>
      <c r="H600" s="93"/>
    </row>
    <row r="601" spans="4:8" ht="15.6">
      <c r="D601" s="93"/>
      <c r="E601" s="93"/>
      <c r="F601" s="93"/>
      <c r="G601" s="93"/>
      <c r="H601" s="93"/>
    </row>
    <row r="602" spans="4:8" ht="15.6">
      <c r="D602" s="93"/>
      <c r="E602" s="93"/>
      <c r="F602" s="93"/>
      <c r="G602" s="93"/>
      <c r="H602" s="93"/>
    </row>
    <row r="603" spans="4:8" ht="15.6">
      <c r="D603" s="93"/>
      <c r="E603" s="93"/>
      <c r="F603" s="93"/>
      <c r="G603" s="93"/>
      <c r="H603" s="93"/>
    </row>
    <row r="604" spans="4:8" ht="15.6">
      <c r="D604" s="93"/>
      <c r="E604" s="93"/>
      <c r="F604" s="93"/>
      <c r="G604" s="93"/>
      <c r="H604" s="93"/>
    </row>
    <row r="605" spans="4:8" ht="15.6">
      <c r="D605" s="93"/>
      <c r="E605" s="93"/>
      <c r="F605" s="93"/>
      <c r="G605" s="93"/>
      <c r="H605" s="93"/>
    </row>
    <row r="606" spans="4:8" ht="15.6">
      <c r="D606" s="93"/>
      <c r="E606" s="93"/>
      <c r="F606" s="93"/>
      <c r="G606" s="93"/>
      <c r="H606" s="93"/>
    </row>
    <row r="607" spans="4:8" ht="15.6">
      <c r="D607" s="93"/>
      <c r="E607" s="93"/>
      <c r="F607" s="93"/>
      <c r="G607" s="93"/>
      <c r="H607" s="93"/>
    </row>
    <row r="608" spans="4:8" ht="15.6">
      <c r="D608" s="93"/>
      <c r="E608" s="93"/>
      <c r="F608" s="93"/>
      <c r="G608" s="93"/>
      <c r="H608" s="93"/>
    </row>
    <row r="609" spans="4:8" ht="15.6">
      <c r="D609" s="93"/>
      <c r="E609" s="93"/>
      <c r="F609" s="93"/>
      <c r="G609" s="93"/>
      <c r="H609" s="93"/>
    </row>
    <row r="610" spans="4:8" ht="15.6">
      <c r="D610" s="93"/>
      <c r="E610" s="93"/>
      <c r="F610" s="93"/>
      <c r="G610" s="93"/>
      <c r="H610" s="93"/>
    </row>
    <row r="611" spans="4:8" ht="15.6">
      <c r="D611" s="93"/>
      <c r="E611" s="93"/>
      <c r="F611" s="93"/>
      <c r="G611" s="93"/>
      <c r="H611" s="93"/>
    </row>
    <row r="612" spans="4:8" ht="15.6">
      <c r="D612" s="93"/>
      <c r="E612" s="93"/>
      <c r="F612" s="93"/>
      <c r="G612" s="93"/>
      <c r="H612" s="93"/>
    </row>
    <row r="613" spans="4:8" ht="15.6">
      <c r="D613" s="93"/>
      <c r="E613" s="93"/>
      <c r="F613" s="93"/>
      <c r="G613" s="93"/>
      <c r="H613" s="93"/>
    </row>
    <row r="614" spans="4:8" ht="15.6">
      <c r="D614" s="93"/>
      <c r="E614" s="93"/>
      <c r="F614" s="93"/>
      <c r="G614" s="93"/>
      <c r="H614" s="93"/>
    </row>
    <row r="615" spans="4:8" ht="15.6">
      <c r="D615" s="93"/>
      <c r="E615" s="93"/>
      <c r="F615" s="93"/>
      <c r="G615" s="93"/>
      <c r="H615" s="93"/>
    </row>
    <row r="616" spans="4:8" ht="15.6">
      <c r="D616" s="93"/>
      <c r="E616" s="93"/>
      <c r="F616" s="93"/>
      <c r="G616" s="93"/>
      <c r="H616" s="93"/>
    </row>
    <row r="617" spans="4:8" ht="15.6">
      <c r="D617" s="93"/>
      <c r="E617" s="93"/>
      <c r="F617" s="93"/>
      <c r="G617" s="93"/>
      <c r="H617" s="93"/>
    </row>
    <row r="618" spans="4:8" ht="15.6">
      <c r="D618" s="93"/>
      <c r="E618" s="93"/>
      <c r="F618" s="93"/>
      <c r="G618" s="93"/>
      <c r="H618" s="93"/>
    </row>
    <row r="619" spans="4:8" ht="15.6">
      <c r="D619" s="93"/>
      <c r="E619" s="93"/>
      <c r="F619" s="93"/>
      <c r="G619" s="93"/>
      <c r="H619" s="93"/>
    </row>
    <row r="620" spans="4:8" ht="15.6">
      <c r="D620" s="93"/>
      <c r="E620" s="93"/>
      <c r="F620" s="93"/>
      <c r="G620" s="93"/>
      <c r="H620" s="93"/>
    </row>
    <row r="621" spans="4:8" ht="15.6">
      <c r="D621" s="93"/>
      <c r="E621" s="93"/>
      <c r="F621" s="93"/>
      <c r="G621" s="93"/>
      <c r="H621" s="93"/>
    </row>
    <row r="622" spans="4:8" ht="15.6">
      <c r="D622" s="93"/>
      <c r="E622" s="93"/>
      <c r="F622" s="93"/>
      <c r="G622" s="93"/>
      <c r="H622" s="93"/>
    </row>
    <row r="623" spans="4:8" ht="15.6">
      <c r="D623" s="93"/>
      <c r="E623" s="93"/>
      <c r="F623" s="93"/>
      <c r="G623" s="93"/>
      <c r="H623" s="93"/>
    </row>
    <row r="624" spans="4:8" ht="15.6">
      <c r="D624" s="93"/>
      <c r="E624" s="93"/>
      <c r="F624" s="93"/>
      <c r="G624" s="93"/>
      <c r="H624" s="93"/>
    </row>
    <row r="625" spans="4:8" ht="15.6">
      <c r="D625" s="93"/>
      <c r="E625" s="93"/>
      <c r="F625" s="93"/>
      <c r="G625" s="93"/>
      <c r="H625" s="93"/>
    </row>
    <row r="626" spans="4:8" ht="15.6">
      <c r="D626" s="93"/>
      <c r="E626" s="93"/>
      <c r="F626" s="93"/>
      <c r="G626" s="93"/>
      <c r="H626" s="93"/>
    </row>
    <row r="627" spans="4:8" ht="15.6">
      <c r="D627" s="93"/>
      <c r="E627" s="93"/>
      <c r="F627" s="93"/>
      <c r="G627" s="93"/>
      <c r="H627" s="93"/>
    </row>
    <row r="628" spans="4:8" ht="15.6">
      <c r="D628" s="93"/>
      <c r="E628" s="93"/>
      <c r="F628" s="93"/>
      <c r="G628" s="93"/>
      <c r="H628" s="93"/>
    </row>
    <row r="629" spans="4:8" ht="15.6">
      <c r="D629" s="93"/>
      <c r="E629" s="93"/>
      <c r="F629" s="93"/>
      <c r="G629" s="93"/>
      <c r="H629" s="93"/>
    </row>
    <row r="630" spans="4:8" ht="15.6">
      <c r="D630" s="93"/>
      <c r="E630" s="93"/>
      <c r="F630" s="93"/>
      <c r="G630" s="93"/>
      <c r="H630" s="93"/>
    </row>
    <row r="631" spans="4:8" ht="15.6">
      <c r="D631" s="93"/>
      <c r="E631" s="93"/>
      <c r="F631" s="93"/>
      <c r="G631" s="93"/>
      <c r="H631" s="93"/>
    </row>
    <row r="632" spans="4:8" ht="15.6">
      <c r="D632" s="93"/>
      <c r="E632" s="93"/>
      <c r="F632" s="93"/>
      <c r="G632" s="93"/>
      <c r="H632" s="93"/>
    </row>
    <row r="633" spans="4:8" ht="15.6">
      <c r="D633" s="93"/>
      <c r="E633" s="93"/>
      <c r="F633" s="93"/>
      <c r="G633" s="93"/>
      <c r="H633" s="93"/>
    </row>
    <row r="634" spans="4:8" ht="15.6">
      <c r="D634" s="93"/>
      <c r="E634" s="93"/>
      <c r="F634" s="93"/>
      <c r="G634" s="93"/>
      <c r="H634" s="93"/>
    </row>
    <row r="635" spans="4:8" ht="15.6">
      <c r="D635" s="93"/>
      <c r="E635" s="93"/>
      <c r="F635" s="93"/>
      <c r="G635" s="93"/>
      <c r="H635" s="93"/>
    </row>
    <row r="636" spans="4:8" ht="15.6">
      <c r="D636" s="93"/>
      <c r="E636" s="93"/>
      <c r="F636" s="93"/>
      <c r="G636" s="93"/>
      <c r="H636" s="93"/>
    </row>
    <row r="637" spans="4:8" ht="15.6">
      <c r="D637" s="93"/>
      <c r="E637" s="93"/>
      <c r="F637" s="93"/>
      <c r="G637" s="93"/>
      <c r="H637" s="93"/>
    </row>
    <row r="638" spans="4:8" ht="15.6">
      <c r="D638" s="93"/>
      <c r="E638" s="93"/>
      <c r="F638" s="93"/>
      <c r="G638" s="93"/>
      <c r="H638" s="93"/>
    </row>
    <row r="639" spans="4:8" ht="15.6">
      <c r="D639" s="93"/>
      <c r="E639" s="93"/>
      <c r="F639" s="93"/>
      <c r="G639" s="93"/>
      <c r="H639" s="93"/>
    </row>
    <row r="640" spans="4:8" ht="15.6">
      <c r="D640" s="93"/>
      <c r="E640" s="93"/>
      <c r="F640" s="93"/>
      <c r="G640" s="93"/>
      <c r="H640" s="93"/>
    </row>
    <row r="641" spans="4:8" ht="15.6">
      <c r="D641" s="93"/>
      <c r="E641" s="93"/>
      <c r="F641" s="93"/>
      <c r="G641" s="93"/>
      <c r="H641" s="93"/>
    </row>
    <row r="642" spans="4:8" ht="15.6">
      <c r="D642" s="93"/>
      <c r="E642" s="93"/>
      <c r="F642" s="93"/>
      <c r="G642" s="93"/>
      <c r="H642" s="93"/>
    </row>
    <row r="643" spans="4:8" ht="15.6">
      <c r="D643" s="93"/>
      <c r="E643" s="93"/>
      <c r="F643" s="93"/>
      <c r="G643" s="93"/>
      <c r="H643" s="93"/>
    </row>
    <row r="644" spans="4:8" ht="15.6">
      <c r="D644" s="93"/>
      <c r="E644" s="93"/>
      <c r="F644" s="93"/>
      <c r="G644" s="93"/>
      <c r="H644" s="93"/>
    </row>
    <row r="645" spans="4:8" ht="15.6">
      <c r="D645" s="93"/>
      <c r="E645" s="93"/>
      <c r="F645" s="93"/>
      <c r="G645" s="93"/>
      <c r="H645" s="93"/>
    </row>
    <row r="646" spans="4:8" ht="15.6">
      <c r="D646" s="93"/>
      <c r="E646" s="93"/>
      <c r="F646" s="93"/>
      <c r="G646" s="93"/>
      <c r="H646" s="93"/>
    </row>
    <row r="647" spans="4:8" ht="15.6">
      <c r="D647" s="93"/>
      <c r="E647" s="93"/>
      <c r="F647" s="93"/>
      <c r="G647" s="93"/>
      <c r="H647" s="93"/>
    </row>
    <row r="648" spans="4:8" ht="15.6">
      <c r="D648" s="93"/>
      <c r="E648" s="93"/>
      <c r="F648" s="93"/>
      <c r="G648" s="93"/>
      <c r="H648" s="93"/>
    </row>
    <row r="649" spans="4:8" ht="15.6">
      <c r="D649" s="93"/>
      <c r="E649" s="93"/>
      <c r="F649" s="93"/>
      <c r="G649" s="93"/>
      <c r="H649" s="93"/>
    </row>
    <row r="650" spans="4:8" ht="15.6">
      <c r="D650" s="93"/>
      <c r="E650" s="93"/>
      <c r="F650" s="93"/>
      <c r="G650" s="93"/>
      <c r="H650" s="93"/>
    </row>
    <row r="651" spans="4:8" ht="15.6">
      <c r="D651" s="93"/>
      <c r="E651" s="93"/>
      <c r="F651" s="93"/>
      <c r="G651" s="93"/>
      <c r="H651" s="93"/>
    </row>
    <row r="652" spans="4:8" ht="15.6">
      <c r="D652" s="93"/>
      <c r="E652" s="93"/>
      <c r="F652" s="93"/>
      <c r="G652" s="93"/>
      <c r="H652" s="93"/>
    </row>
    <row r="653" spans="4:8" ht="15.6">
      <c r="D653" s="93"/>
      <c r="E653" s="93"/>
      <c r="F653" s="93"/>
      <c r="G653" s="93"/>
      <c r="H653" s="93"/>
    </row>
    <row r="654" spans="4:8" ht="15.6">
      <c r="D654" s="93"/>
      <c r="E654" s="93"/>
      <c r="F654" s="93"/>
      <c r="G654" s="93"/>
      <c r="H654" s="93"/>
    </row>
    <row r="655" spans="4:8" ht="15.6">
      <c r="D655" s="93"/>
      <c r="E655" s="93"/>
      <c r="F655" s="93"/>
      <c r="G655" s="93"/>
      <c r="H655" s="93"/>
    </row>
    <row r="656" spans="4:8" ht="15.6">
      <c r="D656" s="93"/>
      <c r="E656" s="93"/>
      <c r="F656" s="93"/>
      <c r="G656" s="93"/>
      <c r="H656" s="93"/>
    </row>
    <row r="657" spans="4:8" ht="15.6">
      <c r="D657" s="93"/>
      <c r="E657" s="93"/>
      <c r="F657" s="93"/>
      <c r="G657" s="93"/>
      <c r="H657" s="93"/>
    </row>
    <row r="658" spans="4:8" ht="15.6">
      <c r="D658" s="93"/>
      <c r="E658" s="93"/>
      <c r="F658" s="93"/>
      <c r="G658" s="93"/>
      <c r="H658" s="93"/>
    </row>
    <row r="659" spans="4:8" ht="15.6">
      <c r="D659" s="93"/>
      <c r="E659" s="93"/>
      <c r="F659" s="93"/>
      <c r="G659" s="93"/>
      <c r="H659" s="93"/>
    </row>
    <row r="660" spans="4:8" ht="15.6">
      <c r="D660" s="93"/>
      <c r="E660" s="93"/>
      <c r="F660" s="93"/>
      <c r="G660" s="93"/>
      <c r="H660" s="93"/>
    </row>
    <row r="661" spans="4:8" ht="15.6">
      <c r="D661" s="93"/>
      <c r="E661" s="93"/>
      <c r="F661" s="93"/>
      <c r="G661" s="93"/>
      <c r="H661" s="93"/>
    </row>
    <row r="662" spans="4:8" ht="15.6">
      <c r="D662" s="93"/>
      <c r="E662" s="93"/>
      <c r="F662" s="93"/>
      <c r="G662" s="93"/>
      <c r="H662" s="93"/>
    </row>
    <row r="663" spans="4:8" ht="15.6">
      <c r="D663" s="93"/>
      <c r="E663" s="93"/>
      <c r="F663" s="93"/>
      <c r="G663" s="93"/>
      <c r="H663" s="93"/>
    </row>
    <row r="664" spans="4:8" ht="15.6">
      <c r="D664" s="93"/>
      <c r="E664" s="93"/>
      <c r="F664" s="93"/>
      <c r="G664" s="93"/>
      <c r="H664" s="93"/>
    </row>
    <row r="665" spans="4:8" ht="15.6">
      <c r="D665" s="93"/>
      <c r="E665" s="93"/>
      <c r="F665" s="93"/>
      <c r="G665" s="93"/>
      <c r="H665" s="93"/>
    </row>
    <row r="666" spans="4:8" ht="15.6">
      <c r="D666" s="93"/>
      <c r="E666" s="93"/>
      <c r="F666" s="93"/>
      <c r="G666" s="93"/>
      <c r="H666" s="93"/>
    </row>
    <row r="667" spans="4:8" ht="15.6">
      <c r="D667" s="93"/>
      <c r="E667" s="93"/>
      <c r="F667" s="93"/>
      <c r="G667" s="93"/>
      <c r="H667" s="93"/>
    </row>
    <row r="668" spans="4:8" ht="15.6">
      <c r="D668" s="93"/>
      <c r="E668" s="93"/>
      <c r="F668" s="93"/>
      <c r="G668" s="93"/>
      <c r="H668" s="93"/>
    </row>
    <row r="669" spans="4:8" ht="15.6">
      <c r="D669" s="93"/>
      <c r="E669" s="93"/>
      <c r="F669" s="93"/>
      <c r="G669" s="93"/>
      <c r="H669" s="93"/>
    </row>
    <row r="670" spans="4:8" ht="15.6">
      <c r="D670" s="93"/>
      <c r="E670" s="93"/>
      <c r="F670" s="93"/>
      <c r="G670" s="93"/>
      <c r="H670" s="93"/>
    </row>
    <row r="671" spans="4:8" ht="15.6">
      <c r="D671" s="93"/>
      <c r="E671" s="93"/>
      <c r="F671" s="93"/>
      <c r="G671" s="93"/>
      <c r="H671" s="93"/>
    </row>
    <row r="672" spans="4:8" ht="15.6">
      <c r="D672" s="93"/>
      <c r="E672" s="93"/>
      <c r="F672" s="93"/>
      <c r="G672" s="93"/>
      <c r="H672" s="93"/>
    </row>
    <row r="673" spans="4:8" ht="15.6">
      <c r="D673" s="93"/>
      <c r="E673" s="93"/>
      <c r="F673" s="93"/>
      <c r="G673" s="93"/>
      <c r="H673" s="93"/>
    </row>
    <row r="674" spans="4:8" ht="15.6">
      <c r="D674" s="93"/>
      <c r="E674" s="93"/>
      <c r="F674" s="93"/>
      <c r="G674" s="93"/>
      <c r="H674" s="93"/>
    </row>
    <row r="675" spans="4:8" ht="15.6">
      <c r="D675" s="93"/>
      <c r="E675" s="93"/>
      <c r="F675" s="93"/>
      <c r="G675" s="93"/>
      <c r="H675" s="93"/>
    </row>
    <row r="676" spans="4:8" ht="15.6">
      <c r="D676" s="93"/>
      <c r="E676" s="93"/>
      <c r="F676" s="93"/>
      <c r="G676" s="93"/>
      <c r="H676" s="93"/>
    </row>
    <row r="677" spans="4:8" ht="15.6">
      <c r="D677" s="93"/>
      <c r="E677" s="93"/>
      <c r="F677" s="93"/>
      <c r="G677" s="93"/>
      <c r="H677" s="93"/>
    </row>
    <row r="678" spans="4:8" ht="15.6">
      <c r="D678" s="93"/>
      <c r="E678" s="93"/>
      <c r="F678" s="93"/>
      <c r="G678" s="93"/>
      <c r="H678" s="93"/>
    </row>
    <row r="679" spans="4:8" ht="15.6">
      <c r="D679" s="93"/>
      <c r="E679" s="93"/>
      <c r="F679" s="93"/>
      <c r="G679" s="93"/>
      <c r="H679" s="93"/>
    </row>
    <row r="680" spans="4:8" ht="15.6">
      <c r="D680" s="93"/>
      <c r="E680" s="93"/>
      <c r="F680" s="93"/>
      <c r="G680" s="93"/>
      <c r="H680" s="93"/>
    </row>
    <row r="681" spans="4:8" ht="15.6">
      <c r="D681" s="93"/>
      <c r="E681" s="93"/>
      <c r="F681" s="93"/>
      <c r="G681" s="93"/>
      <c r="H681" s="93"/>
    </row>
    <row r="682" spans="4:8" ht="15.6">
      <c r="D682" s="93"/>
      <c r="E682" s="93"/>
      <c r="F682" s="93"/>
      <c r="G682" s="93"/>
      <c r="H682" s="93"/>
    </row>
    <row r="683" spans="4:8" ht="15.6">
      <c r="D683" s="93"/>
      <c r="E683" s="93"/>
      <c r="F683" s="93"/>
      <c r="G683" s="93"/>
      <c r="H683" s="93"/>
    </row>
    <row r="684" spans="4:8" ht="15.6">
      <c r="D684" s="93"/>
      <c r="E684" s="93"/>
      <c r="F684" s="93"/>
      <c r="G684" s="93"/>
      <c r="H684" s="93"/>
    </row>
    <row r="685" spans="4:8" ht="15.6">
      <c r="D685" s="93"/>
      <c r="E685" s="93"/>
      <c r="F685" s="93"/>
      <c r="G685" s="93"/>
      <c r="H685" s="93"/>
    </row>
    <row r="686" spans="4:8" ht="15.6">
      <c r="D686" s="93"/>
      <c r="E686" s="93"/>
      <c r="F686" s="93"/>
      <c r="G686" s="93"/>
      <c r="H686" s="93"/>
    </row>
    <row r="687" spans="4:8" ht="15.6">
      <c r="D687" s="93"/>
      <c r="E687" s="93"/>
      <c r="F687" s="93"/>
      <c r="G687" s="93"/>
      <c r="H687" s="93"/>
    </row>
    <row r="688" spans="4:8" ht="15.6">
      <c r="D688" s="93"/>
      <c r="E688" s="93"/>
      <c r="F688" s="93"/>
      <c r="G688" s="93"/>
      <c r="H688" s="93"/>
    </row>
    <row r="689" spans="4:8" ht="15.6">
      <c r="D689" s="93"/>
      <c r="E689" s="93"/>
      <c r="F689" s="93"/>
      <c r="G689" s="93"/>
      <c r="H689" s="93"/>
    </row>
    <row r="690" spans="4:8" ht="15.6">
      <c r="D690" s="93"/>
      <c r="E690" s="93"/>
      <c r="F690" s="93"/>
      <c r="G690" s="93"/>
      <c r="H690" s="93"/>
    </row>
    <row r="691" spans="4:8" ht="15.6">
      <c r="D691" s="93"/>
      <c r="E691" s="93"/>
      <c r="F691" s="93"/>
      <c r="G691" s="93"/>
      <c r="H691" s="93"/>
    </row>
    <row r="692" spans="4:8" ht="15.6">
      <c r="D692" s="93"/>
      <c r="E692" s="93"/>
      <c r="F692" s="93"/>
      <c r="G692" s="93"/>
      <c r="H692" s="93"/>
    </row>
    <row r="693" spans="4:8" ht="15.6">
      <c r="D693" s="93"/>
      <c r="E693" s="93"/>
      <c r="F693" s="93"/>
      <c r="G693" s="93"/>
      <c r="H693" s="93"/>
    </row>
    <row r="694" spans="4:8" ht="15.6">
      <c r="D694" s="93"/>
      <c r="E694" s="93"/>
      <c r="F694" s="93"/>
      <c r="G694" s="93"/>
      <c r="H694" s="93"/>
    </row>
    <row r="695" spans="4:8" ht="15.6">
      <c r="D695" s="93"/>
      <c r="E695" s="93"/>
      <c r="F695" s="93"/>
      <c r="G695" s="93"/>
      <c r="H695" s="93"/>
    </row>
    <row r="696" spans="4:8" ht="15.6">
      <c r="D696" s="93"/>
      <c r="E696" s="93"/>
      <c r="F696" s="93"/>
      <c r="G696" s="93"/>
      <c r="H696" s="93"/>
    </row>
    <row r="697" spans="4:8" ht="15.6">
      <c r="D697" s="93"/>
      <c r="E697" s="93"/>
      <c r="F697" s="93"/>
      <c r="G697" s="93"/>
      <c r="H697" s="93"/>
    </row>
    <row r="698" spans="4:8" ht="15.6">
      <c r="D698" s="93"/>
      <c r="E698" s="93"/>
      <c r="F698" s="93"/>
      <c r="G698" s="93"/>
      <c r="H698" s="93"/>
    </row>
    <row r="699" spans="4:8" ht="15.6">
      <c r="D699" s="93"/>
      <c r="E699" s="93"/>
      <c r="F699" s="93"/>
      <c r="G699" s="93"/>
      <c r="H699" s="93"/>
    </row>
    <row r="700" spans="4:8" ht="15.6">
      <c r="D700" s="93"/>
      <c r="E700" s="93"/>
      <c r="F700" s="93"/>
      <c r="G700" s="93"/>
      <c r="H700" s="93"/>
    </row>
    <row r="701" spans="4:8" ht="15.6">
      <c r="D701" s="93"/>
      <c r="E701" s="93"/>
      <c r="F701" s="93"/>
      <c r="G701" s="93"/>
      <c r="H701" s="93"/>
    </row>
    <row r="702" spans="4:8" ht="15.6">
      <c r="D702" s="93"/>
      <c r="E702" s="93"/>
      <c r="F702" s="93"/>
      <c r="G702" s="93"/>
      <c r="H702" s="93"/>
    </row>
    <row r="703" spans="4:8" ht="15.6">
      <c r="D703" s="93"/>
      <c r="E703" s="93"/>
      <c r="F703" s="93"/>
      <c r="G703" s="93"/>
      <c r="H703" s="93"/>
    </row>
    <row r="704" spans="4:8" ht="15.6">
      <c r="D704" s="93"/>
      <c r="E704" s="93"/>
      <c r="F704" s="93"/>
      <c r="G704" s="93"/>
      <c r="H704" s="93"/>
    </row>
    <row r="705" spans="4:8" ht="15.6">
      <c r="D705" s="93"/>
      <c r="E705" s="93"/>
      <c r="F705" s="93"/>
      <c r="G705" s="93"/>
      <c r="H705" s="93"/>
    </row>
    <row r="706" spans="4:8" ht="15.6">
      <c r="D706" s="93"/>
      <c r="E706" s="93"/>
      <c r="F706" s="93"/>
      <c r="G706" s="93"/>
      <c r="H706" s="93"/>
    </row>
    <row r="707" spans="4:8" ht="15.6">
      <c r="D707" s="93"/>
      <c r="E707" s="93"/>
      <c r="F707" s="93"/>
      <c r="G707" s="93"/>
      <c r="H707" s="93"/>
    </row>
    <row r="708" spans="4:8" ht="15.6">
      <c r="D708" s="93"/>
      <c r="E708" s="93"/>
      <c r="F708" s="93"/>
      <c r="G708" s="93"/>
      <c r="H708" s="93"/>
    </row>
    <row r="709" spans="4:8" ht="15.6">
      <c r="D709" s="93"/>
      <c r="E709" s="93"/>
      <c r="F709" s="93"/>
      <c r="G709" s="93"/>
      <c r="H709" s="93"/>
    </row>
    <row r="710" spans="4:8" ht="15.6">
      <c r="D710" s="93"/>
      <c r="E710" s="93"/>
      <c r="F710" s="93"/>
      <c r="G710" s="93"/>
      <c r="H710" s="93"/>
    </row>
    <row r="711" spans="4:8" ht="15.6">
      <c r="D711" s="93"/>
      <c r="E711" s="93"/>
      <c r="F711" s="93"/>
      <c r="G711" s="93"/>
      <c r="H711" s="93"/>
    </row>
    <row r="712" spans="4:8" ht="15.6">
      <c r="D712" s="93"/>
      <c r="E712" s="93"/>
      <c r="F712" s="93"/>
      <c r="G712" s="93"/>
      <c r="H712" s="93"/>
    </row>
    <row r="713" spans="4:8" ht="15.6">
      <c r="D713" s="93"/>
      <c r="E713" s="93"/>
      <c r="F713" s="93"/>
      <c r="G713" s="93"/>
      <c r="H713" s="93"/>
    </row>
    <row r="714" spans="4:8" ht="15.6">
      <c r="D714" s="93"/>
      <c r="E714" s="93"/>
      <c r="F714" s="93"/>
      <c r="G714" s="93"/>
      <c r="H714" s="93"/>
    </row>
    <row r="715" spans="4:8" ht="15.6">
      <c r="D715" s="93"/>
      <c r="E715" s="93"/>
      <c r="F715" s="93"/>
      <c r="G715" s="93"/>
      <c r="H715" s="93"/>
    </row>
    <row r="716" spans="4:8" ht="15.6">
      <c r="D716" s="93"/>
      <c r="E716" s="93"/>
      <c r="F716" s="93"/>
      <c r="G716" s="93"/>
      <c r="H716" s="93"/>
    </row>
    <row r="717" spans="4:8" ht="15.6">
      <c r="D717" s="93"/>
      <c r="E717" s="93"/>
      <c r="F717" s="93"/>
      <c r="G717" s="93"/>
      <c r="H717" s="93"/>
    </row>
    <row r="718" spans="4:8" ht="15.6">
      <c r="D718" s="93"/>
      <c r="E718" s="93"/>
      <c r="F718" s="93"/>
      <c r="G718" s="93"/>
      <c r="H718" s="93"/>
    </row>
    <row r="719" spans="4:8" ht="15.6">
      <c r="D719" s="93"/>
      <c r="E719" s="93"/>
      <c r="F719" s="93"/>
      <c r="G719" s="93"/>
      <c r="H719" s="93"/>
    </row>
    <row r="720" spans="4:8" ht="15.6">
      <c r="D720" s="93"/>
      <c r="E720" s="93"/>
      <c r="F720" s="93"/>
      <c r="G720" s="93"/>
      <c r="H720" s="93"/>
    </row>
    <row r="721" spans="4:8" ht="15.6">
      <c r="D721" s="93"/>
      <c r="E721" s="93"/>
      <c r="F721" s="93"/>
      <c r="G721" s="93"/>
      <c r="H721" s="93"/>
    </row>
    <row r="722" spans="4:8" ht="15.6">
      <c r="D722" s="93"/>
      <c r="E722" s="93"/>
      <c r="F722" s="93"/>
      <c r="G722" s="93"/>
      <c r="H722" s="93"/>
    </row>
    <row r="723" spans="4:8" ht="15.6">
      <c r="D723" s="93"/>
      <c r="E723" s="93"/>
      <c r="F723" s="93"/>
      <c r="G723" s="93"/>
      <c r="H723" s="93"/>
    </row>
    <row r="724" spans="4:8" ht="15.6">
      <c r="D724" s="93"/>
      <c r="E724" s="93"/>
      <c r="F724" s="93"/>
      <c r="G724" s="93"/>
      <c r="H724" s="93"/>
    </row>
    <row r="725" spans="4:8" ht="15.6">
      <c r="D725" s="93"/>
      <c r="E725" s="93"/>
      <c r="F725" s="93"/>
      <c r="G725" s="93"/>
      <c r="H725" s="93"/>
    </row>
    <row r="726" spans="4:8" ht="15.6">
      <c r="D726" s="93"/>
      <c r="E726" s="93"/>
      <c r="F726" s="93"/>
      <c r="G726" s="93"/>
      <c r="H726" s="93"/>
    </row>
    <row r="727" spans="4:8" ht="15.6">
      <c r="D727" s="93"/>
      <c r="E727" s="93"/>
      <c r="F727" s="93"/>
      <c r="G727" s="93"/>
      <c r="H727" s="93"/>
    </row>
    <row r="728" spans="4:8" ht="15.6">
      <c r="D728" s="93"/>
      <c r="E728" s="93"/>
      <c r="F728" s="93"/>
      <c r="G728" s="93"/>
      <c r="H728" s="93"/>
    </row>
    <row r="729" spans="4:8" ht="15.6">
      <c r="D729" s="93"/>
      <c r="E729" s="93"/>
      <c r="F729" s="93"/>
      <c r="G729" s="93"/>
      <c r="H729" s="93"/>
    </row>
    <row r="730" spans="4:8" ht="15.6">
      <c r="D730" s="93"/>
      <c r="E730" s="93"/>
      <c r="F730" s="93"/>
      <c r="G730" s="93"/>
      <c r="H730" s="93"/>
    </row>
    <row r="731" spans="4:8" ht="15.6">
      <c r="D731" s="93"/>
      <c r="E731" s="93"/>
      <c r="F731" s="93"/>
      <c r="G731" s="93"/>
      <c r="H731" s="93"/>
    </row>
    <row r="732" spans="4:8" ht="15.6">
      <c r="D732" s="93"/>
      <c r="E732" s="93"/>
      <c r="F732" s="93"/>
      <c r="G732" s="93"/>
      <c r="H732" s="93"/>
    </row>
    <row r="733" spans="4:8" ht="15.6">
      <c r="D733" s="93"/>
      <c r="E733" s="93"/>
      <c r="F733" s="93"/>
      <c r="G733" s="93"/>
      <c r="H733" s="93"/>
    </row>
    <row r="734" spans="4:8" ht="15.6">
      <c r="D734" s="93"/>
      <c r="E734" s="93"/>
      <c r="F734" s="93"/>
      <c r="G734" s="93"/>
      <c r="H734" s="93"/>
    </row>
    <row r="735" spans="4:8" ht="15.6">
      <c r="D735" s="93"/>
      <c r="E735" s="93"/>
      <c r="F735" s="93"/>
      <c r="G735" s="93"/>
      <c r="H735" s="93"/>
    </row>
    <row r="736" spans="4:8" ht="15.6">
      <c r="D736" s="93"/>
      <c r="E736" s="93"/>
      <c r="F736" s="93"/>
      <c r="G736" s="93"/>
      <c r="H736" s="93"/>
    </row>
    <row r="737" spans="4:8" ht="15.6">
      <c r="D737" s="93"/>
      <c r="E737" s="93"/>
      <c r="F737" s="93"/>
      <c r="G737" s="93"/>
      <c r="H737" s="93"/>
    </row>
    <row r="738" spans="4:8" ht="15.6">
      <c r="D738" s="93"/>
      <c r="E738" s="93"/>
      <c r="F738" s="93"/>
      <c r="G738" s="93"/>
      <c r="H738" s="93"/>
    </row>
    <row r="739" spans="4:8" ht="15.6">
      <c r="D739" s="93"/>
      <c r="E739" s="93"/>
      <c r="F739" s="93"/>
      <c r="G739" s="93"/>
      <c r="H739" s="93"/>
    </row>
    <row r="740" spans="4:8" ht="15.6">
      <c r="D740" s="93"/>
      <c r="E740" s="93"/>
      <c r="F740" s="93"/>
      <c r="G740" s="93"/>
      <c r="H740" s="93"/>
    </row>
    <row r="741" spans="4:8" ht="15.6">
      <c r="D741" s="93"/>
      <c r="E741" s="93"/>
      <c r="F741" s="93"/>
      <c r="G741" s="93"/>
      <c r="H741" s="93"/>
    </row>
    <row r="742" spans="4:8" ht="15.6">
      <c r="D742" s="93"/>
      <c r="E742" s="93"/>
      <c r="F742" s="93"/>
      <c r="G742" s="93"/>
      <c r="H742" s="93"/>
    </row>
    <row r="743" spans="4:8" ht="15.6">
      <c r="D743" s="93"/>
      <c r="E743" s="93"/>
      <c r="F743" s="93"/>
      <c r="G743" s="93"/>
      <c r="H743" s="93"/>
    </row>
    <row r="744" spans="4:8" ht="15.6">
      <c r="D744" s="93"/>
      <c r="E744" s="93"/>
      <c r="F744" s="93"/>
      <c r="G744" s="93"/>
      <c r="H744" s="93"/>
    </row>
    <row r="745" spans="4:8" ht="15.6">
      <c r="D745" s="93"/>
      <c r="E745" s="93"/>
      <c r="F745" s="93"/>
      <c r="G745" s="93"/>
      <c r="H745" s="93"/>
    </row>
    <row r="746" spans="4:8" ht="15.6">
      <c r="D746" s="93"/>
      <c r="E746" s="93"/>
      <c r="F746" s="93"/>
      <c r="G746" s="93"/>
      <c r="H746" s="93"/>
    </row>
    <row r="747" spans="4:8" ht="15.6">
      <c r="D747" s="93"/>
      <c r="E747" s="93"/>
      <c r="F747" s="93"/>
      <c r="G747" s="93"/>
      <c r="H747" s="93"/>
    </row>
    <row r="748" spans="4:8" ht="15.6">
      <c r="D748" s="93"/>
      <c r="E748" s="93"/>
      <c r="F748" s="93"/>
      <c r="G748" s="93"/>
      <c r="H748" s="93"/>
    </row>
    <row r="749" spans="4:8" ht="15.6">
      <c r="D749" s="93"/>
      <c r="E749" s="93"/>
      <c r="F749" s="93"/>
      <c r="G749" s="93"/>
      <c r="H749" s="93"/>
    </row>
    <row r="750" spans="4:8" ht="15.6">
      <c r="D750" s="93"/>
      <c r="E750" s="93"/>
      <c r="F750" s="93"/>
      <c r="G750" s="93"/>
      <c r="H750" s="93"/>
    </row>
    <row r="751" spans="4:8" ht="15.6">
      <c r="D751" s="93"/>
      <c r="E751" s="93"/>
      <c r="F751" s="93"/>
      <c r="G751" s="93"/>
      <c r="H751" s="93"/>
    </row>
    <row r="752" spans="4:8" ht="15.6">
      <c r="D752" s="93"/>
      <c r="E752" s="93"/>
      <c r="F752" s="93"/>
      <c r="G752" s="93"/>
      <c r="H752" s="93"/>
    </row>
    <row r="753" spans="4:8" ht="15.6">
      <c r="D753" s="93"/>
      <c r="E753" s="93"/>
      <c r="F753" s="93"/>
      <c r="G753" s="93"/>
      <c r="H753" s="93"/>
    </row>
    <row r="754" spans="4:8" ht="15.6">
      <c r="D754" s="93"/>
      <c r="E754" s="93"/>
      <c r="F754" s="93"/>
      <c r="G754" s="93"/>
      <c r="H754" s="93"/>
    </row>
    <row r="755" spans="4:8" ht="15.6">
      <c r="D755" s="93"/>
      <c r="E755" s="93"/>
      <c r="F755" s="93"/>
      <c r="G755" s="93"/>
      <c r="H755" s="93"/>
    </row>
    <row r="756" spans="4:8" ht="15.6">
      <c r="D756" s="93"/>
      <c r="E756" s="93"/>
      <c r="F756" s="93"/>
      <c r="G756" s="93"/>
      <c r="H756" s="93"/>
    </row>
    <row r="757" spans="4:8" ht="15.6">
      <c r="D757" s="93"/>
      <c r="E757" s="93"/>
      <c r="F757" s="93"/>
      <c r="G757" s="93"/>
      <c r="H757" s="93"/>
    </row>
    <row r="758" spans="4:8" ht="15.6">
      <c r="D758" s="93"/>
      <c r="E758" s="93"/>
      <c r="F758" s="93"/>
      <c r="G758" s="93"/>
      <c r="H758" s="93"/>
    </row>
    <row r="759" spans="4:8" ht="15.6">
      <c r="D759" s="93"/>
      <c r="E759" s="93"/>
      <c r="F759" s="93"/>
      <c r="G759" s="93"/>
      <c r="H759" s="93"/>
    </row>
    <row r="760" spans="4:8" ht="15.6">
      <c r="D760" s="93"/>
      <c r="E760" s="93"/>
      <c r="F760" s="93"/>
      <c r="G760" s="93"/>
      <c r="H760" s="93"/>
    </row>
    <row r="761" spans="4:8" ht="15.6">
      <c r="D761" s="93"/>
      <c r="E761" s="93"/>
      <c r="F761" s="93"/>
      <c r="G761" s="93"/>
      <c r="H761" s="93"/>
    </row>
    <row r="762" spans="4:8" ht="15.6">
      <c r="D762" s="93"/>
      <c r="E762" s="93"/>
      <c r="F762" s="93"/>
      <c r="G762" s="93"/>
      <c r="H762" s="93"/>
    </row>
    <row r="763" spans="4:8" ht="15.6">
      <c r="D763" s="93"/>
      <c r="E763" s="93"/>
      <c r="F763" s="93"/>
      <c r="G763" s="93"/>
      <c r="H763" s="93"/>
    </row>
    <row r="764" spans="4:8" ht="15.6">
      <c r="D764" s="93"/>
      <c r="E764" s="93"/>
      <c r="F764" s="93"/>
      <c r="G764" s="93"/>
      <c r="H764" s="93"/>
    </row>
    <row r="765" spans="4:8" ht="15.6">
      <c r="D765" s="93"/>
      <c r="E765" s="93"/>
      <c r="F765" s="93"/>
      <c r="G765" s="93"/>
      <c r="H765" s="93"/>
    </row>
    <row r="766" spans="4:8" ht="15.6">
      <c r="D766" s="93"/>
      <c r="E766" s="93"/>
      <c r="F766" s="93"/>
      <c r="G766" s="93"/>
      <c r="H766" s="93"/>
    </row>
    <row r="767" spans="4:8" ht="15.6">
      <c r="D767" s="93"/>
      <c r="E767" s="93"/>
      <c r="F767" s="93"/>
      <c r="G767" s="93"/>
      <c r="H767" s="93"/>
    </row>
    <row r="768" spans="4:8" ht="15.6">
      <c r="D768" s="93"/>
      <c r="E768" s="93"/>
      <c r="F768" s="93"/>
      <c r="G768" s="93"/>
      <c r="H768" s="93"/>
    </row>
    <row r="769" spans="4:8" ht="15.6">
      <c r="D769" s="93"/>
      <c r="E769" s="93"/>
      <c r="F769" s="93"/>
      <c r="G769" s="93"/>
      <c r="H769" s="93"/>
    </row>
    <row r="770" spans="4:8" ht="15.6">
      <c r="D770" s="93"/>
      <c r="E770" s="93"/>
      <c r="F770" s="93"/>
      <c r="G770" s="93"/>
      <c r="H770" s="93"/>
    </row>
    <row r="771" spans="4:8" ht="15.6">
      <c r="D771" s="93"/>
      <c r="E771" s="93"/>
      <c r="F771" s="93"/>
      <c r="G771" s="93"/>
      <c r="H771" s="93"/>
    </row>
    <row r="772" spans="4:8" ht="15.6">
      <c r="D772" s="93"/>
      <c r="E772" s="93"/>
      <c r="F772" s="93"/>
      <c r="G772" s="93"/>
      <c r="H772" s="93"/>
    </row>
    <row r="773" spans="4:8" ht="15.6">
      <c r="D773" s="93"/>
      <c r="E773" s="93"/>
      <c r="F773" s="93"/>
      <c r="G773" s="93"/>
      <c r="H773" s="93"/>
    </row>
    <row r="774" spans="4:8" ht="15.6">
      <c r="D774" s="93"/>
      <c r="E774" s="93"/>
      <c r="F774" s="93"/>
      <c r="G774" s="93"/>
      <c r="H774" s="93"/>
    </row>
    <row r="775" spans="4:8" ht="15.6">
      <c r="D775" s="93"/>
      <c r="E775" s="93"/>
      <c r="F775" s="93"/>
      <c r="G775" s="93"/>
      <c r="H775" s="93"/>
    </row>
    <row r="776" spans="4:8" ht="15.6">
      <c r="D776" s="93"/>
      <c r="E776" s="93"/>
      <c r="F776" s="93"/>
      <c r="G776" s="93"/>
      <c r="H776" s="93"/>
    </row>
    <row r="777" spans="4:8" ht="15.6">
      <c r="D777" s="93"/>
      <c r="E777" s="93"/>
      <c r="F777" s="93"/>
      <c r="G777" s="93"/>
      <c r="H777" s="93"/>
    </row>
    <row r="778" spans="4:8" ht="15.6">
      <c r="D778" s="93"/>
      <c r="E778" s="93"/>
      <c r="F778" s="93"/>
      <c r="G778" s="93"/>
      <c r="H778" s="93"/>
    </row>
    <row r="779" spans="4:8" ht="15.6">
      <c r="D779" s="93"/>
      <c r="E779" s="93"/>
      <c r="F779" s="93"/>
      <c r="G779" s="93"/>
      <c r="H779" s="93"/>
    </row>
    <row r="780" spans="4:8" ht="15.6">
      <c r="D780" s="93"/>
      <c r="E780" s="93"/>
      <c r="F780" s="93"/>
      <c r="G780" s="93"/>
      <c r="H780" s="93"/>
    </row>
    <row r="781" spans="4:8" ht="15.6">
      <c r="D781" s="93"/>
      <c r="E781" s="93"/>
      <c r="F781" s="93"/>
      <c r="G781" s="93"/>
      <c r="H781" s="93"/>
    </row>
    <row r="782" spans="4:8" ht="15.6">
      <c r="D782" s="93"/>
      <c r="E782" s="93"/>
      <c r="F782" s="93"/>
      <c r="G782" s="93"/>
      <c r="H782" s="93"/>
    </row>
    <row r="783" spans="4:8" ht="15.6">
      <c r="D783" s="93"/>
      <c r="E783" s="93"/>
      <c r="F783" s="93"/>
      <c r="G783" s="93"/>
      <c r="H783" s="93"/>
    </row>
    <row r="784" spans="4:8" ht="15.6">
      <c r="D784" s="93"/>
      <c r="E784" s="93"/>
      <c r="F784" s="93"/>
      <c r="G784" s="93"/>
      <c r="H784" s="93"/>
    </row>
    <row r="785" spans="4:8" ht="15.6">
      <c r="D785" s="93"/>
      <c r="E785" s="93"/>
      <c r="F785" s="93"/>
      <c r="G785" s="93"/>
      <c r="H785" s="93"/>
    </row>
    <row r="786" spans="4:8" ht="15.6">
      <c r="D786" s="93"/>
      <c r="E786" s="93"/>
      <c r="F786" s="93"/>
      <c r="G786" s="93"/>
      <c r="H786" s="93"/>
    </row>
    <row r="787" spans="4:8" ht="15.6">
      <c r="D787" s="93"/>
      <c r="E787" s="93"/>
      <c r="F787" s="93"/>
      <c r="G787" s="93"/>
      <c r="H787" s="93"/>
    </row>
    <row r="788" spans="4:8" ht="15.6">
      <c r="D788" s="93"/>
      <c r="E788" s="93"/>
      <c r="F788" s="93"/>
      <c r="G788" s="93"/>
      <c r="H788" s="93"/>
    </row>
    <row r="789" spans="4:8" ht="15.6">
      <c r="D789" s="93"/>
      <c r="E789" s="93"/>
      <c r="F789" s="93"/>
      <c r="G789" s="93"/>
      <c r="H789" s="93"/>
    </row>
    <row r="790" spans="4:8" ht="15.6">
      <c r="D790" s="93"/>
      <c r="E790" s="93"/>
      <c r="F790" s="93"/>
      <c r="G790" s="93"/>
      <c r="H790" s="93"/>
    </row>
    <row r="791" spans="4:8" ht="15.6">
      <c r="D791" s="93"/>
      <c r="E791" s="93"/>
      <c r="F791" s="93"/>
      <c r="G791" s="93"/>
      <c r="H791" s="93"/>
    </row>
    <row r="792" spans="4:8" ht="15.6">
      <c r="D792" s="93"/>
      <c r="E792" s="93"/>
      <c r="F792" s="93"/>
      <c r="G792" s="93"/>
      <c r="H792" s="93"/>
    </row>
    <row r="793" spans="4:8" ht="15.6">
      <c r="D793" s="93"/>
      <c r="E793" s="93"/>
      <c r="F793" s="93"/>
      <c r="G793" s="93"/>
      <c r="H793" s="93"/>
    </row>
    <row r="794" spans="4:8" ht="15.6">
      <c r="D794" s="93"/>
      <c r="E794" s="93"/>
      <c r="F794" s="93"/>
      <c r="G794" s="93"/>
      <c r="H794" s="93"/>
    </row>
    <row r="795" spans="4:8" ht="15.6">
      <c r="D795" s="93"/>
      <c r="E795" s="93"/>
      <c r="F795" s="93"/>
      <c r="G795" s="93"/>
      <c r="H795" s="93"/>
    </row>
    <row r="796" spans="4:8" ht="15.6">
      <c r="D796" s="93"/>
      <c r="E796" s="93"/>
      <c r="F796" s="93"/>
      <c r="G796" s="93"/>
      <c r="H796" s="93"/>
    </row>
    <row r="797" spans="4:8" ht="15.6">
      <c r="D797" s="93"/>
      <c r="E797" s="93"/>
      <c r="F797" s="93"/>
      <c r="G797" s="93"/>
      <c r="H797" s="93"/>
    </row>
    <row r="798" spans="4:8" ht="15.6">
      <c r="D798" s="93"/>
      <c r="E798" s="93"/>
      <c r="F798" s="93"/>
      <c r="G798" s="93"/>
      <c r="H798" s="93"/>
    </row>
    <row r="799" spans="4:8" ht="15.6">
      <c r="D799" s="93"/>
      <c r="E799" s="93"/>
      <c r="F799" s="93"/>
      <c r="G799" s="93"/>
      <c r="H799" s="93"/>
    </row>
    <row r="800" spans="4:8" ht="15.6">
      <c r="D800" s="93"/>
      <c r="E800" s="93"/>
      <c r="F800" s="93"/>
      <c r="G800" s="93"/>
      <c r="H800" s="93"/>
    </row>
    <row r="801" spans="4:8" ht="15.6">
      <c r="D801" s="93"/>
      <c r="E801" s="93"/>
      <c r="F801" s="93"/>
      <c r="G801" s="93"/>
      <c r="H801" s="93"/>
    </row>
    <row r="802" spans="4:8" ht="15.6">
      <c r="D802" s="93"/>
      <c r="E802" s="93"/>
      <c r="F802" s="93"/>
      <c r="G802" s="93"/>
      <c r="H802" s="93"/>
    </row>
    <row r="803" spans="4:8" ht="15.6">
      <c r="D803" s="93"/>
      <c r="E803" s="93"/>
      <c r="F803" s="93"/>
      <c r="G803" s="93"/>
      <c r="H803" s="93"/>
    </row>
    <row r="804" spans="4:8" ht="15.6">
      <c r="D804" s="93"/>
      <c r="E804" s="93"/>
      <c r="F804" s="93"/>
      <c r="G804" s="93"/>
      <c r="H804" s="93"/>
    </row>
    <row r="805" spans="4:8" ht="15.6">
      <c r="D805" s="93"/>
      <c r="E805" s="93"/>
      <c r="F805" s="93"/>
      <c r="G805" s="93"/>
      <c r="H805" s="93"/>
    </row>
    <row r="806" spans="4:8" ht="15.6">
      <c r="D806" s="93"/>
      <c r="E806" s="93"/>
      <c r="F806" s="93"/>
      <c r="G806" s="93"/>
      <c r="H806" s="93"/>
    </row>
    <row r="807" spans="4:8" ht="15.6">
      <c r="D807" s="93"/>
      <c r="E807" s="93"/>
      <c r="F807" s="93"/>
      <c r="G807" s="93"/>
      <c r="H807" s="93"/>
    </row>
    <row r="808" spans="4:8" ht="15.6">
      <c r="D808" s="93"/>
      <c r="E808" s="93"/>
      <c r="F808" s="93"/>
      <c r="G808" s="93"/>
      <c r="H808" s="93"/>
    </row>
    <row r="809" spans="4:8" ht="15.6">
      <c r="D809" s="93"/>
      <c r="E809" s="93"/>
      <c r="F809" s="93"/>
      <c r="G809" s="93"/>
      <c r="H809" s="93"/>
    </row>
    <row r="810" spans="4:8" ht="15.6">
      <c r="D810" s="93"/>
      <c r="E810" s="93"/>
      <c r="F810" s="93"/>
      <c r="G810" s="93"/>
      <c r="H810" s="93"/>
    </row>
    <row r="811" spans="4:8" ht="15.6">
      <c r="D811" s="93"/>
      <c r="E811" s="93"/>
      <c r="F811" s="93"/>
      <c r="G811" s="93"/>
      <c r="H811" s="93"/>
    </row>
    <row r="812" spans="4:8" ht="15.6">
      <c r="D812" s="93"/>
      <c r="E812" s="93"/>
      <c r="F812" s="93"/>
      <c r="G812" s="93"/>
      <c r="H812" s="93"/>
    </row>
    <row r="813" spans="4:8" ht="15.6">
      <c r="D813" s="93"/>
      <c r="E813" s="93"/>
      <c r="F813" s="93"/>
      <c r="G813" s="93"/>
      <c r="H813" s="93"/>
    </row>
    <row r="814" spans="4:8" ht="15.6">
      <c r="D814" s="93"/>
      <c r="E814" s="93"/>
      <c r="F814" s="93"/>
      <c r="G814" s="93"/>
      <c r="H814" s="93"/>
    </row>
    <row r="815" spans="4:8" ht="15.6">
      <c r="D815" s="93"/>
      <c r="E815" s="93"/>
      <c r="F815" s="93"/>
      <c r="G815" s="93"/>
      <c r="H815" s="93"/>
    </row>
    <row r="816" spans="4:8" ht="15.6">
      <c r="D816" s="93"/>
      <c r="E816" s="93"/>
      <c r="F816" s="93"/>
      <c r="G816" s="93"/>
      <c r="H816" s="93"/>
    </row>
    <row r="817" spans="4:8" ht="15.6">
      <c r="D817" s="93"/>
      <c r="E817" s="93"/>
      <c r="F817" s="93"/>
      <c r="G817" s="93"/>
      <c r="H817" s="93"/>
    </row>
    <row r="818" spans="4:8" ht="15.6">
      <c r="D818" s="93"/>
      <c r="E818" s="93"/>
      <c r="F818" s="93"/>
      <c r="G818" s="93"/>
      <c r="H818" s="93"/>
    </row>
    <row r="819" spans="4:8" ht="15.6">
      <c r="D819" s="93"/>
      <c r="E819" s="93"/>
      <c r="F819" s="93"/>
      <c r="G819" s="93"/>
      <c r="H819" s="93"/>
    </row>
    <row r="820" spans="4:8" ht="15.6">
      <c r="D820" s="93"/>
      <c r="E820" s="93"/>
      <c r="F820" s="93"/>
      <c r="G820" s="93"/>
      <c r="H820" s="93"/>
    </row>
    <row r="821" spans="4:8" ht="15.6">
      <c r="D821" s="93"/>
      <c r="E821" s="93"/>
      <c r="F821" s="93"/>
      <c r="G821" s="93"/>
      <c r="H821" s="93"/>
    </row>
    <row r="822" spans="4:8" ht="15.6">
      <c r="D822" s="93"/>
      <c r="E822" s="93"/>
      <c r="F822" s="93"/>
      <c r="G822" s="93"/>
      <c r="H822" s="93"/>
    </row>
    <row r="823" spans="4:8" ht="15.6">
      <c r="D823" s="93"/>
      <c r="E823" s="93"/>
      <c r="F823" s="93"/>
      <c r="G823" s="93"/>
      <c r="H823" s="93"/>
    </row>
    <row r="824" spans="4:8" ht="15.6">
      <c r="D824" s="93"/>
      <c r="E824" s="93"/>
      <c r="F824" s="93"/>
      <c r="G824" s="93"/>
      <c r="H824" s="93"/>
    </row>
    <row r="825" spans="4:8" ht="15.6">
      <c r="D825" s="93"/>
      <c r="E825" s="93"/>
      <c r="F825" s="93"/>
      <c r="G825" s="93"/>
      <c r="H825" s="93"/>
    </row>
    <row r="826" spans="4:8" ht="15.6">
      <c r="D826" s="93"/>
      <c r="E826" s="93"/>
      <c r="F826" s="93"/>
      <c r="G826" s="93"/>
      <c r="H826" s="93"/>
    </row>
    <row r="827" spans="4:8" ht="15.6">
      <c r="D827" s="93"/>
      <c r="E827" s="93"/>
      <c r="F827" s="93"/>
      <c r="G827" s="93"/>
      <c r="H827" s="93"/>
    </row>
    <row r="828" spans="4:8" ht="15.6">
      <c r="D828" s="93"/>
      <c r="E828" s="93"/>
      <c r="F828" s="93"/>
      <c r="G828" s="93"/>
      <c r="H828" s="93"/>
    </row>
    <row r="829" spans="4:8" ht="15.6">
      <c r="D829" s="93"/>
      <c r="E829" s="93"/>
      <c r="F829" s="93"/>
      <c r="G829" s="93"/>
      <c r="H829" s="93"/>
    </row>
    <row r="830" spans="4:8" ht="15.6">
      <c r="D830" s="93"/>
      <c r="E830" s="93"/>
      <c r="F830" s="93"/>
      <c r="G830" s="93"/>
      <c r="H830" s="93"/>
    </row>
    <row r="831" spans="4:8" ht="15.6">
      <c r="D831" s="93"/>
      <c r="E831" s="93"/>
      <c r="F831" s="93"/>
      <c r="G831" s="93"/>
      <c r="H831" s="93"/>
    </row>
    <row r="832" spans="4:8" ht="15.6">
      <c r="D832" s="93"/>
      <c r="E832" s="93"/>
      <c r="F832" s="93"/>
      <c r="G832" s="93"/>
      <c r="H832" s="93"/>
    </row>
    <row r="833" spans="4:8" ht="15.6">
      <c r="D833" s="93"/>
      <c r="E833" s="93"/>
      <c r="F833" s="93"/>
      <c r="G833" s="93"/>
      <c r="H833" s="93"/>
    </row>
    <row r="834" spans="4:8" ht="15.6">
      <c r="D834" s="93"/>
      <c r="E834" s="93"/>
      <c r="F834" s="93"/>
      <c r="G834" s="93"/>
      <c r="H834" s="93"/>
    </row>
    <row r="835" spans="4:8" ht="15.6">
      <c r="D835" s="93"/>
      <c r="E835" s="93"/>
      <c r="F835" s="93"/>
      <c r="G835" s="93"/>
      <c r="H835" s="93"/>
    </row>
    <row r="836" spans="4:8" ht="15.6">
      <c r="D836" s="93"/>
      <c r="E836" s="93"/>
      <c r="F836" s="93"/>
      <c r="G836" s="93"/>
      <c r="H836" s="93"/>
    </row>
    <row r="837" spans="4:8" ht="15.6">
      <c r="D837" s="93"/>
      <c r="E837" s="93"/>
      <c r="F837" s="93"/>
      <c r="G837" s="93"/>
      <c r="H837" s="93"/>
    </row>
    <row r="838" spans="4:8" ht="15.6">
      <c r="D838" s="93"/>
      <c r="E838" s="93"/>
      <c r="F838" s="93"/>
      <c r="G838" s="93"/>
      <c r="H838" s="93"/>
    </row>
    <row r="839" spans="4:8" ht="15.6">
      <c r="D839" s="93"/>
      <c r="E839" s="93"/>
      <c r="F839" s="93"/>
      <c r="G839" s="93"/>
      <c r="H839" s="93"/>
    </row>
    <row r="840" spans="4:8" ht="15.6">
      <c r="D840" s="93"/>
      <c r="E840" s="93"/>
      <c r="F840" s="93"/>
      <c r="G840" s="93"/>
      <c r="H840" s="93"/>
    </row>
    <row r="841" spans="4:8" ht="15.6">
      <c r="D841" s="93"/>
      <c r="E841" s="93"/>
      <c r="F841" s="93"/>
      <c r="G841" s="93"/>
      <c r="H841" s="93"/>
    </row>
    <row r="842" spans="4:8" ht="15.6">
      <c r="D842" s="93"/>
      <c r="E842" s="93"/>
      <c r="F842" s="93"/>
      <c r="G842" s="93"/>
      <c r="H842" s="93"/>
    </row>
    <row r="843" spans="4:8" ht="15.6">
      <c r="D843" s="93"/>
      <c r="E843" s="93"/>
      <c r="F843" s="93"/>
      <c r="G843" s="93"/>
      <c r="H843" s="93"/>
    </row>
    <row r="844" spans="4:8" ht="15.6">
      <c r="D844" s="93"/>
      <c r="E844" s="93"/>
      <c r="F844" s="93"/>
      <c r="G844" s="93"/>
      <c r="H844" s="93"/>
    </row>
    <row r="845" spans="4:8" ht="15.6">
      <c r="D845" s="93"/>
      <c r="E845" s="93"/>
      <c r="F845" s="93"/>
      <c r="G845" s="93"/>
      <c r="H845" s="93"/>
    </row>
    <row r="846" spans="4:8" ht="15.6">
      <c r="D846" s="93"/>
      <c r="E846" s="93"/>
      <c r="F846" s="93"/>
      <c r="G846" s="93"/>
      <c r="H846" s="93"/>
    </row>
    <row r="847" spans="4:8" ht="15.6">
      <c r="D847" s="93"/>
      <c r="E847" s="93"/>
      <c r="F847" s="93"/>
      <c r="G847" s="93"/>
      <c r="H847" s="93"/>
    </row>
    <row r="848" spans="4:8" ht="15.6">
      <c r="D848" s="93"/>
      <c r="E848" s="93"/>
      <c r="F848" s="93"/>
      <c r="G848" s="93"/>
      <c r="H848" s="93"/>
    </row>
    <row r="849" spans="4:8" ht="15.6">
      <c r="D849" s="93"/>
      <c r="E849" s="93"/>
      <c r="F849" s="93"/>
      <c r="G849" s="93"/>
      <c r="H849" s="93"/>
    </row>
    <row r="850" spans="4:8" ht="15.6">
      <c r="D850" s="93"/>
      <c r="E850" s="93"/>
      <c r="F850" s="93"/>
      <c r="G850" s="93"/>
      <c r="H850" s="93"/>
    </row>
    <row r="851" spans="4:8" ht="15.6">
      <c r="D851" s="93"/>
      <c r="E851" s="93"/>
      <c r="F851" s="93"/>
      <c r="G851" s="93"/>
      <c r="H851" s="93"/>
    </row>
    <row r="852" spans="4:8" ht="15.6">
      <c r="D852" s="93"/>
      <c r="E852" s="93"/>
      <c r="F852" s="93"/>
      <c r="G852" s="93"/>
      <c r="H852" s="93"/>
    </row>
    <row r="853" spans="4:8" ht="15.6">
      <c r="D853" s="93"/>
      <c r="E853" s="93"/>
      <c r="F853" s="93"/>
      <c r="G853" s="93"/>
      <c r="H853" s="93"/>
    </row>
    <row r="854" spans="4:8" ht="15.6">
      <c r="D854" s="93"/>
      <c r="E854" s="93"/>
      <c r="F854" s="93"/>
      <c r="G854" s="93"/>
      <c r="H854" s="93"/>
    </row>
    <row r="855" spans="4:8" ht="15.6">
      <c r="D855" s="93"/>
      <c r="E855" s="93"/>
      <c r="F855" s="93"/>
      <c r="G855" s="93"/>
      <c r="H855" s="93"/>
    </row>
    <row r="856" spans="4:8" ht="15.6">
      <c r="D856" s="93"/>
      <c r="E856" s="93"/>
      <c r="F856" s="93"/>
      <c r="G856" s="93"/>
      <c r="H856" s="93"/>
    </row>
    <row r="857" spans="4:8" ht="15.6">
      <c r="D857" s="93"/>
      <c r="E857" s="93"/>
      <c r="F857" s="93"/>
      <c r="G857" s="93"/>
      <c r="H857" s="93"/>
    </row>
    <row r="858" spans="4:8" ht="15.6">
      <c r="D858" s="93"/>
      <c r="E858" s="93"/>
      <c r="F858" s="93"/>
      <c r="G858" s="93"/>
      <c r="H858" s="93"/>
    </row>
    <row r="859" spans="4:8" ht="15.6">
      <c r="D859" s="93"/>
      <c r="E859" s="93"/>
      <c r="F859" s="93"/>
      <c r="G859" s="93"/>
      <c r="H859" s="93"/>
    </row>
    <row r="860" spans="4:8" ht="15.6">
      <c r="D860" s="93"/>
      <c r="E860" s="93"/>
      <c r="F860" s="93"/>
      <c r="G860" s="93"/>
      <c r="H860" s="93"/>
    </row>
    <row r="861" spans="4:8" ht="15.6">
      <c r="D861" s="93"/>
      <c r="E861" s="93"/>
      <c r="F861" s="93"/>
      <c r="G861" s="93"/>
      <c r="H861" s="93"/>
    </row>
    <row r="862" spans="4:8" ht="15.6">
      <c r="D862" s="93"/>
      <c r="E862" s="93"/>
      <c r="F862" s="93"/>
      <c r="G862" s="93"/>
      <c r="H862" s="93"/>
    </row>
    <row r="863" spans="4:8" ht="15.6">
      <c r="D863" s="93"/>
      <c r="E863" s="93"/>
      <c r="F863" s="93"/>
      <c r="G863" s="93"/>
      <c r="H863" s="93"/>
    </row>
    <row r="864" spans="4:8" ht="15.6">
      <c r="D864" s="93"/>
      <c r="E864" s="93"/>
      <c r="F864" s="93"/>
      <c r="G864" s="93"/>
      <c r="H864" s="93"/>
    </row>
    <row r="865" spans="4:8" ht="15.6">
      <c r="D865" s="93"/>
      <c r="E865" s="93"/>
      <c r="F865" s="93"/>
      <c r="G865" s="93"/>
      <c r="H865" s="93"/>
    </row>
    <row r="866" spans="4:8" ht="15.6">
      <c r="D866" s="93"/>
      <c r="E866" s="93"/>
      <c r="F866" s="93"/>
      <c r="G866" s="93"/>
      <c r="H866" s="93"/>
    </row>
    <row r="867" spans="4:8" ht="15.6">
      <c r="D867" s="93"/>
      <c r="E867" s="93"/>
      <c r="F867" s="93"/>
      <c r="G867" s="93"/>
      <c r="H867" s="93"/>
    </row>
    <row r="868" spans="4:8" ht="15.6">
      <c r="D868" s="93"/>
      <c r="E868" s="93"/>
      <c r="F868" s="93"/>
      <c r="G868" s="93"/>
      <c r="H868" s="93"/>
    </row>
    <row r="869" spans="4:8" ht="15.6">
      <c r="D869" s="93"/>
      <c r="E869" s="93"/>
      <c r="F869" s="93"/>
      <c r="G869" s="93"/>
      <c r="H869" s="93"/>
    </row>
    <row r="870" spans="4:8" ht="15.6">
      <c r="D870" s="93"/>
      <c r="E870" s="93"/>
      <c r="F870" s="93"/>
      <c r="G870" s="93"/>
      <c r="H870" s="93"/>
    </row>
    <row r="871" spans="4:8" ht="15.6">
      <c r="D871" s="93"/>
      <c r="E871" s="93"/>
      <c r="F871" s="93"/>
      <c r="G871" s="93"/>
      <c r="H871" s="93"/>
    </row>
    <row r="872" spans="4:8" ht="15.6">
      <c r="D872" s="93"/>
      <c r="E872" s="93"/>
      <c r="F872" s="93"/>
      <c r="G872" s="93"/>
      <c r="H872" s="93"/>
    </row>
    <row r="873" spans="4:8" ht="15.6">
      <c r="D873" s="93"/>
      <c r="E873" s="93"/>
      <c r="F873" s="93"/>
      <c r="G873" s="93"/>
      <c r="H873" s="93"/>
    </row>
    <row r="874" spans="4:8" ht="15.6">
      <c r="D874" s="93"/>
      <c r="E874" s="93"/>
      <c r="F874" s="93"/>
      <c r="G874" s="93"/>
      <c r="H874" s="93"/>
    </row>
    <row r="875" spans="4:8" ht="15.6">
      <c r="D875" s="93"/>
      <c r="E875" s="93"/>
      <c r="F875" s="93"/>
      <c r="G875" s="93"/>
      <c r="H875" s="93"/>
    </row>
    <row r="876" spans="4:8" ht="15.6">
      <c r="D876" s="93"/>
      <c r="E876" s="93"/>
      <c r="F876" s="93"/>
      <c r="G876" s="93"/>
      <c r="H876" s="93"/>
    </row>
    <row r="877" spans="4:8" ht="15.6">
      <c r="D877" s="93"/>
      <c r="E877" s="93"/>
      <c r="F877" s="93"/>
      <c r="G877" s="93"/>
      <c r="H877" s="93"/>
    </row>
    <row r="878" spans="4:8" ht="15.6">
      <c r="D878" s="93"/>
      <c r="E878" s="93"/>
      <c r="F878" s="93"/>
      <c r="G878" s="93"/>
      <c r="H878" s="93"/>
    </row>
    <row r="879" spans="4:8" ht="15.6">
      <c r="D879" s="93"/>
      <c r="E879" s="93"/>
      <c r="F879" s="93"/>
      <c r="G879" s="93"/>
      <c r="H879" s="93"/>
    </row>
    <row r="880" spans="4:8" ht="15.6">
      <c r="D880" s="93"/>
      <c r="E880" s="93"/>
      <c r="F880" s="93"/>
      <c r="G880" s="93"/>
      <c r="H880" s="93"/>
    </row>
    <row r="881" spans="4:8" ht="15.6">
      <c r="D881" s="93"/>
      <c r="E881" s="93"/>
      <c r="F881" s="93"/>
      <c r="G881" s="93"/>
      <c r="H881" s="93"/>
    </row>
    <row r="882" spans="4:8" ht="15.6">
      <c r="D882" s="93"/>
      <c r="E882" s="93"/>
      <c r="F882" s="93"/>
      <c r="G882" s="93"/>
      <c r="H882" s="93"/>
    </row>
    <row r="883" spans="4:8" ht="15.6">
      <c r="D883" s="93"/>
      <c r="E883" s="93"/>
      <c r="F883" s="93"/>
      <c r="G883" s="93"/>
      <c r="H883" s="93"/>
    </row>
    <row r="884" spans="4:8" ht="15.6">
      <c r="D884" s="93"/>
      <c r="E884" s="93"/>
      <c r="F884" s="93"/>
      <c r="G884" s="93"/>
      <c r="H884" s="93"/>
    </row>
    <row r="885" spans="4:8" ht="15.6">
      <c r="D885" s="93"/>
      <c r="E885" s="93"/>
      <c r="F885" s="93"/>
      <c r="G885" s="93"/>
      <c r="H885" s="93"/>
    </row>
    <row r="886" spans="4:8" ht="15.6">
      <c r="D886" s="93"/>
      <c r="E886" s="93"/>
      <c r="F886" s="93"/>
      <c r="G886" s="93"/>
      <c r="H886" s="93"/>
    </row>
    <row r="887" spans="4:8" ht="15.6">
      <c r="D887" s="93"/>
      <c r="E887" s="93"/>
      <c r="F887" s="93"/>
      <c r="G887" s="93"/>
      <c r="H887" s="93"/>
    </row>
    <row r="888" spans="4:8" ht="15.6">
      <c r="D888" s="93"/>
      <c r="E888" s="93"/>
      <c r="F888" s="93"/>
      <c r="G888" s="93"/>
      <c r="H888" s="93"/>
    </row>
    <row r="889" spans="4:8" ht="15.6">
      <c r="D889" s="93"/>
      <c r="E889" s="93"/>
      <c r="F889" s="93"/>
      <c r="G889" s="93"/>
      <c r="H889" s="93"/>
    </row>
    <row r="890" spans="4:8" ht="15.6">
      <c r="D890" s="93"/>
      <c r="E890" s="93"/>
      <c r="F890" s="93"/>
      <c r="G890" s="93"/>
      <c r="H890" s="93"/>
    </row>
    <row r="891" spans="4:8" ht="15.6">
      <c r="D891" s="93"/>
      <c r="E891" s="93"/>
      <c r="F891" s="93"/>
      <c r="G891" s="93"/>
      <c r="H891" s="93"/>
    </row>
    <row r="892" spans="4:8" ht="15.6">
      <c r="D892" s="93"/>
      <c r="E892" s="93"/>
      <c r="F892" s="93"/>
      <c r="G892" s="93"/>
      <c r="H892" s="93"/>
    </row>
    <row r="893" spans="4:8" ht="15.6">
      <c r="D893" s="93"/>
      <c r="E893" s="93"/>
      <c r="F893" s="93"/>
      <c r="G893" s="93"/>
      <c r="H893" s="93"/>
    </row>
    <row r="894" spans="4:8" ht="15.6">
      <c r="D894" s="93"/>
      <c r="E894" s="93"/>
      <c r="F894" s="93"/>
      <c r="G894" s="93"/>
      <c r="H894" s="93"/>
    </row>
    <row r="895" spans="4:8" ht="15.6">
      <c r="D895" s="93"/>
      <c r="E895" s="93"/>
      <c r="F895" s="93"/>
      <c r="G895" s="93"/>
      <c r="H895" s="93"/>
    </row>
    <row r="896" spans="4:8" ht="15.6">
      <c r="D896" s="93"/>
      <c r="E896" s="93"/>
      <c r="F896" s="93"/>
      <c r="G896" s="93"/>
      <c r="H896" s="93"/>
    </row>
    <row r="897" spans="4:8" ht="15.6">
      <c r="D897" s="93"/>
      <c r="E897" s="93"/>
      <c r="F897" s="93"/>
      <c r="G897" s="93"/>
      <c r="H897" s="93"/>
    </row>
    <row r="898" spans="4:8" ht="15.6">
      <c r="D898" s="93"/>
      <c r="E898" s="93"/>
      <c r="F898" s="93"/>
      <c r="G898" s="93"/>
      <c r="H898" s="93"/>
    </row>
    <row r="899" spans="4:8" ht="15.6">
      <c r="D899" s="93"/>
      <c r="E899" s="93"/>
      <c r="F899" s="93"/>
      <c r="G899" s="93"/>
      <c r="H899" s="93"/>
    </row>
    <row r="900" spans="4:8" ht="15.6">
      <c r="D900" s="93"/>
      <c r="E900" s="93"/>
      <c r="F900" s="93"/>
      <c r="G900" s="93"/>
      <c r="H900" s="93"/>
    </row>
    <row r="901" spans="4:8" ht="15.6">
      <c r="D901" s="93"/>
      <c r="E901" s="93"/>
      <c r="F901" s="93"/>
      <c r="G901" s="93"/>
      <c r="H901" s="93"/>
    </row>
    <row r="902" spans="4:8" ht="15.6">
      <c r="D902" s="93"/>
      <c r="E902" s="93"/>
      <c r="F902" s="93"/>
      <c r="G902" s="93"/>
      <c r="H902" s="93"/>
    </row>
    <row r="903" spans="4:8" ht="15.6">
      <c r="D903" s="93"/>
      <c r="E903" s="93"/>
      <c r="F903" s="93"/>
      <c r="G903" s="93"/>
      <c r="H903" s="93"/>
    </row>
    <row r="904" spans="4:8" ht="15.6">
      <c r="D904" s="93"/>
      <c r="E904" s="93"/>
      <c r="F904" s="93"/>
      <c r="G904" s="93"/>
      <c r="H904" s="93"/>
    </row>
    <row r="905" spans="4:8" ht="15.6">
      <c r="D905" s="93"/>
      <c r="E905" s="93"/>
      <c r="F905" s="93"/>
      <c r="G905" s="93"/>
      <c r="H905" s="93"/>
    </row>
    <row r="906" spans="4:8" ht="15.6">
      <c r="D906" s="93"/>
      <c r="E906" s="93"/>
      <c r="F906" s="93"/>
      <c r="G906" s="93"/>
      <c r="H906" s="93"/>
    </row>
    <row r="907" spans="4:8" ht="15.6">
      <c r="D907" s="93"/>
      <c r="E907" s="93"/>
      <c r="F907" s="93"/>
      <c r="G907" s="93"/>
      <c r="H907" s="93"/>
    </row>
    <row r="908" spans="4:8" ht="15.6">
      <c r="D908" s="93"/>
      <c r="E908" s="93"/>
      <c r="F908" s="93"/>
      <c r="G908" s="93"/>
      <c r="H908" s="93"/>
    </row>
    <row r="909" spans="4:8" ht="15.6">
      <c r="D909" s="93"/>
      <c r="E909" s="93"/>
      <c r="F909" s="93"/>
      <c r="G909" s="93"/>
      <c r="H909" s="93"/>
    </row>
    <row r="910" spans="4:8" ht="15.6">
      <c r="D910" s="93"/>
      <c r="E910" s="93"/>
      <c r="F910" s="93"/>
      <c r="G910" s="93"/>
      <c r="H910" s="93"/>
    </row>
    <row r="911" spans="4:8" ht="15.6">
      <c r="D911" s="93"/>
      <c r="E911" s="93"/>
      <c r="F911" s="93"/>
      <c r="G911" s="93"/>
      <c r="H911" s="93"/>
    </row>
    <row r="912" spans="4:8" ht="15.6">
      <c r="D912" s="93"/>
      <c r="E912" s="93"/>
      <c r="F912" s="93"/>
      <c r="G912" s="93"/>
      <c r="H912" s="93"/>
    </row>
    <row r="913" spans="4:8" ht="15.6">
      <c r="D913" s="93"/>
      <c r="E913" s="93"/>
      <c r="F913" s="93"/>
      <c r="G913" s="93"/>
      <c r="H913" s="93"/>
    </row>
    <row r="914" spans="4:8" ht="15.6">
      <c r="D914" s="93"/>
      <c r="E914" s="93"/>
      <c r="F914" s="93"/>
      <c r="G914" s="93"/>
      <c r="H914" s="93"/>
    </row>
    <row r="915" spans="4:8" ht="15.6">
      <c r="D915" s="93"/>
      <c r="E915" s="93"/>
      <c r="F915" s="93"/>
      <c r="G915" s="93"/>
      <c r="H915" s="93"/>
    </row>
    <row r="916" spans="4:8" ht="15.6">
      <c r="D916" s="93"/>
      <c r="E916" s="93"/>
      <c r="F916" s="93"/>
      <c r="G916" s="93"/>
      <c r="H916" s="93"/>
    </row>
    <row r="917" spans="4:8" ht="15.6">
      <c r="D917" s="93"/>
      <c r="E917" s="93"/>
      <c r="F917" s="93"/>
      <c r="G917" s="93"/>
      <c r="H917" s="93"/>
    </row>
    <row r="918" spans="4:8" ht="15.6">
      <c r="D918" s="93"/>
      <c r="E918" s="93"/>
      <c r="F918" s="93"/>
      <c r="G918" s="93"/>
      <c r="H918" s="93"/>
    </row>
    <row r="919" spans="4:8" ht="15.6">
      <c r="D919" s="93"/>
      <c r="E919" s="93"/>
      <c r="F919" s="93"/>
      <c r="G919" s="93"/>
      <c r="H919" s="93"/>
    </row>
    <row r="920" spans="4:8" ht="15.6">
      <c r="D920" s="93"/>
      <c r="E920" s="93"/>
      <c r="F920" s="93"/>
      <c r="G920" s="93"/>
      <c r="H920" s="93"/>
    </row>
    <row r="921" spans="4:8" ht="15.6">
      <c r="D921" s="93"/>
      <c r="E921" s="93"/>
      <c r="F921" s="93"/>
      <c r="G921" s="93"/>
      <c r="H921" s="93"/>
    </row>
    <row r="922" spans="4:8" ht="15.6">
      <c r="D922" s="93"/>
      <c r="E922" s="93"/>
      <c r="F922" s="93"/>
      <c r="G922" s="93"/>
      <c r="H922" s="93"/>
    </row>
    <row r="923" spans="4:8" ht="15.6">
      <c r="D923" s="93"/>
      <c r="E923" s="93"/>
      <c r="F923" s="93"/>
      <c r="G923" s="93"/>
      <c r="H923" s="93"/>
    </row>
    <row r="924" spans="4:8" ht="15.6">
      <c r="D924" s="93"/>
      <c r="E924" s="93"/>
      <c r="F924" s="93"/>
      <c r="G924" s="93"/>
      <c r="H924" s="93"/>
    </row>
    <row r="925" spans="4:8" ht="15.6">
      <c r="D925" s="93"/>
      <c r="E925" s="93"/>
      <c r="F925" s="93"/>
      <c r="G925" s="93"/>
      <c r="H925" s="93"/>
    </row>
    <row r="926" spans="4:8" ht="15.6">
      <c r="D926" s="93"/>
      <c r="E926" s="93"/>
      <c r="F926" s="93"/>
      <c r="G926" s="93"/>
      <c r="H926" s="93"/>
    </row>
    <row r="927" spans="4:8" ht="15.6">
      <c r="D927" s="93"/>
      <c r="E927" s="93"/>
      <c r="F927" s="93"/>
      <c r="G927" s="93"/>
      <c r="H927" s="93"/>
    </row>
    <row r="928" spans="4:8" ht="15.6">
      <c r="D928" s="93"/>
      <c r="E928" s="93"/>
      <c r="F928" s="93"/>
      <c r="G928" s="93"/>
      <c r="H928" s="93"/>
    </row>
    <row r="929" spans="4:8" ht="15.6">
      <c r="D929" s="93"/>
      <c r="E929" s="93"/>
      <c r="F929" s="93"/>
      <c r="G929" s="93"/>
      <c r="H929" s="93"/>
    </row>
    <row r="930" spans="4:8" ht="15.6">
      <c r="D930" s="93"/>
      <c r="E930" s="93"/>
      <c r="F930" s="93"/>
      <c r="G930" s="93"/>
      <c r="H930" s="93"/>
    </row>
    <row r="931" spans="4:8" ht="15.6">
      <c r="D931" s="93"/>
      <c r="E931" s="93"/>
      <c r="F931" s="93"/>
      <c r="G931" s="93"/>
      <c r="H931" s="93"/>
    </row>
    <row r="932" spans="4:8" ht="15.6">
      <c r="D932" s="93"/>
      <c r="E932" s="93"/>
      <c r="F932" s="93"/>
      <c r="G932" s="93"/>
      <c r="H932" s="93"/>
    </row>
    <row r="933" spans="4:8" ht="15.6">
      <c r="D933" s="93"/>
      <c r="E933" s="93"/>
      <c r="F933" s="93"/>
      <c r="G933" s="93"/>
      <c r="H933" s="93"/>
    </row>
    <row r="934" spans="4:8" ht="15.6">
      <c r="D934" s="93"/>
      <c r="E934" s="93"/>
      <c r="F934" s="93"/>
      <c r="G934" s="93"/>
      <c r="H934" s="93"/>
    </row>
    <row r="935" spans="4:8" ht="15.6">
      <c r="D935" s="93"/>
      <c r="E935" s="93"/>
      <c r="F935" s="93"/>
      <c r="G935" s="93"/>
      <c r="H935" s="93"/>
    </row>
    <row r="936" spans="4:8" ht="15.6">
      <c r="D936" s="93"/>
      <c r="E936" s="93"/>
      <c r="F936" s="93"/>
      <c r="G936" s="93"/>
      <c r="H936" s="93"/>
    </row>
    <row r="937" spans="4:8" ht="15.6">
      <c r="D937" s="93"/>
      <c r="E937" s="93"/>
      <c r="F937" s="93"/>
      <c r="G937" s="93"/>
      <c r="H937" s="93"/>
    </row>
    <row r="938" spans="4:8" ht="15.6">
      <c r="D938" s="93"/>
      <c r="E938" s="93"/>
      <c r="F938" s="93"/>
      <c r="G938" s="93"/>
      <c r="H938" s="93"/>
    </row>
    <row r="939" spans="4:8" ht="15.6">
      <c r="D939" s="93"/>
      <c r="E939" s="93"/>
      <c r="F939" s="93"/>
      <c r="G939" s="93"/>
      <c r="H939" s="93"/>
    </row>
    <row r="940" spans="4:8" ht="15.6">
      <c r="D940" s="93"/>
      <c r="E940" s="93"/>
      <c r="F940" s="93"/>
      <c r="G940" s="93"/>
      <c r="H940" s="93"/>
    </row>
    <row r="941" spans="4:8" ht="15.6">
      <c r="D941" s="93"/>
      <c r="E941" s="93"/>
      <c r="F941" s="93"/>
      <c r="G941" s="93"/>
      <c r="H941" s="93"/>
    </row>
    <row r="942" spans="4:8" ht="15.6">
      <c r="D942" s="93"/>
      <c r="E942" s="93"/>
      <c r="F942" s="93"/>
      <c r="G942" s="93"/>
      <c r="H942" s="93"/>
    </row>
    <row r="943" spans="4:8" ht="15.6">
      <c r="D943" s="93"/>
      <c r="E943" s="93"/>
      <c r="F943" s="93"/>
      <c r="G943" s="93"/>
      <c r="H943" s="93"/>
    </row>
    <row r="944" spans="4:8" ht="15.6">
      <c r="D944" s="93"/>
      <c r="E944" s="93"/>
      <c r="F944" s="93"/>
      <c r="G944" s="93"/>
      <c r="H944" s="93"/>
    </row>
    <row r="945" spans="4:8" ht="15.6">
      <c r="D945" s="93"/>
      <c r="E945" s="93"/>
      <c r="F945" s="93"/>
      <c r="G945" s="93"/>
      <c r="H945" s="93"/>
    </row>
    <row r="946" spans="4:8" ht="15.6">
      <c r="D946" s="93"/>
      <c r="E946" s="93"/>
      <c r="F946" s="93"/>
      <c r="G946" s="93"/>
      <c r="H946" s="93"/>
    </row>
    <row r="947" spans="4:8" ht="15.6">
      <c r="D947" s="93"/>
      <c r="E947" s="93"/>
      <c r="F947" s="93"/>
      <c r="G947" s="93"/>
      <c r="H947" s="93"/>
    </row>
    <row r="948" spans="4:8" ht="15.6">
      <c r="D948" s="93"/>
      <c r="E948" s="93"/>
      <c r="F948" s="93"/>
      <c r="G948" s="93"/>
      <c r="H948" s="93"/>
    </row>
    <row r="949" spans="4:8" ht="15.6">
      <c r="D949" s="93"/>
      <c r="E949" s="93"/>
      <c r="F949" s="93"/>
      <c r="G949" s="93"/>
      <c r="H949" s="93"/>
    </row>
    <row r="950" spans="4:8" ht="15.6">
      <c r="D950" s="93"/>
      <c r="E950" s="93"/>
      <c r="F950" s="93"/>
      <c r="G950" s="93"/>
      <c r="H950" s="93"/>
    </row>
    <row r="951" spans="4:8" ht="15.6">
      <c r="D951" s="93"/>
      <c r="E951" s="93"/>
      <c r="F951" s="93"/>
      <c r="G951" s="93"/>
      <c r="H951" s="93"/>
    </row>
    <row r="952" spans="4:8" ht="15.6">
      <c r="D952" s="93"/>
      <c r="E952" s="93"/>
      <c r="F952" s="93"/>
      <c r="G952" s="93"/>
      <c r="H952" s="93"/>
    </row>
    <row r="953" spans="4:8" ht="15.6">
      <c r="D953" s="93"/>
      <c r="E953" s="93"/>
      <c r="F953" s="93"/>
      <c r="G953" s="93"/>
      <c r="H953" s="93"/>
    </row>
    <row r="954" spans="4:8" ht="15.6">
      <c r="D954" s="93"/>
      <c r="E954" s="93"/>
      <c r="F954" s="93"/>
      <c r="G954" s="93"/>
      <c r="H954" s="93"/>
    </row>
    <row r="955" spans="4:8" ht="15.6">
      <c r="D955" s="93"/>
      <c r="E955" s="93"/>
      <c r="F955" s="93"/>
      <c r="G955" s="93"/>
      <c r="H955" s="93"/>
    </row>
    <row r="956" spans="4:8" ht="15.6">
      <c r="D956" s="93"/>
      <c r="E956" s="93"/>
      <c r="F956" s="93"/>
      <c r="G956" s="93"/>
      <c r="H956" s="93"/>
    </row>
    <row r="957" spans="4:8" ht="15.6">
      <c r="D957" s="93"/>
      <c r="E957" s="93"/>
      <c r="F957" s="93"/>
      <c r="G957" s="93"/>
      <c r="H957" s="93"/>
    </row>
    <row r="958" spans="4:8" ht="15.6">
      <c r="D958" s="93"/>
      <c r="E958" s="93"/>
      <c r="F958" s="93"/>
      <c r="G958" s="93"/>
      <c r="H958" s="93"/>
    </row>
    <row r="959" spans="4:8" ht="15.6">
      <c r="D959" s="93"/>
      <c r="E959" s="93"/>
      <c r="F959" s="93"/>
      <c r="G959" s="93"/>
      <c r="H959" s="93"/>
    </row>
  </sheetData>
  <mergeCells count="33">
    <mergeCell ref="I127:R127"/>
    <mergeCell ref="D23:H23"/>
    <mergeCell ref="D24:H24"/>
    <mergeCell ref="D25:H25"/>
    <mergeCell ref="D26:H26"/>
    <mergeCell ref="D27:H27"/>
    <mergeCell ref="D28:H28"/>
    <mergeCell ref="D29:H29"/>
    <mergeCell ref="D30:H30"/>
    <mergeCell ref="D22:H22"/>
    <mergeCell ref="D132:G132"/>
    <mergeCell ref="D133:G133"/>
    <mergeCell ref="D127:G127"/>
    <mergeCell ref="D128:G128"/>
    <mergeCell ref="D129:G129"/>
    <mergeCell ref="D130:G130"/>
    <mergeCell ref="D131:G131"/>
    <mergeCell ref="B21:B22"/>
    <mergeCell ref="B23:B24"/>
    <mergeCell ref="B25:B28"/>
    <mergeCell ref="D4:H4"/>
    <mergeCell ref="D5:H5"/>
    <mergeCell ref="D6:H6"/>
    <mergeCell ref="D7:H7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</mergeCells>
  <printOptions gridLines="1"/>
  <pageMargins left="0.31496062992125984" right="0.31496062992125984" top="0" bottom="0.74803149606299213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 xr:uid="{00000000-0002-0000-0000-000000000000}">
          <x14:formula1>
            <xm:f>Hoja3!$D$3:$D$32</xm:f>
          </x14:formula1>
          <xm:sqref>D16</xm:sqref>
        </x14:dataValidation>
        <x14:dataValidation type="list" allowBlank="1" showErrorMessage="1" xr:uid="{00000000-0002-0000-0000-000001000000}">
          <x14:formula1>
            <xm:f>Hoja3!$P$3:$P$6</xm:f>
          </x14:formula1>
          <xm:sqref>D128</xm:sqref>
        </x14:dataValidation>
        <x14:dataValidation type="list" allowBlank="1" showErrorMessage="1" xr:uid="{00000000-0002-0000-0000-000002000000}">
          <x14:formula1>
            <xm:f>Hoja3!$O$3:$O$7</xm:f>
          </x14:formula1>
          <xm:sqref>D127</xm:sqref>
        </x14:dataValidation>
        <x14:dataValidation type="list" allowBlank="1" showErrorMessage="1" xr:uid="{00000000-0002-0000-0000-000003000000}">
          <x14:formula1>
            <xm:f>Hoja3!$C$3:$C$32</xm:f>
          </x14:formula1>
          <xm:sqref>D14</xm:sqref>
        </x14:dataValidation>
        <x14:dataValidation type="list" allowBlank="1" showErrorMessage="1" xr:uid="{00000000-0002-0000-0000-000004000000}">
          <x14:formula1>
            <xm:f>Hoja3!$E$3:$E$6</xm:f>
          </x14:formula1>
          <xm:sqref>D17</xm:sqref>
        </x14:dataValidation>
        <x14:dataValidation type="list" allowBlank="1" showErrorMessage="1" xr:uid="{00000000-0002-0000-0000-000005000000}">
          <x14:formula1>
            <xm:f>Hoja3!$H$3:$H$5</xm:f>
          </x14:formula1>
          <xm:sqref>D21</xm:sqref>
        </x14:dataValidation>
        <x14:dataValidation type="list" allowBlank="1" showErrorMessage="1" xr:uid="{00000000-0002-0000-0000-000006000000}">
          <x14:formula1>
            <xm:f>Hoja3!$I$3:$I$32</xm:f>
          </x14:formula1>
          <xm:sqref>D22</xm:sqref>
        </x14:dataValidation>
        <x14:dataValidation type="list" allowBlank="1" showErrorMessage="1" xr:uid="{00000000-0002-0000-0000-000007000000}">
          <x14:formula1>
            <xm:f>Hoja3!$R$4:$R$99</xm:f>
          </x14:formula1>
          <xm:sqref>B53 B55 B58</xm:sqref>
        </x14:dataValidation>
        <x14:dataValidation type="list" allowBlank="1" showErrorMessage="1" xr:uid="{00000000-0002-0000-0000-000008000000}">
          <x14:formula1>
            <xm:f>Hoja3!$Q$3:$Q$5</xm:f>
          </x14:formula1>
          <xm:sqref>D131</xm:sqref>
        </x14:dataValidation>
        <x14:dataValidation type="list" allowBlank="1" showErrorMessage="1" xr:uid="{00000000-0002-0000-0000-000009000000}">
          <x14:formula1>
            <xm:f>Hoja3!$B$3:$B$25</xm:f>
          </x14:formula1>
          <xm:sqref>D15</xm:sqref>
        </x14:dataValidation>
        <x14:dataValidation type="list" allowBlank="1" showErrorMessage="1" xr:uid="{00000000-0002-0000-0000-00000A000000}">
          <x14:formula1>
            <xm:f>Hoja3!$F$3:$F$30</xm:f>
          </x14:formula1>
          <xm:sqref>D18</xm:sqref>
        </x14:dataValidation>
        <x14:dataValidation type="list" allowBlank="1" showErrorMessage="1" xr:uid="{00000000-0002-0000-0000-00000B000000}">
          <x14:formula1>
            <xm:f>Hoja3!$G$3:$G$113</xm:f>
          </x14:formula1>
          <xm:sqref>D20</xm:sqref>
        </x14:dataValidation>
        <x14:dataValidation type="list" allowBlank="1" showErrorMessage="1" xr:uid="{00000000-0002-0000-0000-00000C000000}">
          <x14:formula1>
            <xm:f>Hoja3!$R$3:$R$99</xm:f>
          </x14:formula1>
          <xm:sqref>B35 D129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3:I33"/>
  <sheetViews>
    <sheetView workbookViewId="0"/>
  </sheetViews>
  <sheetFormatPr baseColWidth="10" defaultColWidth="14.44140625" defaultRowHeight="15" customHeight="1"/>
  <cols>
    <col min="3" max="3" width="71.109375" customWidth="1"/>
  </cols>
  <sheetData>
    <row r="3" spans="1:9">
      <c r="A3" s="44" t="str">
        <f ca="1">IFERROR(__xludf.DUMMYFUNCTION("QUERY(MIR!A32:AF60,""select A,C,D,O, M,AE where A='FIN' OR A='FIN/PROPÓSITO'"",1)"),"")</f>
        <v/>
      </c>
      <c r="B3" s="44" t="str">
        <f ca="1">IFERROR(__xludf.DUMMYFUNCTION("""COMPUTED_VALUE"""),"RESUMEN NARRATIVO")</f>
        <v>RESUMEN NARRATIVO</v>
      </c>
      <c r="C3" s="44" t="str">
        <f ca="1">IFERROR(__xludf.DUMMYFUNCTION("""COMPUTED_VALUE"""),"OBJETIVOS DE RESULTADO")</f>
        <v>OBJETIVOS DE RESULTADO</v>
      </c>
      <c r="D3" s="44" t="str">
        <f ca="1">IFERROR(__xludf.DUMMYFUNCTION("""COMPUTED_VALUE"""),"META PROGRAMADA")</f>
        <v>META PROGRAMADA</v>
      </c>
      <c r="E3" s="44" t="str">
        <f ca="1">IFERROR(__xludf.DUMMYFUNCTION("""COMPUTED_VALUE"""),"UNIDAD DE MEDIDA")</f>
        <v>UNIDAD DE MEDIDA</v>
      </c>
      <c r="F3" s="44" t="str">
        <f ca="1">IFERROR(__xludf.DUMMYFUNCTION("""COMPUTED_VALUE"""),"Acumulado")</f>
        <v>Acumulado</v>
      </c>
      <c r="G3" s="24" t="s">
        <v>358</v>
      </c>
      <c r="H3" s="24" t="s">
        <v>359</v>
      </c>
    </row>
    <row r="4" spans="1:9">
      <c r="A4" s="44" t="str">
        <f ca="1">IFERROR(__xludf.DUMMYFUNCTION("""COMPUTED_VALUE"""),"FIN")</f>
        <v>FIN</v>
      </c>
      <c r="B4" s="44" t="str">
        <f ca="1">IFERROR(__xludf.DUMMYFUNCTION("""COMPUTED_VALUE"""),"ACTIVIDAD 1.1")</f>
        <v>ACTIVIDAD 1.1</v>
      </c>
      <c r="C4" s="44" t="str">
        <f ca="1">IFERROR(__xludf.DUMMYFUNCTION("""COMPUTED_VALUE"""),"Apoyos asistenciales entregados a la población vulnerable que radica en la municipalidad de Guadalajara y en tránsito en el programa de Trabajo Social Asistencial durante el 2023")</f>
        <v>Apoyos asistenciales entregados a la población vulnerable que radica en la municipalidad de Guadalajara y en tránsito en el programa de Trabajo Social Asistencial durante el 2023</v>
      </c>
      <c r="D4" s="98">
        <f ca="1">IFERROR(__xludf.DUMMYFUNCTION("""COMPUTED_VALUE"""),7450)</f>
        <v>7450</v>
      </c>
      <c r="E4" s="44" t="str">
        <f ca="1">IFERROR(__xludf.DUMMYFUNCTION("""COMPUTED_VALUE"""),"Porcentaje")</f>
        <v>Porcentaje</v>
      </c>
      <c r="F4" s="99">
        <f ca="1">IFERROR(__xludf.DUMMYFUNCTION("""COMPUTED_VALUE"""),2563)</f>
        <v>2563</v>
      </c>
      <c r="G4" s="98">
        <f t="shared" ref="G4:G7" ca="1" si="0">D4</f>
        <v>7450</v>
      </c>
      <c r="H4" s="99">
        <f t="shared" ref="H4:H7" ca="1" si="1">F4</f>
        <v>2563</v>
      </c>
    </row>
    <row r="5" spans="1:9">
      <c r="A5" s="44" t="str">
        <f ca="1">IFERROR(__xludf.DUMMYFUNCTION("""COMPUTED_VALUE"""),"FIN/PROPÓSITO")</f>
        <v>FIN/PROPÓSITO</v>
      </c>
      <c r="B5" s="44" t="str">
        <f ca="1">IFERROR(__xludf.DUMMYFUNCTION("""COMPUTED_VALUE"""),"ACTIVIDAD 1.3")</f>
        <v>ACTIVIDAD 1.3</v>
      </c>
      <c r="C5" s="44" t="str">
        <f ca="1">IFERROR(__xludf.DUMMYFUNCTION("""COMPUTED_VALUE"""),"Servicios médicos de atención y prevención de primer nivel brindados, durante el 2023")</f>
        <v>Servicios médicos de atención y prevención de primer nivel brindados, durante el 2023</v>
      </c>
      <c r="D5" s="98">
        <f ca="1">IFERROR(__xludf.DUMMYFUNCTION("""COMPUTED_VALUE"""),5000)</f>
        <v>5000</v>
      </c>
      <c r="E5" s="44" t="str">
        <f ca="1">IFERROR(__xludf.DUMMYFUNCTION("""COMPUTED_VALUE"""),"Porcentaje")</f>
        <v>Porcentaje</v>
      </c>
      <c r="F5" s="99">
        <f ca="1">IFERROR(__xludf.DUMMYFUNCTION("""COMPUTED_VALUE"""),6012)</f>
        <v>6012</v>
      </c>
      <c r="G5" s="98">
        <f t="shared" ca="1" si="0"/>
        <v>5000</v>
      </c>
      <c r="H5" s="99">
        <f t="shared" ca="1" si="1"/>
        <v>6012</v>
      </c>
    </row>
    <row r="6" spans="1:9">
      <c r="A6" s="44" t="str">
        <f ca="1">IFERROR(__xludf.DUMMYFUNCTION("""COMPUTED_VALUE"""),"FIN")</f>
        <v>FIN</v>
      </c>
      <c r="B6" s="44" t="str">
        <f ca="1">IFERROR(__xludf.DUMMYFUNCTION("""COMPUTED_VALUE"""),"ACTIVIDAD 1.4")</f>
        <v>ACTIVIDAD 1.4</v>
      </c>
      <c r="C6" s="44" t="str">
        <f ca="1">IFERROR(__xludf.DUMMYFUNCTION("""COMPUTED_VALUE"""),"Alimentos nutritivos e inocuos entregados a la población con inseguridad alimentaria en el municipio de Guadalajara, durante el 2023")</f>
        <v>Alimentos nutritivos e inocuos entregados a la población con inseguridad alimentaria en el municipio de Guadalajara, durante el 2023</v>
      </c>
      <c r="D6" s="98">
        <f ca="1">IFERROR(__xludf.DUMMYFUNCTION("""COMPUTED_VALUE"""),8791)</f>
        <v>8791</v>
      </c>
      <c r="E6" s="44" t="str">
        <f ca="1">IFERROR(__xludf.DUMMYFUNCTION("""COMPUTED_VALUE"""),"Porcentaje")</f>
        <v>Porcentaje</v>
      </c>
      <c r="F6" s="99">
        <f ca="1">IFERROR(__xludf.DUMMYFUNCTION("""COMPUTED_VALUE"""),8791)</f>
        <v>8791</v>
      </c>
      <c r="G6" s="98">
        <f t="shared" ca="1" si="0"/>
        <v>8791</v>
      </c>
      <c r="H6" s="99">
        <f t="shared" ca="1" si="1"/>
        <v>8791</v>
      </c>
    </row>
    <row r="7" spans="1:9">
      <c r="A7" s="44" t="str">
        <f ca="1">IFERROR(__xludf.DUMMYFUNCTION("""COMPUTED_VALUE"""),"FIN/PROPÓSITO")</f>
        <v>FIN/PROPÓSITO</v>
      </c>
      <c r="B7" s="44" t="str">
        <f ca="1">IFERROR(__xludf.DUMMYFUNCTION("""COMPUTED_VALUE"""),"ACTIVIDAD 1.8")</f>
        <v>ACTIVIDAD 1.8</v>
      </c>
      <c r="C7" s="44" t="str">
        <f ca="1">IFERROR(__xludf.DUMMYFUNCTION("""COMPUTED_VALUE"""),"Prácticas de autocuidado, prevención y atención a la salud bucal y maxilofacial a través de los servicios otorgados, durante el 2023")</f>
        <v>Prácticas de autocuidado, prevención y atención a la salud bucal y maxilofacial a través de los servicios otorgados, durante el 2023</v>
      </c>
      <c r="D7" s="98">
        <f ca="1">IFERROR(__xludf.DUMMYFUNCTION("""COMPUTED_VALUE"""),6000)</f>
        <v>6000</v>
      </c>
      <c r="E7" s="44" t="str">
        <f ca="1">IFERROR(__xludf.DUMMYFUNCTION("""COMPUTED_VALUE"""),"Porcentaje")</f>
        <v>Porcentaje</v>
      </c>
      <c r="F7" s="99">
        <f ca="1">IFERROR(__xludf.DUMMYFUNCTION("""COMPUTED_VALUE"""),3459)</f>
        <v>3459</v>
      </c>
      <c r="G7" s="98">
        <f t="shared" ca="1" si="0"/>
        <v>6000</v>
      </c>
      <c r="H7" s="99">
        <f t="shared" ca="1" si="1"/>
        <v>3459</v>
      </c>
    </row>
    <row r="8" spans="1:9">
      <c r="A8" s="44" t="str">
        <f ca="1">IFERROR(__xludf.DUMMYFUNCTION("""COMPUTED_VALUE"""),"FIN")</f>
        <v>FIN</v>
      </c>
      <c r="B8" s="44" t="str">
        <f ca="1">IFERROR(__xludf.DUMMYFUNCTION("""COMPUTED_VALUE"""),"ACTIVIDAD 1.9")</f>
        <v>ACTIVIDAD 1.9</v>
      </c>
      <c r="C8" s="44" t="str">
        <f ca="1">IFERROR(__xludf.DUMMYFUNCTION("""COMPUTED_VALUE"""),"Personas en situación de vulnerabilidad que recibieron atención psicológica en CDC, y CAETF en 2023")</f>
        <v>Personas en situación de vulnerabilidad que recibieron atención psicológica en CDC, y CAETF en 2023</v>
      </c>
      <c r="D8" s="98">
        <f ca="1">IFERROR(__xludf.DUMMYFUNCTION("""COMPUTED_VALUE"""),2550)</f>
        <v>2550</v>
      </c>
      <c r="E8" s="44" t="str">
        <f ca="1">IFERROR(__xludf.DUMMYFUNCTION("""COMPUTED_VALUE"""),"Promedio")</f>
        <v>Promedio</v>
      </c>
      <c r="F8" s="99">
        <f ca="1">IFERROR(__xludf.DUMMYFUNCTION("""COMPUTED_VALUE"""),4706)</f>
        <v>4706</v>
      </c>
      <c r="G8" s="44">
        <f t="shared" ref="G8:G10" ca="1" si="2">D8/3</f>
        <v>850</v>
      </c>
      <c r="H8" s="44">
        <f t="shared" ref="H8:H10" ca="1" si="3">F8/6</f>
        <v>784.33333333333337</v>
      </c>
    </row>
    <row r="9" spans="1:9">
      <c r="A9" s="44" t="str">
        <f ca="1">IFERROR(__xludf.DUMMYFUNCTION("""COMPUTED_VALUE"""),"FIN")</f>
        <v>FIN</v>
      </c>
      <c r="B9" s="44" t="str">
        <f ca="1">IFERROR(__xludf.DUMMYFUNCTION("""COMPUTED_VALUE"""),"ACTIVIDAD 1.12")</f>
        <v>ACTIVIDAD 1.12</v>
      </c>
      <c r="C9" s="44" t="str">
        <f ca="1">IFERROR(__xludf.DUMMYFUNCTION("""COMPUTED_VALUE"""),"Usuarios y usuarias recibieron raciones alimenticias en los comedores comunitarios, durante el 2023")</f>
        <v>Usuarios y usuarias recibieron raciones alimenticias en los comedores comunitarios, durante el 2023</v>
      </c>
      <c r="D9" s="98">
        <f ca="1">IFERROR(__xludf.DUMMYFUNCTION("""COMPUTED_VALUE"""),1500)</f>
        <v>1500</v>
      </c>
      <c r="E9" s="44" t="str">
        <f ca="1">IFERROR(__xludf.DUMMYFUNCTION("""COMPUTED_VALUE"""),"Promedio")</f>
        <v>Promedio</v>
      </c>
      <c r="F9" s="99">
        <f ca="1">IFERROR(__xludf.DUMMYFUNCTION("""COMPUTED_VALUE"""),3060)</f>
        <v>3060</v>
      </c>
      <c r="G9" s="44">
        <f t="shared" ca="1" si="2"/>
        <v>500</v>
      </c>
      <c r="H9" s="44">
        <f t="shared" ca="1" si="3"/>
        <v>510</v>
      </c>
    </row>
    <row r="10" spans="1:9">
      <c r="A10" s="44" t="str">
        <f ca="1">IFERROR(__xludf.DUMMYFUNCTION("""COMPUTED_VALUE"""),"FIN")</f>
        <v>FIN</v>
      </c>
      <c r="B10" s="44" t="str">
        <f ca="1">IFERROR(__xludf.DUMMYFUNCTION("""COMPUTED_VALUE"""),"ACTIVIDAD 1.14")</f>
        <v>ACTIVIDAD 1.14</v>
      </c>
      <c r="C10" s="44" t="str">
        <f ca="1">IFERROR(__xludf.DUMMYFUNCTION("""COMPUTED_VALUE"""),"Usuarios que asistieron a talleres y cursos realizados en CDC e ICAS trimestralmente en 2023")</f>
        <v>Usuarios que asistieron a talleres y cursos realizados en CDC e ICAS trimestralmente en 2023</v>
      </c>
      <c r="D10" s="98">
        <f ca="1">IFERROR(__xludf.DUMMYFUNCTION("""COMPUTED_VALUE"""),4500)</f>
        <v>4500</v>
      </c>
      <c r="E10" s="44" t="str">
        <f ca="1">IFERROR(__xludf.DUMMYFUNCTION("""COMPUTED_VALUE"""),"Promedio")</f>
        <v>Promedio</v>
      </c>
      <c r="F10" s="99">
        <f ca="1">IFERROR(__xludf.DUMMYFUNCTION("""COMPUTED_VALUE"""),9563)</f>
        <v>9563</v>
      </c>
      <c r="G10" s="44">
        <f t="shared" ca="1" si="2"/>
        <v>1500</v>
      </c>
      <c r="H10" s="44">
        <f t="shared" ca="1" si="3"/>
        <v>1593.8333333333333</v>
      </c>
    </row>
    <row r="11" spans="1:9">
      <c r="A11" s="44" t="str">
        <f ca="1">IFERROR(__xludf.DUMMYFUNCTION("""COMPUTED_VALUE"""),"FIN")</f>
        <v>FIN</v>
      </c>
      <c r="B11" s="44" t="str">
        <f ca="1">IFERROR(__xludf.DUMMYFUNCTION("""COMPUTED_VALUE"""),"ACTIVIDAD 1.16")</f>
        <v>ACTIVIDAD 1.16</v>
      </c>
      <c r="C11" s="44" t="str">
        <f ca="1">IFERROR(__xludf.DUMMYFUNCTION("""COMPUTED_VALUE"""),"Niñas y niños en condición de vulnerabilidad económica que terminaron ciclo escolar de nivel preescolar en 2023")</f>
        <v>Niñas y niños en condición de vulnerabilidad económica que terminaron ciclo escolar de nivel preescolar en 2023</v>
      </c>
      <c r="D11" s="98">
        <f ca="1">IFERROR(__xludf.DUMMYFUNCTION("""COMPUTED_VALUE"""),2030)</f>
        <v>2030</v>
      </c>
      <c r="E11" s="44" t="str">
        <f ca="1">IFERROR(__xludf.DUMMYFUNCTION("""COMPUTED_VALUE"""),"Porcentaje")</f>
        <v>Porcentaje</v>
      </c>
      <c r="F11" s="99">
        <f ca="1">IFERROR(__xludf.DUMMYFUNCTION("""COMPUTED_VALUE"""),0)</f>
        <v>0</v>
      </c>
      <c r="G11" s="98">
        <f t="shared" ref="G11:G13" ca="1" si="4">D11</f>
        <v>2030</v>
      </c>
      <c r="H11" s="99">
        <f t="shared" ref="H11:H13" ca="1" si="5">F11</f>
        <v>0</v>
      </c>
    </row>
    <row r="12" spans="1:9">
      <c r="A12" s="44" t="str">
        <f ca="1">IFERROR(__xludf.DUMMYFUNCTION("""COMPUTED_VALUE"""),"FIN")</f>
        <v>FIN</v>
      </c>
      <c r="B12" s="44" t="str">
        <f ca="1">IFERROR(__xludf.DUMMYFUNCTION("""COMPUTED_VALUE"""),"COMPONENTE 2")</f>
        <v>COMPONENTE 2</v>
      </c>
      <c r="C12" s="44" t="str">
        <f ca="1">IFERROR(__xludf.DUMMYFUNCTION("""COMPUTED_VALUE"""),"Apoyos asistenciales entregados a población en situación de emergencia, durante el 2023")</f>
        <v>Apoyos asistenciales entregados a población en situación de emergencia, durante el 2023</v>
      </c>
      <c r="D12" s="98">
        <f ca="1">IFERROR(__xludf.DUMMYFUNCTION("""COMPUTED_VALUE"""),5000)</f>
        <v>5000</v>
      </c>
      <c r="E12" s="44" t="str">
        <f ca="1">IFERROR(__xludf.DUMMYFUNCTION("""COMPUTED_VALUE"""),"Porcentaje")</f>
        <v>Porcentaje</v>
      </c>
      <c r="F12" s="99">
        <f ca="1">IFERROR(__xludf.DUMMYFUNCTION("""COMPUTED_VALUE"""),3665)</f>
        <v>3665</v>
      </c>
      <c r="G12" s="98">
        <f t="shared" ca="1" si="4"/>
        <v>5000</v>
      </c>
      <c r="H12" s="99">
        <f t="shared" ca="1" si="5"/>
        <v>3665</v>
      </c>
    </row>
    <row r="13" spans="1:9">
      <c r="A13" s="44" t="str">
        <f ca="1">IFERROR(__xludf.DUMMYFUNCTION("""COMPUTED_VALUE"""),"FIN")</f>
        <v>FIN</v>
      </c>
      <c r="B13" s="44" t="str">
        <f ca="1">IFERROR(__xludf.DUMMYFUNCTION("""COMPUTED_VALUE"""),"ACTIVIDAD 3.1")</f>
        <v>ACTIVIDAD 3.1</v>
      </c>
      <c r="C13" s="44" t="str">
        <f ca="1">IFERROR(__xludf.DUMMYFUNCTION("""COMPUTED_VALUE"""),"Aperturas de expedientes para la atención multidisciplinaria primaria realizadas a las personas que viven y/o ejercen violencia familiar en el Municipio de Guadalajara, durante el 2023")</f>
        <v>Aperturas de expedientes para la atención multidisciplinaria primaria realizadas a las personas que viven y/o ejercen violencia familiar en el Municipio de Guadalajara, durante el 2023</v>
      </c>
      <c r="D13" s="98">
        <f ca="1">IFERROR(__xludf.DUMMYFUNCTION("""COMPUTED_VALUE"""),700)</f>
        <v>700</v>
      </c>
      <c r="E13" s="44" t="str">
        <f ca="1">IFERROR(__xludf.DUMMYFUNCTION("""COMPUTED_VALUE"""),"Porcentaje")</f>
        <v>Porcentaje</v>
      </c>
      <c r="F13" s="99">
        <f ca="1">IFERROR(__xludf.DUMMYFUNCTION("""COMPUTED_VALUE"""),361)</f>
        <v>361</v>
      </c>
      <c r="G13" s="98">
        <f t="shared" ca="1" si="4"/>
        <v>700</v>
      </c>
      <c r="H13" s="99">
        <f t="shared" ca="1" si="5"/>
        <v>361</v>
      </c>
    </row>
    <row r="14" spans="1:9">
      <c r="A14" s="44" t="str">
        <f ca="1">IFERROR(__xludf.DUMMYFUNCTION("""COMPUTED_VALUE"""),"FIN")</f>
        <v>FIN</v>
      </c>
      <c r="B14" s="44" t="str">
        <f ca="1">IFERROR(__xludf.DUMMYFUNCTION("""COMPUTED_VALUE"""),"ACTIVIDAD 4.1")</f>
        <v>ACTIVIDAD 4.1</v>
      </c>
      <c r="C14" s="44" t="str">
        <f ca="1">IFERROR(__xludf.DUMMYFUNCTION("""COMPUTED_VALUE"""),"Acompañamientos psicosociales para familiares de víctimas indirectas de desaparición brindadas, durante el 2023")</f>
        <v>Acompañamientos psicosociales para familiares de víctimas indirectas de desaparición brindadas, durante el 2023</v>
      </c>
      <c r="D14" s="98">
        <f ca="1">IFERROR(__xludf.DUMMYFUNCTION("""COMPUTED_VALUE"""),330)</f>
        <v>330</v>
      </c>
      <c r="E14" s="44" t="str">
        <f ca="1">IFERROR(__xludf.DUMMYFUNCTION("""COMPUTED_VALUE"""),"Promedio")</f>
        <v>Promedio</v>
      </c>
      <c r="F14" s="99">
        <f ca="1">IFERROR(__xludf.DUMMYFUNCTION("""COMPUTED_VALUE"""),578)</f>
        <v>578</v>
      </c>
      <c r="G14" s="44">
        <f ca="1">D14/3</f>
        <v>110</v>
      </c>
      <c r="H14" s="44">
        <f ca="1">F14/6</f>
        <v>96.333333333333329</v>
      </c>
      <c r="I14" s="24" t="s">
        <v>108</v>
      </c>
    </row>
    <row r="15" spans="1:9">
      <c r="G15" s="100">
        <f t="shared" ref="G15:H15" ca="1" si="6">SUM(G4:G14)</f>
        <v>37931</v>
      </c>
      <c r="H15" s="101">
        <f t="shared" ca="1" si="6"/>
        <v>27835.499999999996</v>
      </c>
      <c r="I15" s="44">
        <f ca="1">H15/G15*100</f>
        <v>73.384566713242464</v>
      </c>
    </row>
    <row r="17" spans="1:9">
      <c r="A17" s="102" t="str">
        <f ca="1">IFERROR(__xludf.DUMMYFUNCTION("QUERY(MIR!A32:AF60,""select A,C,O,M,AE where A='PROPÓSITO' OR A='FIN/PROPÓSITO'"",1)"),"")</f>
        <v/>
      </c>
      <c r="B17" s="44" t="str">
        <f ca="1">IFERROR(__xludf.DUMMYFUNCTION("""COMPUTED_VALUE"""),"RESUMEN NARRATIVO")</f>
        <v>RESUMEN NARRATIVO</v>
      </c>
      <c r="C17" s="44" t="str">
        <f ca="1">IFERROR(__xludf.DUMMYFUNCTION("""COMPUTED_VALUE"""),"META PROGRAMADA")</f>
        <v>META PROGRAMADA</v>
      </c>
      <c r="D17" s="44" t="str">
        <f ca="1">IFERROR(__xludf.DUMMYFUNCTION("""COMPUTED_VALUE"""),"UNIDAD DE MEDIDA")</f>
        <v>UNIDAD DE MEDIDA</v>
      </c>
      <c r="E17" s="44" t="str">
        <f ca="1">IFERROR(__xludf.DUMMYFUNCTION("""COMPUTED_VALUE"""),"Acumulado")</f>
        <v>Acumulado</v>
      </c>
    </row>
    <row r="18" spans="1:9">
      <c r="A18" s="44" t="str">
        <f ca="1">IFERROR(__xludf.DUMMYFUNCTION("""COMPUTED_VALUE"""),"PROPÓSITO")</f>
        <v>PROPÓSITO</v>
      </c>
      <c r="B18" s="44" t="str">
        <f ca="1">IFERROR(__xludf.DUMMYFUNCTION("""COMPUTED_VALUE"""),"ACTIVIDAD 1.2")</f>
        <v>ACTIVIDAD 1.2</v>
      </c>
      <c r="C18" s="98">
        <f ca="1">IFERROR(__xludf.DUMMYFUNCTION("""COMPUTED_VALUE"""),640)</f>
        <v>640</v>
      </c>
      <c r="D18" s="44" t="str">
        <f ca="1">IFERROR(__xludf.DUMMYFUNCTION("""COMPUTED_VALUE"""),"Porcentaje")</f>
        <v>Porcentaje</v>
      </c>
      <c r="E18" s="99">
        <f ca="1">IFERROR(__xludf.DUMMYFUNCTION("""COMPUTED_VALUE"""),256)</f>
        <v>256</v>
      </c>
      <c r="G18" s="98">
        <f t="shared" ref="G18:G26" ca="1" si="7">C18</f>
        <v>640</v>
      </c>
      <c r="H18" s="99">
        <f t="shared" ref="H18:H26" ca="1" si="8">E18</f>
        <v>256</v>
      </c>
    </row>
    <row r="19" spans="1:9">
      <c r="A19" s="44" t="str">
        <f ca="1">IFERROR(__xludf.DUMMYFUNCTION("""COMPUTED_VALUE"""),"FIN/PROPÓSITO")</f>
        <v>FIN/PROPÓSITO</v>
      </c>
      <c r="B19" s="44" t="str">
        <f ca="1">IFERROR(__xludf.DUMMYFUNCTION("""COMPUTED_VALUE"""),"ACTIVIDAD 1.3")</f>
        <v>ACTIVIDAD 1.3</v>
      </c>
      <c r="C19" s="98">
        <f ca="1">IFERROR(__xludf.DUMMYFUNCTION("""COMPUTED_VALUE"""),5000)</f>
        <v>5000</v>
      </c>
      <c r="D19" s="44" t="str">
        <f ca="1">IFERROR(__xludf.DUMMYFUNCTION("""COMPUTED_VALUE"""),"Porcentaje")</f>
        <v>Porcentaje</v>
      </c>
      <c r="E19" s="99">
        <f ca="1">IFERROR(__xludf.DUMMYFUNCTION("""COMPUTED_VALUE"""),6012)</f>
        <v>6012</v>
      </c>
      <c r="G19" s="98">
        <f t="shared" ca="1" si="7"/>
        <v>5000</v>
      </c>
      <c r="H19" s="99">
        <f t="shared" ca="1" si="8"/>
        <v>6012</v>
      </c>
    </row>
    <row r="20" spans="1:9">
      <c r="A20" s="44" t="str">
        <f ca="1">IFERROR(__xludf.DUMMYFUNCTION("""COMPUTED_VALUE"""),"PROPÓSITO")</f>
        <v>PROPÓSITO</v>
      </c>
      <c r="B20" s="44" t="str">
        <f ca="1">IFERROR(__xludf.DUMMYFUNCTION("""COMPUTED_VALUE"""),"ACTIVIDAD 1.5")</f>
        <v>ACTIVIDAD 1.5</v>
      </c>
      <c r="C20" s="98">
        <f ca="1">IFERROR(__xludf.DUMMYFUNCTION("""COMPUTED_VALUE"""),1190350)</f>
        <v>1190350</v>
      </c>
      <c r="D20" s="44" t="str">
        <f ca="1">IFERROR(__xludf.DUMMYFUNCTION("""COMPUTED_VALUE"""),"Porcentaje")</f>
        <v>Porcentaje</v>
      </c>
      <c r="E20" s="99">
        <f ca="1">IFERROR(__xludf.DUMMYFUNCTION("""COMPUTED_VALUE"""),676620)</f>
        <v>676620</v>
      </c>
      <c r="G20" s="98">
        <f t="shared" ca="1" si="7"/>
        <v>1190350</v>
      </c>
      <c r="H20" s="99">
        <f t="shared" ca="1" si="8"/>
        <v>676620</v>
      </c>
    </row>
    <row r="21" spans="1:9">
      <c r="A21" s="44" t="str">
        <f ca="1">IFERROR(__xludf.DUMMYFUNCTION("""COMPUTED_VALUE"""),"PROPÓSITO")</f>
        <v>PROPÓSITO</v>
      </c>
      <c r="B21" s="44" t="str">
        <f ca="1">IFERROR(__xludf.DUMMYFUNCTION("""COMPUTED_VALUE"""),"ACTIVIDAD 1.6")</f>
        <v>ACTIVIDAD 1.6</v>
      </c>
      <c r="C21" s="98">
        <f ca="1">IFERROR(__xludf.DUMMYFUNCTION("""COMPUTED_VALUE"""),26292)</f>
        <v>26292</v>
      </c>
      <c r="D21" s="44" t="str">
        <f ca="1">IFERROR(__xludf.DUMMYFUNCTION("""COMPUTED_VALUE"""),"Porcentaje")</f>
        <v>Porcentaje</v>
      </c>
      <c r="E21" s="99">
        <f ca="1">IFERROR(__xludf.DUMMYFUNCTION("""COMPUTED_VALUE"""),13146)</f>
        <v>13146</v>
      </c>
      <c r="G21" s="98">
        <f t="shared" ca="1" si="7"/>
        <v>26292</v>
      </c>
      <c r="H21" s="99">
        <f t="shared" ca="1" si="8"/>
        <v>13146</v>
      </c>
    </row>
    <row r="22" spans="1:9">
      <c r="A22" s="44" t="str">
        <f ca="1">IFERROR(__xludf.DUMMYFUNCTION("""COMPUTED_VALUE"""),"PROPÓSITO")</f>
        <v>PROPÓSITO</v>
      </c>
      <c r="B22" s="44" t="str">
        <f ca="1">IFERROR(__xludf.DUMMYFUNCTION("""COMPUTED_VALUE"""),"ACTIVIDAD 1.7")</f>
        <v>ACTIVIDAD 1.7</v>
      </c>
      <c r="C22" s="98">
        <f ca="1">IFERROR(__xludf.DUMMYFUNCTION("""COMPUTED_VALUE"""),4020)</f>
        <v>4020</v>
      </c>
      <c r="D22" s="44" t="str">
        <f ca="1">IFERROR(__xludf.DUMMYFUNCTION("""COMPUTED_VALUE"""),"Porcentaje")</f>
        <v>Porcentaje</v>
      </c>
      <c r="E22" s="99">
        <f ca="1">IFERROR(__xludf.DUMMYFUNCTION("""COMPUTED_VALUE"""),2010)</f>
        <v>2010</v>
      </c>
      <c r="G22" s="98">
        <f t="shared" ca="1" si="7"/>
        <v>4020</v>
      </c>
      <c r="H22" s="99">
        <f t="shared" ca="1" si="8"/>
        <v>2010</v>
      </c>
    </row>
    <row r="23" spans="1:9">
      <c r="A23" s="44" t="str">
        <f ca="1">IFERROR(__xludf.DUMMYFUNCTION("""COMPUTED_VALUE"""),"FIN/PROPÓSITO")</f>
        <v>FIN/PROPÓSITO</v>
      </c>
      <c r="B23" s="44" t="str">
        <f ca="1">IFERROR(__xludf.DUMMYFUNCTION("""COMPUTED_VALUE"""),"ACTIVIDAD 1.8")</f>
        <v>ACTIVIDAD 1.8</v>
      </c>
      <c r="C23" s="98">
        <f ca="1">IFERROR(__xludf.DUMMYFUNCTION("""COMPUTED_VALUE"""),6000)</f>
        <v>6000</v>
      </c>
      <c r="D23" s="44" t="str">
        <f ca="1">IFERROR(__xludf.DUMMYFUNCTION("""COMPUTED_VALUE"""),"Porcentaje")</f>
        <v>Porcentaje</v>
      </c>
      <c r="E23" s="99">
        <f ca="1">IFERROR(__xludf.DUMMYFUNCTION("""COMPUTED_VALUE"""),3459)</f>
        <v>3459</v>
      </c>
      <c r="G23" s="98">
        <f t="shared" ca="1" si="7"/>
        <v>6000</v>
      </c>
      <c r="H23" s="99">
        <f t="shared" ca="1" si="8"/>
        <v>3459</v>
      </c>
    </row>
    <row r="24" spans="1:9">
      <c r="A24" s="102" t="str">
        <f ca="1">IFERROR(__xludf.DUMMYFUNCTION("""COMPUTED_VALUE"""),"PROPÓSITO")</f>
        <v>PROPÓSITO</v>
      </c>
      <c r="B24" s="44" t="str">
        <f ca="1">IFERROR(__xludf.DUMMYFUNCTION("""COMPUTED_VALUE"""),"ACTIVIDAD 1.10")</f>
        <v>ACTIVIDAD 1.10</v>
      </c>
      <c r="C24" s="98">
        <f ca="1">IFERROR(__xludf.DUMMYFUNCTION("""COMPUTED_VALUE"""),15000)</f>
        <v>15000</v>
      </c>
      <c r="D24" s="44" t="str">
        <f ca="1">IFERROR(__xludf.DUMMYFUNCTION("""COMPUTED_VALUE"""),"Porcentaje")</f>
        <v>Porcentaje</v>
      </c>
      <c r="E24" s="99">
        <f ca="1">IFERROR(__xludf.DUMMYFUNCTION("""COMPUTED_VALUE"""),7664)</f>
        <v>7664</v>
      </c>
      <c r="G24" s="98">
        <f t="shared" ca="1" si="7"/>
        <v>15000</v>
      </c>
      <c r="H24" s="99">
        <f t="shared" ca="1" si="8"/>
        <v>7664</v>
      </c>
    </row>
    <row r="25" spans="1:9">
      <c r="A25" s="44" t="str">
        <f ca="1">IFERROR(__xludf.DUMMYFUNCTION("""COMPUTED_VALUE"""),"PROPÓSITO")</f>
        <v>PROPÓSITO</v>
      </c>
      <c r="B25" s="44" t="str">
        <f ca="1">IFERROR(__xludf.DUMMYFUNCTION("""COMPUTED_VALUE"""),"ACTIVIDAD 1.11")</f>
        <v>ACTIVIDAD 1.11</v>
      </c>
      <c r="C25" s="98">
        <f ca="1">IFERROR(__xludf.DUMMYFUNCTION("""COMPUTED_VALUE"""),29000)</f>
        <v>29000</v>
      </c>
      <c r="D25" s="44" t="str">
        <f ca="1">IFERROR(__xludf.DUMMYFUNCTION("""COMPUTED_VALUE"""),"Porcentaje")</f>
        <v>Porcentaje</v>
      </c>
      <c r="E25" s="99">
        <f ca="1">IFERROR(__xludf.DUMMYFUNCTION("""COMPUTED_VALUE"""),14853)</f>
        <v>14853</v>
      </c>
      <c r="G25" s="98">
        <f t="shared" ca="1" si="7"/>
        <v>29000</v>
      </c>
      <c r="H25" s="99">
        <f t="shared" ca="1" si="8"/>
        <v>14853</v>
      </c>
    </row>
    <row r="26" spans="1:9">
      <c r="A26" s="44" t="str">
        <f ca="1">IFERROR(__xludf.DUMMYFUNCTION("""COMPUTED_VALUE"""),"PROPÓSITO")</f>
        <v>PROPÓSITO</v>
      </c>
      <c r="B26" s="44" t="str">
        <f ca="1">IFERROR(__xludf.DUMMYFUNCTION("""COMPUTED_VALUE"""),"ACTIVIDAD 1.13")</f>
        <v>ACTIVIDAD 1.13</v>
      </c>
      <c r="C26" s="98">
        <f ca="1">IFERROR(__xludf.DUMMYFUNCTION("""COMPUTED_VALUE"""),224400)</f>
        <v>224400</v>
      </c>
      <c r="D26" s="44" t="str">
        <f ca="1">IFERROR(__xludf.DUMMYFUNCTION("""COMPUTED_VALUE"""),"Porcentaje")</f>
        <v>Porcentaje</v>
      </c>
      <c r="E26" s="99">
        <f ca="1">IFERROR(__xludf.DUMMYFUNCTION("""COMPUTED_VALUE"""),120360)</f>
        <v>120360</v>
      </c>
      <c r="G26" s="98">
        <f t="shared" ca="1" si="7"/>
        <v>224400</v>
      </c>
      <c r="H26" s="99">
        <f t="shared" ca="1" si="8"/>
        <v>120360</v>
      </c>
    </row>
    <row r="27" spans="1:9">
      <c r="A27" s="44" t="str">
        <f ca="1">IFERROR(__xludf.DUMMYFUNCTION("""COMPUTED_VALUE"""),"PROPÓSITO")</f>
        <v>PROPÓSITO</v>
      </c>
      <c r="B27" s="44" t="str">
        <f ca="1">IFERROR(__xludf.DUMMYFUNCTION("""COMPUTED_VALUE"""),"ACTIVIDAD 1.15")</f>
        <v>ACTIVIDAD 1.15</v>
      </c>
      <c r="C27" s="98">
        <f ca="1">IFERROR(__xludf.DUMMYFUNCTION("""COMPUTED_VALUE"""),780)</f>
        <v>780</v>
      </c>
      <c r="D27" s="44" t="str">
        <f ca="1">IFERROR(__xludf.DUMMYFUNCTION("""COMPUTED_VALUE"""),"Promedio")</f>
        <v>Promedio</v>
      </c>
      <c r="E27" s="99">
        <f ca="1">IFERROR(__xludf.DUMMYFUNCTION("""COMPUTED_VALUE"""),1699)</f>
        <v>1699</v>
      </c>
      <c r="G27" s="44">
        <f ca="1">C27/3</f>
        <v>260</v>
      </c>
      <c r="H27" s="44">
        <f ca="1">E27/6</f>
        <v>283.16666666666669</v>
      </c>
    </row>
    <row r="28" spans="1:9">
      <c r="A28" s="44" t="str">
        <f ca="1">IFERROR(__xludf.DUMMYFUNCTION("""COMPUTED_VALUE"""),"PROPÓSITO")</f>
        <v>PROPÓSITO</v>
      </c>
      <c r="B28" s="44" t="str">
        <f ca="1">IFERROR(__xludf.DUMMYFUNCTION("""COMPUTED_VALUE"""),"ACTIVIDAD 1.17")</f>
        <v>ACTIVIDAD 1.17</v>
      </c>
      <c r="C28" s="98">
        <f ca="1">IFERROR(__xludf.DUMMYFUNCTION("""COMPUTED_VALUE"""),1188)</f>
        <v>1188</v>
      </c>
      <c r="D28" s="44" t="str">
        <f ca="1">IFERROR(__xludf.DUMMYFUNCTION("""COMPUTED_VALUE"""),"Porcentaje")</f>
        <v>Porcentaje</v>
      </c>
      <c r="E28" s="99">
        <f ca="1">IFERROR(__xludf.DUMMYFUNCTION("""COMPUTED_VALUE"""),594)</f>
        <v>594</v>
      </c>
      <c r="G28" s="98">
        <f t="shared" ref="G28:G32" ca="1" si="9">C28</f>
        <v>1188</v>
      </c>
      <c r="H28" s="99">
        <f t="shared" ref="H28:H32" ca="1" si="10">E28</f>
        <v>594</v>
      </c>
    </row>
    <row r="29" spans="1:9">
      <c r="A29" s="44" t="str">
        <f ca="1">IFERROR(__xludf.DUMMYFUNCTION("""COMPUTED_VALUE"""),"PROPÓSITO")</f>
        <v>PROPÓSITO</v>
      </c>
      <c r="B29" s="44" t="str">
        <f ca="1">IFERROR(__xludf.DUMMYFUNCTION("""COMPUTED_VALUE"""),"ACTIVIDAD 2.1")</f>
        <v>ACTIVIDAD 2.1</v>
      </c>
      <c r="C29" s="98">
        <f ca="1">IFERROR(__xludf.DUMMYFUNCTION("""COMPUTED_VALUE"""),7)</f>
        <v>7</v>
      </c>
      <c r="D29" s="44" t="str">
        <f ca="1">IFERROR(__xludf.DUMMYFUNCTION("""COMPUTED_VALUE"""),"Porcentaje")</f>
        <v>Porcentaje</v>
      </c>
      <c r="E29" s="99">
        <f ca="1">IFERROR(__xludf.DUMMYFUNCTION("""COMPUTED_VALUE"""),12)</f>
        <v>12</v>
      </c>
      <c r="G29" s="98">
        <f t="shared" ca="1" si="9"/>
        <v>7</v>
      </c>
      <c r="H29" s="99">
        <f t="shared" ca="1" si="10"/>
        <v>12</v>
      </c>
    </row>
    <row r="30" spans="1:9">
      <c r="A30" s="44" t="str">
        <f ca="1">IFERROR(__xludf.DUMMYFUNCTION("""COMPUTED_VALUE"""),"PROPÓSITO")</f>
        <v>PROPÓSITO</v>
      </c>
      <c r="B30" s="44" t="str">
        <f ca="1">IFERROR(__xludf.DUMMYFUNCTION("""COMPUTED_VALUE"""),"COMPONENTE 3")</f>
        <v>COMPONENTE 3</v>
      </c>
      <c r="C30" s="98">
        <f ca="1">IFERROR(__xludf.DUMMYFUNCTION("""COMPUTED_VALUE"""),1100)</f>
        <v>1100</v>
      </c>
      <c r="D30" s="44" t="str">
        <f ca="1">IFERROR(__xludf.DUMMYFUNCTION("""COMPUTED_VALUE"""),"Porcentaje")</f>
        <v>Porcentaje</v>
      </c>
      <c r="E30" s="99">
        <f ca="1">IFERROR(__xludf.DUMMYFUNCTION("""COMPUTED_VALUE"""),549)</f>
        <v>549</v>
      </c>
      <c r="G30" s="98">
        <f t="shared" ca="1" si="9"/>
        <v>1100</v>
      </c>
      <c r="H30" s="99">
        <f t="shared" ca="1" si="10"/>
        <v>549</v>
      </c>
    </row>
    <row r="31" spans="1:9">
      <c r="A31" s="44" t="str">
        <f ca="1">IFERROR(__xludf.DUMMYFUNCTION("""COMPUTED_VALUE"""),"PROPÓSITO")</f>
        <v>PROPÓSITO</v>
      </c>
      <c r="B31" s="44" t="str">
        <f ca="1">IFERROR(__xludf.DUMMYFUNCTION("""COMPUTED_VALUE"""),"ACTIVIDAD 3.2")</f>
        <v>ACTIVIDAD 3.2</v>
      </c>
      <c r="C31" s="98">
        <f ca="1">IFERROR(__xludf.DUMMYFUNCTION("""COMPUTED_VALUE"""),400)</f>
        <v>400</v>
      </c>
      <c r="D31" s="44" t="str">
        <f ca="1">IFERROR(__xludf.DUMMYFUNCTION("""COMPUTED_VALUE"""),"Porcentaje")</f>
        <v>Porcentaje</v>
      </c>
      <c r="E31" s="99">
        <f ca="1">IFERROR(__xludf.DUMMYFUNCTION("""COMPUTED_VALUE"""),182)</f>
        <v>182</v>
      </c>
      <c r="G31" s="98">
        <f t="shared" ca="1" si="9"/>
        <v>400</v>
      </c>
      <c r="H31" s="99">
        <f t="shared" ca="1" si="10"/>
        <v>182</v>
      </c>
    </row>
    <row r="32" spans="1:9">
      <c r="A32" s="44" t="str">
        <f ca="1">IFERROR(__xludf.DUMMYFUNCTION("""COMPUTED_VALUE"""),"PROPÓSITO")</f>
        <v>PROPÓSITO</v>
      </c>
      <c r="B32" s="44" t="str">
        <f ca="1">IFERROR(__xludf.DUMMYFUNCTION("""COMPUTED_VALUE"""),"ACTIVIDAD 4.2")</f>
        <v>ACTIVIDAD 4.2</v>
      </c>
      <c r="C32" s="98">
        <f ca="1">IFERROR(__xludf.DUMMYFUNCTION("""COMPUTED_VALUE"""),1800)</f>
        <v>1800</v>
      </c>
      <c r="D32" s="44" t="str">
        <f ca="1">IFERROR(__xludf.DUMMYFUNCTION("""COMPUTED_VALUE"""),"Porcentaje")</f>
        <v>Porcentaje</v>
      </c>
      <c r="E32" s="99">
        <f ca="1">IFERROR(__xludf.DUMMYFUNCTION("""COMPUTED_VALUE"""),835)</f>
        <v>835</v>
      </c>
      <c r="G32" s="98">
        <f t="shared" ca="1" si="9"/>
        <v>1800</v>
      </c>
      <c r="H32" s="99">
        <f t="shared" ca="1" si="10"/>
        <v>835</v>
      </c>
      <c r="I32" s="24" t="s">
        <v>108</v>
      </c>
    </row>
    <row r="33" spans="7:9">
      <c r="G33" s="100">
        <f t="shared" ref="G33:H33" ca="1" si="11">SUM(G18:G32)</f>
        <v>1505457</v>
      </c>
      <c r="H33" s="101">
        <f t="shared" ca="1" si="11"/>
        <v>846835.16666666663</v>
      </c>
      <c r="I33" s="44">
        <f ca="1">H33/G33*100</f>
        <v>56.251036506965434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59"/>
  <sheetViews>
    <sheetView workbookViewId="0"/>
  </sheetViews>
  <sheetFormatPr baseColWidth="10" defaultColWidth="14.44140625" defaultRowHeight="15" customHeight="1"/>
  <cols>
    <col min="1" max="1" width="7" customWidth="1"/>
    <col min="2" max="2" width="17.88671875" customWidth="1"/>
    <col min="3" max="3" width="51.33203125" customWidth="1"/>
    <col min="4" max="4" width="25.109375" customWidth="1"/>
    <col min="5" max="5" width="26.88671875" customWidth="1"/>
    <col min="6" max="6" width="22.5546875" customWidth="1"/>
    <col min="7" max="7" width="21.6640625" customWidth="1"/>
    <col min="8" max="8" width="21.109375" customWidth="1"/>
    <col min="9" max="9" width="29" customWidth="1"/>
    <col min="10" max="10" width="25.5546875" customWidth="1"/>
    <col min="11" max="11" width="29.88671875" customWidth="1"/>
    <col min="12" max="12" width="20.88671875" customWidth="1"/>
    <col min="13" max="13" width="21.33203125" customWidth="1"/>
    <col min="14" max="14" width="19.5546875" customWidth="1"/>
    <col min="15" max="15" width="19.44140625" customWidth="1"/>
    <col min="16" max="16" width="18.5546875" customWidth="1"/>
    <col min="17" max="17" width="23" customWidth="1"/>
    <col min="18" max="18" width="18.88671875" customWidth="1"/>
    <col min="19" max="19" width="14" customWidth="1"/>
    <col min="20" max="30" width="10.6640625" customWidth="1"/>
    <col min="31" max="31" width="13.88671875" customWidth="1"/>
    <col min="32" max="32" width="37.33203125" customWidth="1"/>
    <col min="33" max="33" width="18.6640625" customWidth="1"/>
  </cols>
  <sheetData>
    <row r="1" spans="1:19" ht="15.6">
      <c r="A1" s="2"/>
      <c r="B1" s="3"/>
      <c r="C1" s="3"/>
      <c r="D1" s="4"/>
      <c r="E1" s="4"/>
      <c r="F1" s="4"/>
      <c r="G1" s="4"/>
      <c r="H1" s="4"/>
      <c r="I1" s="3"/>
      <c r="J1" s="5"/>
      <c r="K1" s="5"/>
      <c r="L1" s="3"/>
      <c r="M1" s="3"/>
      <c r="N1" s="5"/>
      <c r="O1" s="5"/>
      <c r="P1" s="5"/>
      <c r="Q1" s="3"/>
      <c r="R1" s="3"/>
    </row>
    <row r="2" spans="1:19" ht="15.6">
      <c r="A2" s="2"/>
      <c r="B2" s="3"/>
      <c r="C2" s="3"/>
      <c r="D2" s="4"/>
      <c r="E2" s="4"/>
      <c r="F2" s="4"/>
      <c r="G2" s="4"/>
      <c r="H2" s="4"/>
      <c r="I2" s="3"/>
      <c r="J2" s="5"/>
      <c r="K2" s="5"/>
      <c r="L2" s="3"/>
      <c r="M2" s="3"/>
      <c r="N2" s="5"/>
      <c r="O2" s="5"/>
      <c r="P2" s="5"/>
      <c r="Q2" s="3"/>
      <c r="R2" s="3"/>
    </row>
    <row r="3" spans="1:19" ht="15.6">
      <c r="A3" s="2"/>
      <c r="B3" s="3"/>
      <c r="C3" s="3"/>
      <c r="D3" s="4"/>
      <c r="E3" s="4"/>
      <c r="F3" s="4"/>
      <c r="G3" s="4"/>
      <c r="H3" s="4"/>
      <c r="I3" s="3"/>
      <c r="J3" s="5"/>
      <c r="K3" s="5"/>
      <c r="L3" s="3"/>
      <c r="M3" s="3"/>
      <c r="N3" s="5"/>
      <c r="O3" s="5"/>
      <c r="P3" s="5"/>
      <c r="Q3" s="3"/>
      <c r="R3" s="3"/>
    </row>
    <row r="4" spans="1:19" ht="15.6">
      <c r="A4" s="2"/>
      <c r="B4" s="3"/>
      <c r="C4" s="3"/>
      <c r="D4" s="200" t="s">
        <v>0</v>
      </c>
      <c r="E4" s="201"/>
      <c r="F4" s="201"/>
      <c r="G4" s="201"/>
      <c r="H4" s="201"/>
      <c r="I4" s="3"/>
      <c r="J4" s="5"/>
      <c r="K4" s="5"/>
      <c r="L4" s="3"/>
      <c r="M4" s="3"/>
      <c r="N4" s="5"/>
      <c r="O4" s="5"/>
      <c r="P4" s="5"/>
      <c r="Q4" s="3"/>
      <c r="R4" s="3"/>
    </row>
    <row r="5" spans="1:19" ht="15.6">
      <c r="A5" s="2"/>
      <c r="B5" s="3"/>
      <c r="C5" s="3"/>
      <c r="D5" s="200" t="s">
        <v>1</v>
      </c>
      <c r="E5" s="201"/>
      <c r="F5" s="201"/>
      <c r="G5" s="201"/>
      <c r="H5" s="201"/>
      <c r="I5" s="3"/>
      <c r="J5" s="5"/>
      <c r="K5" s="5"/>
      <c r="L5" s="3"/>
      <c r="M5" s="3"/>
      <c r="N5" s="5"/>
      <c r="O5" s="5"/>
      <c r="P5" s="5"/>
      <c r="Q5" s="3"/>
      <c r="R5" s="3"/>
    </row>
    <row r="6" spans="1:19" ht="15.6">
      <c r="A6" s="2"/>
      <c r="B6" s="3"/>
      <c r="C6" s="3"/>
      <c r="D6" s="200" t="s">
        <v>2</v>
      </c>
      <c r="E6" s="201"/>
      <c r="F6" s="201"/>
      <c r="G6" s="201"/>
      <c r="H6" s="201"/>
      <c r="I6" s="3"/>
      <c r="J6" s="5"/>
      <c r="K6" s="5"/>
      <c r="L6" s="3"/>
      <c r="M6" s="3"/>
      <c r="N6" s="5"/>
      <c r="O6" s="5"/>
      <c r="P6" s="5"/>
      <c r="Q6" s="3"/>
      <c r="R6" s="3"/>
    </row>
    <row r="7" spans="1:19" ht="15.6">
      <c r="A7" s="2"/>
      <c r="B7" s="3"/>
      <c r="C7" s="3"/>
      <c r="D7" s="200"/>
      <c r="E7" s="201"/>
      <c r="F7" s="201"/>
      <c r="G7" s="201"/>
      <c r="H7" s="201"/>
      <c r="I7" s="3"/>
      <c r="J7" s="5"/>
      <c r="K7" s="5"/>
      <c r="L7" s="3"/>
      <c r="M7" s="3"/>
      <c r="N7" s="5"/>
      <c r="O7" s="5"/>
      <c r="P7" s="5"/>
      <c r="Q7" s="3"/>
      <c r="R7" s="3"/>
    </row>
    <row r="8" spans="1:19" ht="15.6">
      <c r="A8" s="2"/>
      <c r="B8" s="3"/>
      <c r="C8" s="3"/>
      <c r="D8" s="6"/>
      <c r="E8" s="6"/>
      <c r="F8" s="6"/>
      <c r="G8" s="6"/>
      <c r="H8" s="6"/>
      <c r="I8" s="3"/>
      <c r="J8" s="5"/>
      <c r="K8" s="5"/>
      <c r="L8" s="3"/>
      <c r="M8" s="3"/>
      <c r="N8" s="5"/>
      <c r="O8" s="5"/>
      <c r="P8" s="5"/>
      <c r="Q8" s="3"/>
      <c r="R8" s="3"/>
    </row>
    <row r="9" spans="1:19" ht="15.6">
      <c r="A9" s="2"/>
      <c r="B9" s="3"/>
      <c r="C9" s="3"/>
      <c r="D9" s="4"/>
      <c r="E9" s="4"/>
      <c r="F9" s="4"/>
      <c r="G9" s="4"/>
      <c r="H9" s="4"/>
      <c r="I9" s="3"/>
      <c r="J9" s="5"/>
      <c r="K9" s="5"/>
      <c r="L9" s="3"/>
      <c r="M9" s="3"/>
      <c r="N9" s="5"/>
      <c r="O9" s="5"/>
      <c r="P9" s="5"/>
      <c r="Q9" s="3"/>
      <c r="R9" s="3"/>
    </row>
    <row r="10" spans="1:19" ht="15.6">
      <c r="A10" s="2"/>
      <c r="B10" s="3"/>
      <c r="C10" s="3"/>
      <c r="D10" s="4"/>
      <c r="E10" s="4"/>
      <c r="F10" s="4"/>
      <c r="G10" s="4"/>
      <c r="H10" s="4"/>
      <c r="I10" s="3"/>
      <c r="J10" s="5"/>
      <c r="K10" s="5"/>
      <c r="L10" s="3"/>
      <c r="M10" s="3"/>
      <c r="N10" s="5"/>
      <c r="O10" s="5"/>
      <c r="P10" s="5"/>
      <c r="Q10" s="3"/>
      <c r="R10" s="3"/>
    </row>
    <row r="11" spans="1:19" ht="15.6">
      <c r="A11" s="2"/>
      <c r="B11" s="3"/>
      <c r="C11" s="3"/>
      <c r="D11" s="4"/>
      <c r="E11" s="4"/>
      <c r="F11" s="4"/>
      <c r="G11" s="4"/>
      <c r="H11" s="4"/>
      <c r="I11" s="3"/>
      <c r="J11" s="5"/>
      <c r="K11" s="5"/>
      <c r="L11" s="3"/>
      <c r="M11" s="3"/>
      <c r="N11" s="5"/>
      <c r="O11" s="5"/>
      <c r="P11" s="5"/>
      <c r="Q11" s="3"/>
      <c r="R11" s="3"/>
    </row>
    <row r="12" spans="1:19" ht="15.6">
      <c r="A12" s="7"/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9"/>
      <c r="O12" s="9"/>
      <c r="P12" s="9"/>
      <c r="Q12" s="8"/>
      <c r="R12" s="8"/>
      <c r="S12" s="10"/>
    </row>
    <row r="13" spans="1:19" ht="15.6">
      <c r="A13" s="7"/>
      <c r="B13" s="8"/>
      <c r="C13" s="11" t="s">
        <v>3</v>
      </c>
      <c r="D13" s="202" t="s">
        <v>4</v>
      </c>
      <c r="E13" s="203"/>
      <c r="F13" s="203"/>
      <c r="G13" s="203"/>
      <c r="H13" s="204"/>
      <c r="I13" s="12"/>
      <c r="J13" s="9"/>
      <c r="K13" s="9"/>
      <c r="L13" s="8"/>
      <c r="M13" s="8"/>
      <c r="N13" s="9"/>
      <c r="O13" s="9"/>
      <c r="P13" s="9"/>
      <c r="Q13" s="8"/>
      <c r="R13" s="8"/>
      <c r="S13" s="10"/>
    </row>
    <row r="14" spans="1:19" ht="15.6">
      <c r="A14" s="7"/>
      <c r="B14" s="8"/>
      <c r="C14" s="11" t="s">
        <v>5</v>
      </c>
      <c r="D14" s="205" t="s">
        <v>6</v>
      </c>
      <c r="E14" s="203"/>
      <c r="F14" s="203"/>
      <c r="G14" s="203"/>
      <c r="H14" s="204"/>
      <c r="I14" s="13" t="s">
        <v>7</v>
      </c>
      <c r="J14" s="9"/>
      <c r="K14" s="9"/>
      <c r="L14" s="8"/>
      <c r="M14" s="8"/>
      <c r="N14" s="9"/>
      <c r="O14" s="9"/>
      <c r="P14" s="9"/>
      <c r="Q14" s="8"/>
      <c r="R14" s="8"/>
      <c r="S14" s="10"/>
    </row>
    <row r="15" spans="1:19" ht="15.6">
      <c r="A15" s="7"/>
      <c r="B15" s="8"/>
      <c r="C15" s="11" t="s">
        <v>8</v>
      </c>
      <c r="D15" s="205" t="s">
        <v>9</v>
      </c>
      <c r="E15" s="203"/>
      <c r="F15" s="203"/>
      <c r="G15" s="203"/>
      <c r="H15" s="204"/>
      <c r="I15" s="13" t="s">
        <v>7</v>
      </c>
      <c r="J15" s="9"/>
      <c r="K15" s="9"/>
      <c r="L15" s="8"/>
      <c r="M15" s="8"/>
      <c r="N15" s="9"/>
      <c r="O15" s="9"/>
      <c r="P15" s="9"/>
      <c r="Q15" s="8"/>
      <c r="R15" s="8"/>
      <c r="S15" s="10"/>
    </row>
    <row r="16" spans="1:19" ht="60">
      <c r="A16" s="7"/>
      <c r="B16" s="8"/>
      <c r="C16" s="11" t="s">
        <v>10</v>
      </c>
      <c r="D16" s="205" t="s">
        <v>11</v>
      </c>
      <c r="E16" s="203"/>
      <c r="F16" s="203"/>
      <c r="G16" s="203"/>
      <c r="H16" s="204"/>
      <c r="I16" s="14" t="s">
        <v>12</v>
      </c>
      <c r="J16" s="9"/>
      <c r="K16" s="9"/>
      <c r="L16" s="8"/>
      <c r="M16" s="8"/>
      <c r="N16" s="9"/>
      <c r="O16" s="9"/>
      <c r="P16" s="9"/>
      <c r="Q16" s="8"/>
      <c r="R16" s="8"/>
      <c r="S16" s="10"/>
    </row>
    <row r="17" spans="1:33" ht="15.6">
      <c r="A17" s="7"/>
      <c r="B17" s="8"/>
      <c r="C17" s="11" t="s">
        <v>13</v>
      </c>
      <c r="D17" s="205" t="s">
        <v>14</v>
      </c>
      <c r="E17" s="203"/>
      <c r="F17" s="203"/>
      <c r="G17" s="203"/>
      <c r="H17" s="204"/>
      <c r="I17" s="13" t="s">
        <v>7</v>
      </c>
      <c r="J17" s="9"/>
      <c r="K17" s="9"/>
      <c r="L17" s="8"/>
      <c r="M17" s="8"/>
      <c r="N17" s="9"/>
      <c r="O17" s="9"/>
      <c r="P17" s="9"/>
      <c r="Q17" s="8"/>
      <c r="R17" s="8"/>
      <c r="S17" s="10"/>
    </row>
    <row r="18" spans="1:33" ht="15.6">
      <c r="A18" s="15"/>
      <c r="B18" s="15"/>
      <c r="C18" s="11" t="s">
        <v>15</v>
      </c>
      <c r="D18" s="205" t="s">
        <v>16</v>
      </c>
      <c r="E18" s="203"/>
      <c r="F18" s="203"/>
      <c r="G18" s="203"/>
      <c r="H18" s="204"/>
      <c r="I18" s="13" t="s">
        <v>7</v>
      </c>
      <c r="J18" s="9"/>
      <c r="K18" s="9"/>
      <c r="L18" s="8"/>
      <c r="M18" s="8"/>
      <c r="N18" s="9"/>
      <c r="O18" s="9"/>
      <c r="P18" s="9"/>
      <c r="Q18" s="8"/>
      <c r="R18" s="8"/>
      <c r="S18" s="10"/>
    </row>
    <row r="19" spans="1:33" ht="15.6" hidden="1">
      <c r="A19" s="16"/>
      <c r="B19" s="17"/>
      <c r="C19" s="11" t="s">
        <v>17</v>
      </c>
      <c r="D19" s="205"/>
      <c r="E19" s="203"/>
      <c r="F19" s="203"/>
      <c r="G19" s="203"/>
      <c r="H19" s="204"/>
      <c r="I19" s="12"/>
      <c r="J19" s="9"/>
      <c r="K19" s="9"/>
      <c r="L19" s="8"/>
      <c r="M19" s="8"/>
      <c r="N19" s="9"/>
      <c r="O19" s="9"/>
      <c r="P19" s="9"/>
      <c r="Q19" s="8"/>
      <c r="R19" s="8"/>
      <c r="S19" s="10"/>
    </row>
    <row r="20" spans="1:33" ht="15.6">
      <c r="C20" s="11" t="s">
        <v>17</v>
      </c>
      <c r="D20" s="205" t="s">
        <v>18</v>
      </c>
      <c r="E20" s="203"/>
      <c r="F20" s="203"/>
      <c r="G20" s="203"/>
      <c r="H20" s="204"/>
      <c r="I20" s="13" t="s">
        <v>7</v>
      </c>
      <c r="J20" s="9"/>
      <c r="K20" s="9"/>
      <c r="L20" s="8"/>
      <c r="M20" s="8"/>
      <c r="N20" s="9"/>
      <c r="O20" s="9"/>
      <c r="P20" s="9"/>
      <c r="Q20" s="8"/>
      <c r="R20" s="8"/>
      <c r="S20" s="10"/>
    </row>
    <row r="21" spans="1:33" ht="15.6">
      <c r="A21" s="18"/>
      <c r="B21" s="196" t="s">
        <v>19</v>
      </c>
      <c r="C21" s="11" t="s">
        <v>20</v>
      </c>
      <c r="D21" s="205" t="s">
        <v>21</v>
      </c>
      <c r="E21" s="203"/>
      <c r="F21" s="203"/>
      <c r="G21" s="203"/>
      <c r="H21" s="204"/>
      <c r="I21" s="13" t="s">
        <v>7</v>
      </c>
      <c r="K21" s="9"/>
      <c r="L21" s="8"/>
      <c r="M21" s="8"/>
      <c r="N21" s="9"/>
      <c r="O21" s="9"/>
      <c r="P21" s="9"/>
      <c r="Q21" s="8"/>
      <c r="R21" s="8"/>
      <c r="S21" s="10"/>
    </row>
    <row r="22" spans="1:33" ht="15.6">
      <c r="A22" s="18"/>
      <c r="B22" s="197"/>
      <c r="C22" s="11" t="s">
        <v>22</v>
      </c>
      <c r="D22" s="205" t="s">
        <v>23</v>
      </c>
      <c r="E22" s="203"/>
      <c r="F22" s="203"/>
      <c r="G22" s="203"/>
      <c r="H22" s="204"/>
      <c r="I22" s="13" t="s">
        <v>7</v>
      </c>
      <c r="J22" s="9"/>
      <c r="K22" s="9"/>
      <c r="L22" s="8"/>
      <c r="M22" s="8"/>
      <c r="N22" s="9"/>
      <c r="O22" s="9"/>
      <c r="P22" s="9"/>
      <c r="Q22" s="8"/>
      <c r="R22" s="8"/>
      <c r="S22" s="10"/>
    </row>
    <row r="23" spans="1:33" ht="15.6">
      <c r="A23" s="19"/>
      <c r="B23" s="198" t="s">
        <v>24</v>
      </c>
      <c r="C23" s="11" t="s">
        <v>25</v>
      </c>
      <c r="D23" s="205" t="s">
        <v>26</v>
      </c>
      <c r="E23" s="203"/>
      <c r="F23" s="203"/>
      <c r="G23" s="203"/>
      <c r="H23" s="204"/>
      <c r="I23" s="13" t="s">
        <v>7</v>
      </c>
      <c r="J23" s="9"/>
      <c r="K23" s="9"/>
      <c r="L23" s="8"/>
      <c r="M23" s="8"/>
      <c r="N23" s="9"/>
      <c r="O23" s="9"/>
      <c r="P23" s="9"/>
      <c r="Q23" s="8"/>
      <c r="R23" s="8"/>
      <c r="S23" s="10"/>
    </row>
    <row r="24" spans="1:33" ht="31.2">
      <c r="A24" s="19"/>
      <c r="B24" s="199"/>
      <c r="C24" s="11" t="s">
        <v>27</v>
      </c>
      <c r="D24" s="205" t="s">
        <v>28</v>
      </c>
      <c r="E24" s="203"/>
      <c r="F24" s="203"/>
      <c r="G24" s="203"/>
      <c r="H24" s="204"/>
      <c r="I24" s="13" t="s">
        <v>7</v>
      </c>
      <c r="J24" s="9"/>
      <c r="K24" s="9"/>
      <c r="L24" s="8"/>
      <c r="M24" s="8"/>
      <c r="N24" s="9"/>
      <c r="O24" s="9"/>
      <c r="P24" s="9"/>
      <c r="Q24" s="8"/>
      <c r="R24" s="8"/>
      <c r="S24" s="10"/>
    </row>
    <row r="25" spans="1:33" ht="15.6">
      <c r="A25" s="19"/>
      <c r="B25" s="198" t="s">
        <v>29</v>
      </c>
      <c r="C25" s="11" t="s">
        <v>30</v>
      </c>
      <c r="D25" s="205" t="s">
        <v>31</v>
      </c>
      <c r="E25" s="203"/>
      <c r="F25" s="203"/>
      <c r="G25" s="203"/>
      <c r="H25" s="204"/>
      <c r="I25" s="13" t="s">
        <v>7</v>
      </c>
      <c r="J25" s="9"/>
      <c r="K25" s="9"/>
      <c r="L25" s="8"/>
      <c r="M25" s="8"/>
      <c r="N25" s="9"/>
      <c r="O25" s="9"/>
      <c r="P25" s="9"/>
      <c r="Q25" s="8"/>
      <c r="R25" s="8"/>
      <c r="S25" s="10"/>
    </row>
    <row r="26" spans="1:33" ht="15.6">
      <c r="A26" s="19"/>
      <c r="B26" s="197"/>
      <c r="C26" s="11" t="s">
        <v>32</v>
      </c>
      <c r="D26" s="205" t="s">
        <v>33</v>
      </c>
      <c r="E26" s="203"/>
      <c r="F26" s="203"/>
      <c r="G26" s="203"/>
      <c r="H26" s="204"/>
      <c r="I26" s="13" t="s">
        <v>7</v>
      </c>
      <c r="J26" s="9"/>
      <c r="K26" s="9"/>
      <c r="L26" s="8"/>
      <c r="M26" s="8"/>
      <c r="N26" s="9"/>
      <c r="O26" s="9"/>
      <c r="P26" s="9"/>
      <c r="Q26" s="8"/>
      <c r="R26" s="8"/>
      <c r="S26" s="10"/>
    </row>
    <row r="27" spans="1:33" ht="15.6">
      <c r="A27" s="19"/>
      <c r="B27" s="197"/>
      <c r="C27" s="11" t="s">
        <v>34</v>
      </c>
      <c r="D27" s="205" t="s">
        <v>35</v>
      </c>
      <c r="E27" s="203"/>
      <c r="F27" s="203"/>
      <c r="G27" s="203"/>
      <c r="H27" s="204"/>
      <c r="I27" s="13" t="s">
        <v>7</v>
      </c>
      <c r="J27" s="9"/>
      <c r="K27" s="9"/>
      <c r="L27" s="8"/>
      <c r="M27" s="8"/>
      <c r="N27" s="9"/>
      <c r="O27" s="9"/>
      <c r="P27" s="9"/>
      <c r="Q27" s="8"/>
      <c r="R27" s="8"/>
      <c r="S27" s="10"/>
    </row>
    <row r="28" spans="1:33" ht="15.6">
      <c r="A28" s="19"/>
      <c r="B28" s="197"/>
      <c r="C28" s="11" t="s">
        <v>36</v>
      </c>
      <c r="D28" s="205" t="s">
        <v>37</v>
      </c>
      <c r="E28" s="203"/>
      <c r="F28" s="203"/>
      <c r="G28" s="203"/>
      <c r="H28" s="204"/>
      <c r="I28" s="8"/>
      <c r="J28" s="9"/>
      <c r="K28" s="9"/>
      <c r="L28" s="8"/>
      <c r="M28" s="8"/>
      <c r="N28" s="9"/>
      <c r="O28" s="20"/>
      <c r="P28" s="20"/>
      <c r="Q28" s="8"/>
      <c r="R28" s="8"/>
      <c r="S28" s="10"/>
    </row>
    <row r="29" spans="1:33" ht="31.2">
      <c r="A29" s="15"/>
      <c r="B29" s="15"/>
      <c r="C29" s="11" t="s">
        <v>38</v>
      </c>
      <c r="D29" s="214" t="s">
        <v>39</v>
      </c>
      <c r="E29" s="203"/>
      <c r="F29" s="203"/>
      <c r="G29" s="203"/>
      <c r="H29" s="203"/>
      <c r="I29" s="8"/>
      <c r="J29" s="9"/>
      <c r="K29" s="9"/>
      <c r="L29" s="8"/>
      <c r="M29" s="8"/>
      <c r="N29" s="9"/>
      <c r="O29" s="20"/>
      <c r="P29" s="20"/>
      <c r="Q29" s="8"/>
      <c r="R29" s="8"/>
      <c r="S29" s="10"/>
    </row>
    <row r="30" spans="1:33" ht="15.6">
      <c r="A30" s="15"/>
      <c r="B30" s="15"/>
      <c r="C30" s="21" t="s">
        <v>40</v>
      </c>
      <c r="D30" s="215"/>
      <c r="E30" s="203"/>
      <c r="F30" s="203"/>
      <c r="G30" s="203"/>
      <c r="H30" s="204"/>
      <c r="I30" s="12"/>
      <c r="J30" s="9"/>
      <c r="K30" s="9"/>
      <c r="L30" s="8"/>
      <c r="M30" s="8"/>
      <c r="N30" s="9"/>
      <c r="O30" s="9"/>
      <c r="P30" s="9"/>
      <c r="Q30" s="8"/>
      <c r="R30" s="8"/>
      <c r="S30" s="10"/>
    </row>
    <row r="31" spans="1:33" ht="15.6">
      <c r="A31" s="7"/>
      <c r="B31" s="8"/>
      <c r="C31" s="8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10"/>
      <c r="AF31" s="24" t="s">
        <v>41</v>
      </c>
      <c r="AG31" s="24">
        <v>3</v>
      </c>
    </row>
    <row r="32" spans="1:33" ht="62.4">
      <c r="A32" s="25"/>
      <c r="B32" s="26" t="s">
        <v>42</v>
      </c>
      <c r="C32" s="27" t="s">
        <v>43</v>
      </c>
      <c r="D32" s="21" t="s">
        <v>44</v>
      </c>
      <c r="E32" s="21" t="s">
        <v>45</v>
      </c>
      <c r="F32" s="21" t="s">
        <v>46</v>
      </c>
      <c r="G32" s="21" t="s">
        <v>47</v>
      </c>
      <c r="H32" s="21" t="s">
        <v>48</v>
      </c>
      <c r="I32" s="21" t="s">
        <v>49</v>
      </c>
      <c r="J32" s="28" t="s">
        <v>50</v>
      </c>
      <c r="K32" s="28" t="s">
        <v>51</v>
      </c>
      <c r="L32" s="21" t="s">
        <v>52</v>
      </c>
      <c r="M32" s="21" t="s">
        <v>53</v>
      </c>
      <c r="N32" s="28" t="s">
        <v>54</v>
      </c>
      <c r="O32" s="28" t="s">
        <v>55</v>
      </c>
      <c r="P32" s="28" t="s">
        <v>56</v>
      </c>
      <c r="Q32" s="21" t="s">
        <v>57</v>
      </c>
      <c r="R32" s="21" t="s">
        <v>58</v>
      </c>
      <c r="S32" s="29" t="s">
        <v>59</v>
      </c>
      <c r="T32" s="30" t="s">
        <v>60</v>
      </c>
      <c r="U32" s="30" t="s">
        <v>61</v>
      </c>
      <c r="V32" s="30" t="s">
        <v>62</v>
      </c>
      <c r="W32" s="30" t="s">
        <v>63</v>
      </c>
      <c r="X32" s="30" t="s">
        <v>64</v>
      </c>
      <c r="Y32" s="30" t="s">
        <v>65</v>
      </c>
      <c r="Z32" s="30" t="s">
        <v>66</v>
      </c>
      <c r="AA32" s="30" t="s">
        <v>67</v>
      </c>
      <c r="AB32" s="30" t="s">
        <v>68</v>
      </c>
      <c r="AC32" s="30" t="s">
        <v>69</v>
      </c>
      <c r="AD32" s="30" t="s">
        <v>70</v>
      </c>
      <c r="AE32" s="31" t="s">
        <v>71</v>
      </c>
      <c r="AF32" s="31" t="s">
        <v>72</v>
      </c>
      <c r="AG32" s="31" t="s">
        <v>73</v>
      </c>
    </row>
    <row r="33" spans="1:33" ht="303.60000000000002">
      <c r="B33" s="8"/>
      <c r="C33" s="11" t="s">
        <v>74</v>
      </c>
      <c r="D33" s="32" t="s">
        <v>75</v>
      </c>
      <c r="E33" s="32" t="s">
        <v>76</v>
      </c>
      <c r="F33" s="32" t="s">
        <v>77</v>
      </c>
      <c r="G33" s="33" t="s">
        <v>78</v>
      </c>
      <c r="H33" s="33" t="s">
        <v>79</v>
      </c>
      <c r="I33" s="32" t="s">
        <v>80</v>
      </c>
      <c r="J33" s="34" t="s">
        <v>81</v>
      </c>
      <c r="K33" s="34" t="s">
        <v>82</v>
      </c>
      <c r="L33" s="33" t="s">
        <v>83</v>
      </c>
      <c r="M33" s="33" t="s">
        <v>84</v>
      </c>
      <c r="N33" s="35" t="s">
        <v>85</v>
      </c>
      <c r="O33" s="104">
        <v>44511</v>
      </c>
      <c r="P33" s="37"/>
      <c r="Q33" s="32" t="s">
        <v>86</v>
      </c>
      <c r="R33" s="32" t="s">
        <v>87</v>
      </c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105">
        <v>11637</v>
      </c>
      <c r="AF33" s="105"/>
      <c r="AG33" s="10"/>
    </row>
    <row r="34" spans="1:33" ht="179.4">
      <c r="B34" s="39" t="s">
        <v>7</v>
      </c>
      <c r="C34" s="11" t="s">
        <v>88</v>
      </c>
      <c r="D34" s="32" t="s">
        <v>89</v>
      </c>
      <c r="E34" s="32" t="s">
        <v>90</v>
      </c>
      <c r="F34" s="32" t="s">
        <v>91</v>
      </c>
      <c r="G34" s="33" t="s">
        <v>92</v>
      </c>
      <c r="H34" s="33" t="s">
        <v>79</v>
      </c>
      <c r="I34" s="32" t="s">
        <v>93</v>
      </c>
      <c r="J34" s="40" t="s">
        <v>94</v>
      </c>
      <c r="K34" s="41" t="s">
        <v>95</v>
      </c>
      <c r="L34" s="33" t="s">
        <v>83</v>
      </c>
      <c r="M34" s="33" t="s">
        <v>84</v>
      </c>
      <c r="N34" s="35" t="s">
        <v>85</v>
      </c>
      <c r="O34" s="104">
        <v>1505977</v>
      </c>
      <c r="P34" s="37"/>
      <c r="Q34" s="32" t="s">
        <v>96</v>
      </c>
      <c r="R34" s="32" t="s">
        <v>97</v>
      </c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42">
        <v>90912</v>
      </c>
      <c r="AF34" s="10"/>
      <c r="AG34" s="10"/>
    </row>
    <row r="35" spans="1:33" ht="179.4">
      <c r="B35" s="45" t="s">
        <v>98</v>
      </c>
      <c r="C35" s="46" t="s">
        <v>99</v>
      </c>
      <c r="D35" s="32" t="s">
        <v>100</v>
      </c>
      <c r="E35" s="32" t="s">
        <v>101</v>
      </c>
      <c r="F35" s="32" t="s">
        <v>102</v>
      </c>
      <c r="G35" s="32" t="s">
        <v>103</v>
      </c>
      <c r="H35" s="32" t="s">
        <v>79</v>
      </c>
      <c r="I35" s="32" t="s">
        <v>104</v>
      </c>
      <c r="J35" s="32" t="s">
        <v>105</v>
      </c>
      <c r="K35" s="47" t="s">
        <v>106</v>
      </c>
      <c r="L35" s="32" t="s">
        <v>107</v>
      </c>
      <c r="M35" s="32" t="s">
        <v>108</v>
      </c>
      <c r="N35" s="32" t="s">
        <v>85</v>
      </c>
      <c r="O35" s="106">
        <v>0.9</v>
      </c>
      <c r="P35" s="37"/>
      <c r="Q35" s="32" t="s">
        <v>86</v>
      </c>
      <c r="R35" s="32" t="s">
        <v>109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49"/>
      <c r="AF35" s="49"/>
      <c r="AG35" s="49"/>
    </row>
    <row r="36" spans="1:33" ht="151.80000000000001">
      <c r="A36" s="50" t="s">
        <v>74</v>
      </c>
      <c r="B36" s="51"/>
      <c r="C36" s="52" t="s">
        <v>110</v>
      </c>
      <c r="D36" s="32" t="s">
        <v>111</v>
      </c>
      <c r="E36" s="53" t="s">
        <v>112</v>
      </c>
      <c r="F36" s="32" t="s">
        <v>113</v>
      </c>
      <c r="G36" s="54" t="s">
        <v>103</v>
      </c>
      <c r="H36" s="54" t="s">
        <v>114</v>
      </c>
      <c r="I36" s="53" t="s">
        <v>115</v>
      </c>
      <c r="J36" s="55" t="s">
        <v>116</v>
      </c>
      <c r="K36" s="34" t="s">
        <v>117</v>
      </c>
      <c r="L36" s="32" t="s">
        <v>107</v>
      </c>
      <c r="M36" s="56" t="s">
        <v>108</v>
      </c>
      <c r="N36" s="32">
        <v>517</v>
      </c>
      <c r="O36" s="32">
        <v>7450</v>
      </c>
      <c r="P36" s="57"/>
      <c r="Q36" s="33" t="s">
        <v>118</v>
      </c>
      <c r="R36" s="32" t="s">
        <v>119</v>
      </c>
      <c r="S36" s="32">
        <v>0</v>
      </c>
      <c r="T36" s="32">
        <v>6</v>
      </c>
      <c r="U36" s="32">
        <v>457</v>
      </c>
      <c r="V36" s="32">
        <v>15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49">
        <v>463</v>
      </c>
      <c r="AF36" s="49" t="s">
        <v>360</v>
      </c>
      <c r="AG36" s="49">
        <v>463</v>
      </c>
    </row>
    <row r="37" spans="1:33" ht="110.4">
      <c r="A37" s="58" t="s">
        <v>88</v>
      </c>
      <c r="B37" s="51"/>
      <c r="C37" s="52" t="s">
        <v>120</v>
      </c>
      <c r="D37" s="32" t="s">
        <v>121</v>
      </c>
      <c r="E37" s="32" t="s">
        <v>122</v>
      </c>
      <c r="F37" s="32" t="s">
        <v>123</v>
      </c>
      <c r="G37" s="54" t="s">
        <v>103</v>
      </c>
      <c r="H37" s="54" t="s">
        <v>114</v>
      </c>
      <c r="I37" s="32" t="s">
        <v>124</v>
      </c>
      <c r="J37" s="55" t="s">
        <v>125</v>
      </c>
      <c r="K37" s="34" t="s">
        <v>126</v>
      </c>
      <c r="L37" s="32" t="s">
        <v>107</v>
      </c>
      <c r="M37" s="59" t="s">
        <v>108</v>
      </c>
      <c r="N37" s="32">
        <v>925</v>
      </c>
      <c r="O37" s="65">
        <v>640</v>
      </c>
      <c r="P37" s="57"/>
      <c r="Q37" s="32" t="s">
        <v>127</v>
      </c>
      <c r="R37" s="32" t="s">
        <v>128</v>
      </c>
      <c r="S37" s="32">
        <v>50</v>
      </c>
      <c r="T37" s="32">
        <v>48</v>
      </c>
      <c r="U37" s="32">
        <v>55</v>
      </c>
      <c r="V37" s="32">
        <v>13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49">
        <v>153</v>
      </c>
      <c r="AF37" s="49" t="s">
        <v>361</v>
      </c>
      <c r="AG37" s="49">
        <v>153</v>
      </c>
    </row>
    <row r="38" spans="1:33" ht="110.4">
      <c r="A38" s="58" t="s">
        <v>129</v>
      </c>
      <c r="B38" s="51"/>
      <c r="C38" s="52" t="s">
        <v>130</v>
      </c>
      <c r="D38" s="32" t="s">
        <v>131</v>
      </c>
      <c r="E38" s="32" t="s">
        <v>132</v>
      </c>
      <c r="F38" s="32" t="s">
        <v>133</v>
      </c>
      <c r="G38" s="54" t="s">
        <v>103</v>
      </c>
      <c r="H38" s="54" t="s">
        <v>114</v>
      </c>
      <c r="I38" s="53" t="s">
        <v>134</v>
      </c>
      <c r="J38" s="60" t="s">
        <v>135</v>
      </c>
      <c r="K38" s="60" t="s">
        <v>136</v>
      </c>
      <c r="L38" s="32" t="s">
        <v>107</v>
      </c>
      <c r="M38" s="59" t="s">
        <v>108</v>
      </c>
      <c r="N38" s="32">
        <v>10405</v>
      </c>
      <c r="O38" s="63">
        <v>5000</v>
      </c>
      <c r="P38" s="57"/>
      <c r="Q38" s="32" t="s">
        <v>137</v>
      </c>
      <c r="R38" s="32" t="s">
        <v>138</v>
      </c>
      <c r="S38" s="32">
        <v>1086</v>
      </c>
      <c r="T38" s="32">
        <v>1126</v>
      </c>
      <c r="U38" s="32">
        <v>1236</v>
      </c>
      <c r="V38" s="32">
        <v>667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49">
        <v>3448</v>
      </c>
      <c r="AF38" s="49" t="s">
        <v>362</v>
      </c>
      <c r="AG38" s="49">
        <v>3448</v>
      </c>
    </row>
    <row r="39" spans="1:33" ht="193.2">
      <c r="A39" s="58" t="s">
        <v>74</v>
      </c>
      <c r="B39" s="51"/>
      <c r="C39" s="52" t="s">
        <v>139</v>
      </c>
      <c r="D39" s="32" t="s">
        <v>140</v>
      </c>
      <c r="E39" s="32" t="s">
        <v>141</v>
      </c>
      <c r="F39" s="32" t="s">
        <v>142</v>
      </c>
      <c r="G39" s="54" t="s">
        <v>103</v>
      </c>
      <c r="H39" s="54" t="s">
        <v>114</v>
      </c>
      <c r="I39" s="53" t="s">
        <v>143</v>
      </c>
      <c r="J39" s="62" t="s">
        <v>144</v>
      </c>
      <c r="K39" s="62" t="s">
        <v>145</v>
      </c>
      <c r="L39" s="32" t="s">
        <v>107</v>
      </c>
      <c r="M39" s="59" t="s">
        <v>108</v>
      </c>
      <c r="N39" s="63">
        <v>9826</v>
      </c>
      <c r="O39" s="63">
        <v>8791</v>
      </c>
      <c r="P39" s="37"/>
      <c r="Q39" s="53" t="s">
        <v>118</v>
      </c>
      <c r="R39" s="32" t="s">
        <v>146</v>
      </c>
      <c r="S39" s="32">
        <v>0</v>
      </c>
      <c r="T39" s="32">
        <v>0</v>
      </c>
      <c r="U39" s="32">
        <v>2526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49">
        <v>2526</v>
      </c>
      <c r="AF39" s="49" t="s">
        <v>363</v>
      </c>
      <c r="AG39" s="49">
        <v>2526</v>
      </c>
    </row>
    <row r="40" spans="1:33" ht="96.6">
      <c r="A40" s="58" t="s">
        <v>88</v>
      </c>
      <c r="B40" s="51"/>
      <c r="C40" s="52" t="s">
        <v>147</v>
      </c>
      <c r="D40" s="32" t="s">
        <v>148</v>
      </c>
      <c r="E40" s="32" t="s">
        <v>149</v>
      </c>
      <c r="F40" s="32" t="s">
        <v>150</v>
      </c>
      <c r="G40" s="54" t="s">
        <v>103</v>
      </c>
      <c r="H40" s="32" t="s">
        <v>114</v>
      </c>
      <c r="I40" s="53" t="s">
        <v>151</v>
      </c>
      <c r="J40" s="60" t="s">
        <v>152</v>
      </c>
      <c r="K40" s="60" t="s">
        <v>153</v>
      </c>
      <c r="L40" s="32" t="s">
        <v>107</v>
      </c>
      <c r="M40" s="64" t="s">
        <v>108</v>
      </c>
      <c r="N40" s="65">
        <v>1378450</v>
      </c>
      <c r="O40" s="63">
        <v>1190350</v>
      </c>
      <c r="P40" s="37"/>
      <c r="Q40" s="33" t="s">
        <v>154</v>
      </c>
      <c r="R40" s="32" t="s">
        <v>155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49">
        <v>0</v>
      </c>
      <c r="AF40" s="49" t="s">
        <v>350</v>
      </c>
      <c r="AG40" s="49">
        <v>0</v>
      </c>
    </row>
    <row r="41" spans="1:33" ht="110.4">
      <c r="A41" s="58" t="s">
        <v>88</v>
      </c>
      <c r="B41" s="51"/>
      <c r="C41" s="52" t="s">
        <v>156</v>
      </c>
      <c r="D41" s="32" t="s">
        <v>157</v>
      </c>
      <c r="E41" s="32" t="s">
        <v>158</v>
      </c>
      <c r="F41" s="32" t="s">
        <v>159</v>
      </c>
      <c r="G41" s="54" t="s">
        <v>103</v>
      </c>
      <c r="H41" s="32" t="s">
        <v>114</v>
      </c>
      <c r="I41" s="53" t="s">
        <v>160</v>
      </c>
      <c r="J41" s="60" t="s">
        <v>152</v>
      </c>
      <c r="K41" s="60" t="s">
        <v>161</v>
      </c>
      <c r="L41" s="32" t="s">
        <v>107</v>
      </c>
      <c r="M41" s="64" t="s">
        <v>108</v>
      </c>
      <c r="N41" s="63">
        <v>26296</v>
      </c>
      <c r="O41" s="63">
        <v>26292</v>
      </c>
      <c r="P41" s="37"/>
      <c r="Q41" s="33" t="s">
        <v>154</v>
      </c>
      <c r="R41" s="32" t="s">
        <v>162</v>
      </c>
      <c r="S41" s="32">
        <v>0</v>
      </c>
      <c r="T41" s="32">
        <v>0</v>
      </c>
      <c r="U41" s="32">
        <v>6573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49">
        <v>6573</v>
      </c>
      <c r="AF41" s="49" t="s">
        <v>364</v>
      </c>
      <c r="AG41" s="49">
        <v>6573</v>
      </c>
    </row>
    <row r="42" spans="1:33" ht="151.80000000000001">
      <c r="A42" s="58" t="s">
        <v>88</v>
      </c>
      <c r="B42" s="51"/>
      <c r="C42" s="52" t="s">
        <v>163</v>
      </c>
      <c r="D42" s="32" t="s">
        <v>164</v>
      </c>
      <c r="E42" s="32" t="s">
        <v>165</v>
      </c>
      <c r="F42" s="32" t="s">
        <v>166</v>
      </c>
      <c r="G42" s="54" t="s">
        <v>103</v>
      </c>
      <c r="H42" s="32" t="s">
        <v>114</v>
      </c>
      <c r="I42" s="53" t="s">
        <v>151</v>
      </c>
      <c r="J42" s="60" t="s">
        <v>152</v>
      </c>
      <c r="K42" s="60" t="s">
        <v>153</v>
      </c>
      <c r="L42" s="32" t="s">
        <v>107</v>
      </c>
      <c r="M42" s="64" t="s">
        <v>108</v>
      </c>
      <c r="N42" s="65">
        <v>4560</v>
      </c>
      <c r="O42" s="63">
        <v>4020</v>
      </c>
      <c r="P42" s="37"/>
      <c r="Q42" s="33" t="s">
        <v>154</v>
      </c>
      <c r="R42" s="32" t="s">
        <v>167</v>
      </c>
      <c r="S42" s="32">
        <v>0</v>
      </c>
      <c r="T42" s="32">
        <v>0</v>
      </c>
      <c r="U42" s="32">
        <v>1005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49">
        <v>1005</v>
      </c>
      <c r="AF42" s="49" t="s">
        <v>364</v>
      </c>
      <c r="AG42" s="49">
        <v>1005</v>
      </c>
    </row>
    <row r="43" spans="1:33" ht="96.6">
      <c r="A43" s="58" t="s">
        <v>129</v>
      </c>
      <c r="B43" s="51"/>
      <c r="C43" s="52" t="s">
        <v>168</v>
      </c>
      <c r="D43" s="32" t="s">
        <v>169</v>
      </c>
      <c r="E43" s="32" t="s">
        <v>170</v>
      </c>
      <c r="F43" s="32" t="s">
        <v>171</v>
      </c>
      <c r="G43" s="54" t="s">
        <v>103</v>
      </c>
      <c r="H43" s="32" t="s">
        <v>114</v>
      </c>
      <c r="I43" s="32" t="s">
        <v>172</v>
      </c>
      <c r="J43" s="60" t="s">
        <v>173</v>
      </c>
      <c r="K43" s="60" t="s">
        <v>174</v>
      </c>
      <c r="L43" s="32" t="s">
        <v>107</v>
      </c>
      <c r="M43" s="64" t="s">
        <v>108</v>
      </c>
      <c r="N43" s="65">
        <v>7997</v>
      </c>
      <c r="O43" s="63">
        <v>6000</v>
      </c>
      <c r="P43" s="37"/>
      <c r="Q43" s="32" t="s">
        <v>175</v>
      </c>
      <c r="R43" s="32" t="s">
        <v>176</v>
      </c>
      <c r="S43" s="32">
        <v>669</v>
      </c>
      <c r="T43" s="32">
        <v>562</v>
      </c>
      <c r="U43" s="32">
        <v>709</v>
      </c>
      <c r="V43" s="32">
        <v>297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49">
        <v>1940</v>
      </c>
      <c r="AF43" s="49" t="s">
        <v>365</v>
      </c>
      <c r="AG43" s="49">
        <v>1940</v>
      </c>
    </row>
    <row r="44" spans="1:33" ht="124.2">
      <c r="A44" s="58" t="s">
        <v>74</v>
      </c>
      <c r="B44" s="51"/>
      <c r="C44" s="52" t="s">
        <v>177</v>
      </c>
      <c r="D44" s="32" t="s">
        <v>178</v>
      </c>
      <c r="E44" s="32" t="s">
        <v>179</v>
      </c>
      <c r="F44" s="32" t="s">
        <v>180</v>
      </c>
      <c r="G44" s="32" t="s">
        <v>103</v>
      </c>
      <c r="H44" s="32" t="s">
        <v>114</v>
      </c>
      <c r="I44" s="32" t="s">
        <v>181</v>
      </c>
      <c r="J44" s="32" t="s">
        <v>182</v>
      </c>
      <c r="K44" s="32">
        <v>4</v>
      </c>
      <c r="L44" s="32" t="s">
        <v>183</v>
      </c>
      <c r="M44" s="32" t="s">
        <v>184</v>
      </c>
      <c r="N44" s="32">
        <v>2676</v>
      </c>
      <c r="O44" s="32">
        <v>2550</v>
      </c>
      <c r="P44" s="32"/>
      <c r="Q44" s="32" t="s">
        <v>185</v>
      </c>
      <c r="R44" s="32" t="s">
        <v>186</v>
      </c>
      <c r="S44" s="32">
        <v>654</v>
      </c>
      <c r="T44" s="32">
        <v>914</v>
      </c>
      <c r="U44" s="32">
        <v>724</v>
      </c>
      <c r="V44" s="32">
        <v>678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49">
        <v>2292</v>
      </c>
      <c r="AF44" s="49">
        <v>573</v>
      </c>
      <c r="AG44" s="49">
        <v>764</v>
      </c>
    </row>
    <row r="45" spans="1:33" ht="124.2">
      <c r="A45" s="58" t="s">
        <v>88</v>
      </c>
      <c r="B45" s="51"/>
      <c r="C45" s="52" t="s">
        <v>187</v>
      </c>
      <c r="D45" s="32" t="s">
        <v>188</v>
      </c>
      <c r="E45" s="32" t="s">
        <v>189</v>
      </c>
      <c r="F45" s="32" t="s">
        <v>190</v>
      </c>
      <c r="G45" s="32" t="s">
        <v>103</v>
      </c>
      <c r="H45" s="32" t="s">
        <v>114</v>
      </c>
      <c r="I45" s="32" t="s">
        <v>191</v>
      </c>
      <c r="J45" s="32" t="s">
        <v>192</v>
      </c>
      <c r="K45" s="32" t="s">
        <v>193</v>
      </c>
      <c r="L45" s="32" t="s">
        <v>107</v>
      </c>
      <c r="M45" s="32" t="s">
        <v>108</v>
      </c>
      <c r="N45" s="32" t="s">
        <v>85</v>
      </c>
      <c r="O45" s="32">
        <v>15000</v>
      </c>
      <c r="P45" s="32"/>
      <c r="Q45" s="32" t="s">
        <v>185</v>
      </c>
      <c r="R45" s="32" t="s">
        <v>186</v>
      </c>
      <c r="S45" s="32">
        <v>1336</v>
      </c>
      <c r="T45" s="32">
        <v>1635</v>
      </c>
      <c r="U45" s="32">
        <v>1178</v>
      </c>
      <c r="V45" s="32">
        <v>819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49">
        <v>4149</v>
      </c>
      <c r="AF45" s="49" t="s">
        <v>366</v>
      </c>
      <c r="AG45" s="49">
        <v>4149</v>
      </c>
    </row>
    <row r="46" spans="1:33" ht="124.2">
      <c r="A46" s="58" t="s">
        <v>88</v>
      </c>
      <c r="B46" s="51"/>
      <c r="C46" s="52" t="s">
        <v>194</v>
      </c>
      <c r="D46" s="32" t="s">
        <v>195</v>
      </c>
      <c r="E46" s="32" t="s">
        <v>196</v>
      </c>
      <c r="F46" s="32" t="s">
        <v>197</v>
      </c>
      <c r="G46" s="54" t="s">
        <v>103</v>
      </c>
      <c r="H46" s="32" t="s">
        <v>114</v>
      </c>
      <c r="I46" s="53" t="s">
        <v>198</v>
      </c>
      <c r="J46" s="60" t="s">
        <v>199</v>
      </c>
      <c r="K46" s="60" t="s">
        <v>200</v>
      </c>
      <c r="L46" s="32" t="s">
        <v>107</v>
      </c>
      <c r="M46" s="64" t="s">
        <v>108</v>
      </c>
      <c r="N46" s="65">
        <v>28995</v>
      </c>
      <c r="O46" s="63">
        <v>29000</v>
      </c>
      <c r="P46" s="37"/>
      <c r="Q46" s="33" t="s">
        <v>201</v>
      </c>
      <c r="R46" s="32" t="s">
        <v>202</v>
      </c>
      <c r="S46" s="32">
        <v>1527</v>
      </c>
      <c r="T46" s="32">
        <v>4190</v>
      </c>
      <c r="U46" s="32">
        <v>1152</v>
      </c>
      <c r="V46" s="32">
        <v>1286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49">
        <v>6869</v>
      </c>
      <c r="AF46" s="49" t="s">
        <v>367</v>
      </c>
      <c r="AG46" s="49">
        <v>6869</v>
      </c>
    </row>
    <row r="47" spans="1:33" ht="165.6">
      <c r="A47" s="58" t="s">
        <v>74</v>
      </c>
      <c r="B47" s="51"/>
      <c r="C47" s="52" t="s">
        <v>203</v>
      </c>
      <c r="D47" s="32" t="s">
        <v>204</v>
      </c>
      <c r="E47" s="32" t="s">
        <v>205</v>
      </c>
      <c r="F47" s="32" t="s">
        <v>206</v>
      </c>
      <c r="G47" s="54" t="s">
        <v>103</v>
      </c>
      <c r="H47" s="32" t="s">
        <v>114</v>
      </c>
      <c r="I47" s="32" t="s">
        <v>207</v>
      </c>
      <c r="J47" s="60" t="s">
        <v>208</v>
      </c>
      <c r="K47" s="60">
        <v>4</v>
      </c>
      <c r="L47" s="32" t="s">
        <v>183</v>
      </c>
      <c r="M47" s="64" t="s">
        <v>184</v>
      </c>
      <c r="N47" s="32" t="s">
        <v>85</v>
      </c>
      <c r="O47" s="65">
        <v>1500</v>
      </c>
      <c r="P47" s="37"/>
      <c r="Q47" s="33" t="s">
        <v>118</v>
      </c>
      <c r="R47" s="32" t="s">
        <v>209</v>
      </c>
      <c r="S47" s="32">
        <v>510</v>
      </c>
      <c r="T47" s="32">
        <v>510</v>
      </c>
      <c r="U47" s="32">
        <v>510</v>
      </c>
      <c r="V47" s="32">
        <v>510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49">
        <v>1530</v>
      </c>
      <c r="AF47" s="49">
        <v>382.5</v>
      </c>
      <c r="AG47" s="49">
        <v>510</v>
      </c>
    </row>
    <row r="48" spans="1:33" ht="165.6">
      <c r="A48" s="58" t="s">
        <v>88</v>
      </c>
      <c r="B48" s="51"/>
      <c r="C48" s="52" t="s">
        <v>210</v>
      </c>
      <c r="D48" s="32" t="s">
        <v>211</v>
      </c>
      <c r="E48" s="32" t="s">
        <v>212</v>
      </c>
      <c r="F48" s="32" t="s">
        <v>213</v>
      </c>
      <c r="G48" s="54" t="s">
        <v>103</v>
      </c>
      <c r="H48" s="32" t="s">
        <v>114</v>
      </c>
      <c r="I48" s="53" t="s">
        <v>214</v>
      </c>
      <c r="J48" s="60" t="s">
        <v>215</v>
      </c>
      <c r="K48" s="60" t="s">
        <v>216</v>
      </c>
      <c r="L48" s="32" t="s">
        <v>107</v>
      </c>
      <c r="M48" s="64" t="s">
        <v>108</v>
      </c>
      <c r="N48" s="65">
        <v>203457</v>
      </c>
      <c r="O48" s="65">
        <v>224400</v>
      </c>
      <c r="P48" s="37"/>
      <c r="Q48" s="33" t="s">
        <v>118</v>
      </c>
      <c r="R48" s="32" t="s">
        <v>209</v>
      </c>
      <c r="S48" s="32">
        <v>22440</v>
      </c>
      <c r="T48" s="32">
        <v>19380</v>
      </c>
      <c r="U48" s="32">
        <v>23460</v>
      </c>
      <c r="V48" s="32">
        <v>10200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49">
        <v>65280</v>
      </c>
      <c r="AF48" s="49" t="s">
        <v>368</v>
      </c>
      <c r="AG48" s="49">
        <v>65280</v>
      </c>
    </row>
    <row r="49" spans="1:33" ht="82.8">
      <c r="A49" s="58" t="s">
        <v>74</v>
      </c>
      <c r="B49" s="51"/>
      <c r="C49" s="52" t="s">
        <v>217</v>
      </c>
      <c r="D49" s="66" t="s">
        <v>218</v>
      </c>
      <c r="E49" s="66" t="s">
        <v>219</v>
      </c>
      <c r="F49" s="66" t="s">
        <v>220</v>
      </c>
      <c r="G49" s="67" t="s">
        <v>103</v>
      </c>
      <c r="H49" s="66" t="s">
        <v>114</v>
      </c>
      <c r="I49" s="66" t="s">
        <v>221</v>
      </c>
      <c r="J49" s="68" t="s">
        <v>222</v>
      </c>
      <c r="K49" s="68">
        <v>4</v>
      </c>
      <c r="L49" s="32" t="s">
        <v>183</v>
      </c>
      <c r="M49" s="69" t="s">
        <v>184</v>
      </c>
      <c r="N49" s="70" t="s">
        <v>85</v>
      </c>
      <c r="O49" s="70">
        <v>4500</v>
      </c>
      <c r="P49" s="72"/>
      <c r="Q49" s="32" t="s">
        <v>223</v>
      </c>
      <c r="R49" s="32" t="s">
        <v>224</v>
      </c>
      <c r="S49" s="32">
        <v>1558</v>
      </c>
      <c r="T49" s="32">
        <v>1711</v>
      </c>
      <c r="U49" s="32">
        <v>1813</v>
      </c>
      <c r="V49" s="32">
        <v>1440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49">
        <v>5082</v>
      </c>
      <c r="AF49" s="49">
        <v>1270.5</v>
      </c>
      <c r="AG49" s="49">
        <v>1694</v>
      </c>
    </row>
    <row r="50" spans="1:33" ht="96.6">
      <c r="A50" s="58" t="s">
        <v>88</v>
      </c>
      <c r="B50" s="51"/>
      <c r="C50" s="52" t="s">
        <v>225</v>
      </c>
      <c r="D50" s="32" t="s">
        <v>226</v>
      </c>
      <c r="E50" s="32" t="s">
        <v>227</v>
      </c>
      <c r="F50" s="32" t="s">
        <v>228</v>
      </c>
      <c r="G50" s="54" t="s">
        <v>103</v>
      </c>
      <c r="H50" s="32" t="s">
        <v>114</v>
      </c>
      <c r="I50" s="32" t="s">
        <v>229</v>
      </c>
      <c r="J50" s="60" t="s">
        <v>230</v>
      </c>
      <c r="K50" s="60">
        <v>4</v>
      </c>
      <c r="L50" s="32" t="s">
        <v>183</v>
      </c>
      <c r="M50" s="64" t="s">
        <v>184</v>
      </c>
      <c r="N50" s="37"/>
      <c r="O50" s="65">
        <v>780</v>
      </c>
      <c r="P50" s="37"/>
      <c r="Q50" s="32" t="s">
        <v>231</v>
      </c>
      <c r="R50" s="32" t="s">
        <v>232</v>
      </c>
      <c r="S50" s="32">
        <v>276</v>
      </c>
      <c r="T50" s="32">
        <v>307</v>
      </c>
      <c r="U50" s="32">
        <v>293</v>
      </c>
      <c r="V50" s="32">
        <v>261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49">
        <v>876</v>
      </c>
      <c r="AF50" s="49">
        <v>219</v>
      </c>
      <c r="AG50" s="49">
        <v>292</v>
      </c>
    </row>
    <row r="51" spans="1:33" ht="96.6">
      <c r="A51" s="58" t="s">
        <v>74</v>
      </c>
      <c r="B51" s="51"/>
      <c r="C51" s="52" t="s">
        <v>233</v>
      </c>
      <c r="D51" s="32" t="s">
        <v>234</v>
      </c>
      <c r="E51" s="32" t="s">
        <v>235</v>
      </c>
      <c r="F51" s="32" t="s">
        <v>236</v>
      </c>
      <c r="G51" s="54" t="s">
        <v>103</v>
      </c>
      <c r="H51" s="32" t="s">
        <v>114</v>
      </c>
      <c r="I51" s="53" t="s">
        <v>237</v>
      </c>
      <c r="J51" s="60" t="s">
        <v>238</v>
      </c>
      <c r="K51" s="60" t="s">
        <v>239</v>
      </c>
      <c r="L51" s="32" t="s">
        <v>107</v>
      </c>
      <c r="M51" s="64" t="s">
        <v>108</v>
      </c>
      <c r="N51" s="65">
        <v>2037</v>
      </c>
      <c r="O51" s="65">
        <v>2030</v>
      </c>
      <c r="P51" s="37"/>
      <c r="Q51" s="33" t="s">
        <v>240</v>
      </c>
      <c r="R51" s="32" t="s">
        <v>241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49">
        <v>0</v>
      </c>
      <c r="AF51" s="49" t="s">
        <v>350</v>
      </c>
      <c r="AG51" s="49">
        <v>0</v>
      </c>
    </row>
    <row r="52" spans="1:33" ht="96.6">
      <c r="A52" s="73" t="s">
        <v>88</v>
      </c>
      <c r="B52" s="51"/>
      <c r="C52" s="52" t="s">
        <v>242</v>
      </c>
      <c r="D52" s="32" t="s">
        <v>243</v>
      </c>
      <c r="E52" s="32" t="s">
        <v>244</v>
      </c>
      <c r="F52" s="32" t="s">
        <v>245</v>
      </c>
      <c r="G52" s="54" t="s">
        <v>103</v>
      </c>
      <c r="H52" s="32" t="s">
        <v>114</v>
      </c>
      <c r="I52" s="53" t="s">
        <v>246</v>
      </c>
      <c r="J52" s="60" t="s">
        <v>247</v>
      </c>
      <c r="K52" s="60" t="s">
        <v>248</v>
      </c>
      <c r="L52" s="32" t="s">
        <v>107</v>
      </c>
      <c r="M52" s="64" t="s">
        <v>108</v>
      </c>
      <c r="N52" s="32" t="s">
        <v>85</v>
      </c>
      <c r="O52" s="65">
        <v>1188</v>
      </c>
      <c r="P52" s="37"/>
      <c r="Q52" s="33" t="s">
        <v>249</v>
      </c>
      <c r="R52" s="32" t="s">
        <v>241</v>
      </c>
      <c r="S52" s="32">
        <v>99</v>
      </c>
      <c r="T52" s="32">
        <v>99</v>
      </c>
      <c r="U52" s="32">
        <v>99</v>
      </c>
      <c r="V52" s="32">
        <v>99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49">
        <v>297</v>
      </c>
      <c r="AF52" s="49" t="s">
        <v>364</v>
      </c>
      <c r="AG52" s="49">
        <v>297</v>
      </c>
    </row>
    <row r="53" spans="1:33" ht="96.6">
      <c r="A53" s="24" t="s">
        <v>74</v>
      </c>
      <c r="B53" s="74" t="s">
        <v>98</v>
      </c>
      <c r="C53" s="75" t="s">
        <v>250</v>
      </c>
      <c r="D53" s="32" t="s">
        <v>251</v>
      </c>
      <c r="E53" s="32" t="s">
        <v>252</v>
      </c>
      <c r="F53" s="32" t="s">
        <v>113</v>
      </c>
      <c r="G53" s="32" t="s">
        <v>103</v>
      </c>
      <c r="H53" s="32" t="s">
        <v>79</v>
      </c>
      <c r="I53" s="32" t="s">
        <v>253</v>
      </c>
      <c r="J53" s="60" t="s">
        <v>254</v>
      </c>
      <c r="K53" s="60" t="s">
        <v>255</v>
      </c>
      <c r="L53" s="32" t="s">
        <v>107</v>
      </c>
      <c r="M53" s="32" t="s">
        <v>108</v>
      </c>
      <c r="N53" s="32">
        <v>4431</v>
      </c>
      <c r="O53" s="32">
        <v>5000</v>
      </c>
      <c r="P53" s="37"/>
      <c r="Q53" s="32" t="s">
        <v>256</v>
      </c>
      <c r="R53" s="32" t="s">
        <v>257</v>
      </c>
      <c r="S53" s="32">
        <v>0</v>
      </c>
      <c r="T53" s="32">
        <v>33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49">
        <v>33</v>
      </c>
      <c r="AF53" s="49" t="s">
        <v>369</v>
      </c>
      <c r="AG53" s="49">
        <v>33</v>
      </c>
    </row>
    <row r="54" spans="1:33" ht="179.4">
      <c r="A54" s="51" t="s">
        <v>88</v>
      </c>
      <c r="B54" s="51"/>
      <c r="C54" s="76" t="s">
        <v>258</v>
      </c>
      <c r="D54" s="32" t="s">
        <v>259</v>
      </c>
      <c r="E54" s="32" t="s">
        <v>260</v>
      </c>
      <c r="F54" s="32" t="s">
        <v>261</v>
      </c>
      <c r="G54" s="32" t="s">
        <v>103</v>
      </c>
      <c r="H54" s="32" t="s">
        <v>114</v>
      </c>
      <c r="I54" s="32" t="s">
        <v>262</v>
      </c>
      <c r="J54" s="60" t="s">
        <v>263</v>
      </c>
      <c r="K54" s="60" t="s">
        <v>264</v>
      </c>
      <c r="L54" s="32" t="s">
        <v>107</v>
      </c>
      <c r="M54" s="32" t="s">
        <v>108</v>
      </c>
      <c r="N54" s="32">
        <v>17</v>
      </c>
      <c r="O54" s="32">
        <v>7</v>
      </c>
      <c r="P54" s="57"/>
      <c r="Q54" s="32" t="s">
        <v>265</v>
      </c>
      <c r="R54" s="32" t="s">
        <v>266</v>
      </c>
      <c r="S54" s="32">
        <v>1</v>
      </c>
      <c r="T54" s="32">
        <v>1</v>
      </c>
      <c r="U54" s="32">
        <v>2</v>
      </c>
      <c r="V54" s="32">
        <v>7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49">
        <v>4</v>
      </c>
      <c r="AF54" s="49" t="s">
        <v>370</v>
      </c>
      <c r="AG54" s="49">
        <v>4</v>
      </c>
    </row>
    <row r="55" spans="1:33" ht="124.2">
      <c r="A55" s="24" t="s">
        <v>88</v>
      </c>
      <c r="B55" s="77" t="s">
        <v>98</v>
      </c>
      <c r="C55" s="46" t="s">
        <v>267</v>
      </c>
      <c r="D55" s="32" t="s">
        <v>268</v>
      </c>
      <c r="E55" s="32" t="s">
        <v>269</v>
      </c>
      <c r="F55" s="32" t="s">
        <v>270</v>
      </c>
      <c r="G55" s="32" t="s">
        <v>103</v>
      </c>
      <c r="H55" s="32" t="s">
        <v>79</v>
      </c>
      <c r="I55" s="32" t="s">
        <v>271</v>
      </c>
      <c r="J55" s="78" t="s">
        <v>272</v>
      </c>
      <c r="K55" s="79" t="s">
        <v>273</v>
      </c>
      <c r="L55" s="32" t="s">
        <v>107</v>
      </c>
      <c r="M55" s="32" t="s">
        <v>108</v>
      </c>
      <c r="N55" s="80" t="s">
        <v>85</v>
      </c>
      <c r="O55" s="32">
        <v>1100</v>
      </c>
      <c r="P55" s="37"/>
      <c r="Q55" s="32" t="s">
        <v>274</v>
      </c>
      <c r="R55" s="32" t="s">
        <v>275</v>
      </c>
      <c r="S55" s="32">
        <v>89</v>
      </c>
      <c r="T55" s="32">
        <v>101</v>
      </c>
      <c r="U55" s="32">
        <v>90</v>
      </c>
      <c r="V55" s="32">
        <v>71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49">
        <v>280</v>
      </c>
      <c r="AF55" s="49" t="s">
        <v>371</v>
      </c>
      <c r="AG55" s="49">
        <v>280</v>
      </c>
    </row>
    <row r="56" spans="1:33" ht="138">
      <c r="A56" s="50" t="s">
        <v>74</v>
      </c>
      <c r="B56" s="81"/>
      <c r="C56" s="52" t="s">
        <v>276</v>
      </c>
      <c r="D56" s="32" t="s">
        <v>277</v>
      </c>
      <c r="E56" s="32" t="s">
        <v>278</v>
      </c>
      <c r="F56" s="32" t="s">
        <v>279</v>
      </c>
      <c r="G56" s="32" t="s">
        <v>103</v>
      </c>
      <c r="H56" s="32" t="s">
        <v>114</v>
      </c>
      <c r="I56" s="32" t="s">
        <v>280</v>
      </c>
      <c r="J56" s="60" t="s">
        <v>281</v>
      </c>
      <c r="K56" s="60" t="s">
        <v>282</v>
      </c>
      <c r="L56" s="32" t="s">
        <v>107</v>
      </c>
      <c r="M56" s="32" t="s">
        <v>108</v>
      </c>
      <c r="N56" s="80" t="s">
        <v>85</v>
      </c>
      <c r="O56" s="32">
        <v>700</v>
      </c>
      <c r="P56" s="37"/>
      <c r="Q56" s="32" t="s">
        <v>283</v>
      </c>
      <c r="R56" s="32" t="s">
        <v>284</v>
      </c>
      <c r="S56" s="32">
        <v>46</v>
      </c>
      <c r="T56" s="32">
        <v>61</v>
      </c>
      <c r="U56" s="32">
        <v>71</v>
      </c>
      <c r="V56" s="32">
        <v>30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49">
        <v>178</v>
      </c>
      <c r="AF56" s="49" t="s">
        <v>372</v>
      </c>
      <c r="AG56" s="49">
        <v>178</v>
      </c>
    </row>
    <row r="57" spans="1:33" ht="96.6">
      <c r="A57" s="73" t="s">
        <v>88</v>
      </c>
      <c r="B57" s="81"/>
      <c r="C57" s="52" t="s">
        <v>285</v>
      </c>
      <c r="D57" s="32" t="s">
        <v>286</v>
      </c>
      <c r="E57" s="32" t="s">
        <v>287</v>
      </c>
      <c r="F57" s="32" t="s">
        <v>288</v>
      </c>
      <c r="G57" s="32" t="s">
        <v>103</v>
      </c>
      <c r="H57" s="32" t="s">
        <v>114</v>
      </c>
      <c r="I57" s="32" t="s">
        <v>289</v>
      </c>
      <c r="J57" s="60" t="s">
        <v>290</v>
      </c>
      <c r="K57" s="60" t="s">
        <v>291</v>
      </c>
      <c r="L57" s="32" t="s">
        <v>107</v>
      </c>
      <c r="M57" s="32" t="s">
        <v>108</v>
      </c>
      <c r="N57" s="80" t="s">
        <v>85</v>
      </c>
      <c r="O57" s="32">
        <v>400</v>
      </c>
      <c r="P57" s="82"/>
      <c r="Q57" s="32" t="s">
        <v>292</v>
      </c>
      <c r="R57" s="32" t="s">
        <v>293</v>
      </c>
      <c r="S57" s="32">
        <v>36</v>
      </c>
      <c r="T57" s="32">
        <v>29</v>
      </c>
      <c r="U57" s="32">
        <v>31</v>
      </c>
      <c r="V57" s="32">
        <v>19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49">
        <v>96</v>
      </c>
      <c r="AF57" s="49" t="s">
        <v>373</v>
      </c>
      <c r="AG57" s="49">
        <v>96</v>
      </c>
    </row>
    <row r="58" spans="1:33" ht="124.2">
      <c r="B58" s="74" t="s">
        <v>294</v>
      </c>
      <c r="C58" s="46" t="s">
        <v>295</v>
      </c>
      <c r="D58" s="32" t="s">
        <v>296</v>
      </c>
      <c r="E58" s="32" t="s">
        <v>297</v>
      </c>
      <c r="F58" s="32" t="s">
        <v>298</v>
      </c>
      <c r="G58" s="32" t="s">
        <v>103</v>
      </c>
      <c r="H58" s="32" t="s">
        <v>79</v>
      </c>
      <c r="I58" s="32" t="s">
        <v>299</v>
      </c>
      <c r="J58" s="60" t="s">
        <v>300</v>
      </c>
      <c r="K58" s="60" t="s">
        <v>301</v>
      </c>
      <c r="L58" s="32" t="s">
        <v>107</v>
      </c>
      <c r="M58" s="32" t="s">
        <v>108</v>
      </c>
      <c r="N58" s="83">
        <v>12</v>
      </c>
      <c r="O58" s="32">
        <v>12</v>
      </c>
      <c r="P58" s="82"/>
      <c r="Q58" s="32" t="s">
        <v>302</v>
      </c>
      <c r="R58" s="32" t="s">
        <v>303</v>
      </c>
      <c r="S58" s="32">
        <v>1</v>
      </c>
      <c r="T58" s="32">
        <v>1</v>
      </c>
      <c r="U58" s="32">
        <v>1</v>
      </c>
      <c r="V58" s="32">
        <v>1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49">
        <v>3</v>
      </c>
      <c r="AF58" s="49" t="s">
        <v>364</v>
      </c>
      <c r="AG58" s="49">
        <v>3</v>
      </c>
    </row>
    <row r="59" spans="1:33" ht="110.4">
      <c r="A59" s="51" t="s">
        <v>74</v>
      </c>
      <c r="B59" s="51"/>
      <c r="C59" s="52" t="s">
        <v>304</v>
      </c>
      <c r="D59" s="32" t="s">
        <v>305</v>
      </c>
      <c r="E59" s="32" t="s">
        <v>306</v>
      </c>
      <c r="F59" s="33" t="s">
        <v>307</v>
      </c>
      <c r="G59" s="32" t="s">
        <v>103</v>
      </c>
      <c r="H59" s="32" t="s">
        <v>114</v>
      </c>
      <c r="I59" s="32" t="s">
        <v>374</v>
      </c>
      <c r="J59" s="60" t="s">
        <v>309</v>
      </c>
      <c r="K59" s="60">
        <v>4</v>
      </c>
      <c r="L59" s="32" t="s">
        <v>183</v>
      </c>
      <c r="M59" s="32" t="s">
        <v>184</v>
      </c>
      <c r="N59" s="80" t="s">
        <v>85</v>
      </c>
      <c r="O59" s="32">
        <v>990</v>
      </c>
      <c r="P59" s="37"/>
      <c r="Q59" s="32" t="s">
        <v>310</v>
      </c>
      <c r="R59" s="32" t="s">
        <v>311</v>
      </c>
      <c r="S59" s="32">
        <v>82</v>
      </c>
      <c r="T59" s="32">
        <v>84</v>
      </c>
      <c r="U59" s="32">
        <v>77</v>
      </c>
      <c r="V59" s="32">
        <v>62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49">
        <v>243</v>
      </c>
      <c r="AF59" s="49">
        <v>60.8</v>
      </c>
      <c r="AG59" s="49">
        <v>81</v>
      </c>
    </row>
    <row r="60" spans="1:33" ht="152.4">
      <c r="A60" s="51" t="s">
        <v>88</v>
      </c>
      <c r="B60" s="51"/>
      <c r="C60" s="52" t="s">
        <v>312</v>
      </c>
      <c r="D60" s="84" t="s">
        <v>313</v>
      </c>
      <c r="E60" s="85" t="s">
        <v>314</v>
      </c>
      <c r="F60" s="86" t="s">
        <v>315</v>
      </c>
      <c r="G60" s="85" t="s">
        <v>103</v>
      </c>
      <c r="H60" s="85" t="s">
        <v>114</v>
      </c>
      <c r="I60" s="86" t="s">
        <v>316</v>
      </c>
      <c r="J60" s="87" t="s">
        <v>317</v>
      </c>
      <c r="K60" s="88" t="s">
        <v>318</v>
      </c>
      <c r="L60" s="86" t="s">
        <v>107</v>
      </c>
      <c r="M60" s="86" t="s">
        <v>108</v>
      </c>
      <c r="N60" s="89" t="s">
        <v>85</v>
      </c>
      <c r="O60" s="86">
        <v>1800</v>
      </c>
      <c r="P60" s="90"/>
      <c r="Q60" s="85" t="s">
        <v>319</v>
      </c>
      <c r="R60" s="85" t="s">
        <v>311</v>
      </c>
      <c r="S60" s="32">
        <v>155</v>
      </c>
      <c r="T60" s="32">
        <v>164</v>
      </c>
      <c r="U60" s="32">
        <v>207</v>
      </c>
      <c r="V60" s="32">
        <v>170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49">
        <v>526</v>
      </c>
      <c r="AF60" s="49" t="s">
        <v>375</v>
      </c>
      <c r="AG60" s="49">
        <v>526</v>
      </c>
    </row>
    <row r="61" spans="1:33" ht="15.6">
      <c r="A61" s="91"/>
      <c r="B61" s="92"/>
      <c r="S61" s="10"/>
    </row>
    <row r="62" spans="1:33" ht="15.6">
      <c r="D62" s="93"/>
      <c r="E62" s="93"/>
      <c r="F62" s="93"/>
      <c r="G62" s="93"/>
      <c r="H62" s="93"/>
    </row>
    <row r="63" spans="1:33" ht="15.6">
      <c r="D63" s="93"/>
      <c r="E63" s="93"/>
      <c r="F63" s="93"/>
      <c r="G63" s="93"/>
      <c r="H63" s="93"/>
    </row>
    <row r="64" spans="1:33" ht="15.6">
      <c r="D64" s="93"/>
      <c r="E64" s="93"/>
      <c r="F64" s="93"/>
      <c r="G64" s="93"/>
      <c r="H64" s="93"/>
    </row>
    <row r="65" spans="4:8" ht="15.6">
      <c r="D65" s="93"/>
      <c r="E65" s="93"/>
      <c r="F65" s="93"/>
      <c r="G65" s="93"/>
      <c r="H65" s="93"/>
    </row>
    <row r="66" spans="4:8" ht="15.6">
      <c r="D66" s="93"/>
      <c r="E66" s="93"/>
      <c r="F66" s="93"/>
      <c r="G66" s="93"/>
      <c r="H66" s="93"/>
    </row>
    <row r="67" spans="4:8" ht="15.6">
      <c r="D67" s="93"/>
      <c r="E67" s="93"/>
      <c r="F67" s="93"/>
      <c r="G67" s="93"/>
      <c r="H67" s="93"/>
    </row>
    <row r="68" spans="4:8" ht="15.6">
      <c r="D68" s="93"/>
      <c r="E68" s="93"/>
      <c r="F68" s="93"/>
      <c r="G68" s="93"/>
      <c r="H68" s="93"/>
    </row>
    <row r="69" spans="4:8" ht="15.6">
      <c r="D69" s="93"/>
      <c r="E69" s="93"/>
      <c r="F69" s="93"/>
      <c r="G69" s="93"/>
      <c r="H69" s="93"/>
    </row>
    <row r="70" spans="4:8" ht="15.6">
      <c r="D70" s="93"/>
      <c r="E70" s="93"/>
      <c r="F70" s="93"/>
      <c r="G70" s="93"/>
      <c r="H70" s="93"/>
    </row>
    <row r="71" spans="4:8" ht="15.6">
      <c r="D71" s="93"/>
      <c r="E71" s="93"/>
      <c r="F71" s="93"/>
      <c r="G71" s="93"/>
      <c r="H71" s="93"/>
    </row>
    <row r="72" spans="4:8" ht="15.6">
      <c r="D72" s="93"/>
      <c r="E72" s="93"/>
      <c r="F72" s="93"/>
      <c r="G72" s="93"/>
      <c r="H72" s="93"/>
    </row>
    <row r="73" spans="4:8" ht="15.6">
      <c r="D73" s="93"/>
      <c r="E73" s="93"/>
      <c r="F73" s="93"/>
      <c r="G73" s="93"/>
      <c r="H73" s="93"/>
    </row>
    <row r="74" spans="4:8" ht="15.6">
      <c r="D74" s="93"/>
      <c r="E74" s="93"/>
      <c r="F74" s="93"/>
      <c r="G74" s="93"/>
      <c r="H74" s="93"/>
    </row>
    <row r="75" spans="4:8" ht="15.6">
      <c r="D75" s="93"/>
      <c r="E75" s="93"/>
      <c r="F75" s="93"/>
      <c r="G75" s="93"/>
      <c r="H75" s="93"/>
    </row>
    <row r="76" spans="4:8" ht="15.6">
      <c r="D76" s="93"/>
      <c r="E76" s="93"/>
      <c r="F76" s="93"/>
      <c r="G76" s="93"/>
      <c r="H76" s="93"/>
    </row>
    <row r="77" spans="4:8" ht="15.6">
      <c r="D77" s="93"/>
      <c r="E77" s="93"/>
      <c r="F77" s="93"/>
      <c r="G77" s="93"/>
      <c r="H77" s="93"/>
    </row>
    <row r="78" spans="4:8" ht="15.6">
      <c r="D78" s="93"/>
      <c r="E78" s="93"/>
      <c r="F78" s="93"/>
      <c r="G78" s="93"/>
      <c r="H78" s="93"/>
    </row>
    <row r="79" spans="4:8" ht="15.6">
      <c r="D79" s="93"/>
      <c r="E79" s="93"/>
      <c r="F79" s="93"/>
      <c r="G79" s="93"/>
      <c r="H79" s="93"/>
    </row>
    <row r="80" spans="4:8" ht="15.6">
      <c r="D80" s="93"/>
      <c r="E80" s="93"/>
      <c r="F80" s="93"/>
      <c r="G80" s="93"/>
      <c r="H80" s="93"/>
    </row>
    <row r="81" spans="4:8" ht="15.6">
      <c r="D81" s="93"/>
      <c r="E81" s="93"/>
      <c r="F81" s="93"/>
      <c r="G81" s="93"/>
      <c r="H81" s="93"/>
    </row>
    <row r="82" spans="4:8" ht="15.6">
      <c r="D82" s="93"/>
      <c r="E82" s="93"/>
      <c r="F82" s="93"/>
      <c r="G82" s="93"/>
      <c r="H82" s="93"/>
    </row>
    <row r="83" spans="4:8" ht="15.6">
      <c r="D83" s="93"/>
      <c r="E83" s="93"/>
      <c r="F83" s="93"/>
      <c r="G83" s="93"/>
      <c r="H83" s="93"/>
    </row>
    <row r="84" spans="4:8" ht="15.6">
      <c r="D84" s="93"/>
      <c r="E84" s="93"/>
      <c r="F84" s="93"/>
      <c r="G84" s="93"/>
      <c r="H84" s="93"/>
    </row>
    <row r="85" spans="4:8" ht="15.6">
      <c r="D85" s="93"/>
      <c r="E85" s="93"/>
      <c r="F85" s="93"/>
      <c r="G85" s="93"/>
      <c r="H85" s="93"/>
    </row>
    <row r="86" spans="4:8" ht="15.6">
      <c r="D86" s="93"/>
      <c r="E86" s="93"/>
      <c r="F86" s="93"/>
      <c r="G86" s="93"/>
      <c r="H86" s="93"/>
    </row>
    <row r="87" spans="4:8" ht="15.6">
      <c r="D87" s="93"/>
      <c r="E87" s="93"/>
      <c r="F87" s="93"/>
      <c r="G87" s="93"/>
      <c r="H87" s="93"/>
    </row>
    <row r="88" spans="4:8" ht="15.6">
      <c r="D88" s="93"/>
      <c r="E88" s="93"/>
      <c r="F88" s="93"/>
      <c r="G88" s="93"/>
      <c r="H88" s="93"/>
    </row>
    <row r="89" spans="4:8" ht="15.6">
      <c r="D89" s="93"/>
      <c r="E89" s="93"/>
      <c r="F89" s="93"/>
      <c r="G89" s="93"/>
      <c r="H89" s="93"/>
    </row>
    <row r="90" spans="4:8" ht="15.6">
      <c r="D90" s="93"/>
      <c r="E90" s="93"/>
      <c r="F90" s="93"/>
      <c r="G90" s="93"/>
      <c r="H90" s="93"/>
    </row>
    <row r="91" spans="4:8" ht="15.6">
      <c r="D91" s="93"/>
      <c r="E91" s="93"/>
      <c r="F91" s="93"/>
      <c r="G91" s="93"/>
      <c r="H91" s="93"/>
    </row>
    <row r="92" spans="4:8" ht="15.6">
      <c r="D92" s="93"/>
      <c r="E92" s="93"/>
      <c r="F92" s="93"/>
      <c r="G92" s="93"/>
      <c r="H92" s="93"/>
    </row>
    <row r="93" spans="4:8" ht="15.6">
      <c r="D93" s="93"/>
      <c r="E93" s="93"/>
      <c r="F93" s="93"/>
      <c r="G93" s="93"/>
      <c r="H93" s="93"/>
    </row>
    <row r="94" spans="4:8" ht="15.6">
      <c r="D94" s="93"/>
      <c r="E94" s="93"/>
      <c r="F94" s="93"/>
      <c r="G94" s="93"/>
      <c r="H94" s="93"/>
    </row>
    <row r="95" spans="4:8" ht="15.6">
      <c r="D95" s="93"/>
      <c r="E95" s="93"/>
      <c r="F95" s="93"/>
      <c r="G95" s="93"/>
      <c r="H95" s="93"/>
    </row>
    <row r="96" spans="4:8" ht="15.6">
      <c r="D96" s="93"/>
      <c r="E96" s="93"/>
      <c r="F96" s="93"/>
      <c r="G96" s="93"/>
      <c r="H96" s="93"/>
    </row>
    <row r="97" spans="4:8" ht="15.6">
      <c r="D97" s="93"/>
      <c r="E97" s="93"/>
      <c r="F97" s="93"/>
      <c r="G97" s="93"/>
      <c r="H97" s="93"/>
    </row>
    <row r="98" spans="4:8" ht="15.6">
      <c r="D98" s="93"/>
      <c r="E98" s="93"/>
      <c r="F98" s="93"/>
      <c r="G98" s="93"/>
      <c r="H98" s="93"/>
    </row>
    <row r="99" spans="4:8" ht="15.6">
      <c r="D99" s="93"/>
      <c r="E99" s="93"/>
      <c r="F99" s="93"/>
      <c r="G99" s="93"/>
      <c r="H99" s="93"/>
    </row>
    <row r="100" spans="4:8" ht="15.6">
      <c r="D100" s="93"/>
      <c r="E100" s="93"/>
      <c r="F100" s="93"/>
      <c r="G100" s="93"/>
      <c r="H100" s="93"/>
    </row>
    <row r="101" spans="4:8" ht="15.6">
      <c r="D101" s="93"/>
      <c r="E101" s="93"/>
      <c r="F101" s="93"/>
      <c r="G101" s="93"/>
      <c r="H101" s="93"/>
    </row>
    <row r="102" spans="4:8" ht="15.6">
      <c r="D102" s="93"/>
      <c r="E102" s="93"/>
      <c r="F102" s="93"/>
      <c r="G102" s="93"/>
      <c r="H102" s="93"/>
    </row>
    <row r="103" spans="4:8" ht="15.6">
      <c r="D103" s="93"/>
      <c r="E103" s="93"/>
      <c r="F103" s="93"/>
      <c r="G103" s="93"/>
      <c r="H103" s="93"/>
    </row>
    <row r="104" spans="4:8" ht="15.6">
      <c r="D104" s="93"/>
      <c r="E104" s="93"/>
      <c r="F104" s="93"/>
      <c r="G104" s="93"/>
      <c r="H104" s="93"/>
    </row>
    <row r="105" spans="4:8" ht="15.6">
      <c r="D105" s="93"/>
      <c r="E105" s="93"/>
      <c r="F105" s="93"/>
      <c r="G105" s="93"/>
      <c r="H105" s="93"/>
    </row>
    <row r="106" spans="4:8" ht="15.6">
      <c r="D106" s="93"/>
      <c r="E106" s="93"/>
      <c r="F106" s="93"/>
      <c r="G106" s="93"/>
      <c r="H106" s="93"/>
    </row>
    <row r="107" spans="4:8" ht="15.6">
      <c r="D107" s="93"/>
      <c r="E107" s="93"/>
      <c r="F107" s="93"/>
      <c r="G107" s="93"/>
      <c r="H107" s="93"/>
    </row>
    <row r="108" spans="4:8" ht="15.6">
      <c r="D108" s="93"/>
      <c r="E108" s="93"/>
      <c r="F108" s="93"/>
      <c r="G108" s="93"/>
      <c r="H108" s="93"/>
    </row>
    <row r="109" spans="4:8" ht="15.6">
      <c r="D109" s="93"/>
      <c r="E109" s="93"/>
      <c r="F109" s="93"/>
      <c r="G109" s="93"/>
      <c r="H109" s="93"/>
    </row>
    <row r="110" spans="4:8" ht="15.6">
      <c r="D110" s="93"/>
      <c r="E110" s="93"/>
      <c r="F110" s="93"/>
      <c r="G110" s="93"/>
      <c r="H110" s="93"/>
    </row>
    <row r="111" spans="4:8" ht="15.6">
      <c r="D111" s="93"/>
      <c r="E111" s="93"/>
      <c r="F111" s="93"/>
      <c r="G111" s="93"/>
      <c r="H111" s="93"/>
    </row>
    <row r="112" spans="4:8" ht="15.6">
      <c r="D112" s="93"/>
      <c r="E112" s="93"/>
      <c r="F112" s="93"/>
      <c r="G112" s="93"/>
      <c r="H112" s="93"/>
    </row>
    <row r="113" spans="3:20" ht="15.6">
      <c r="D113" s="93"/>
      <c r="E113" s="93"/>
      <c r="F113" s="93"/>
      <c r="G113" s="93"/>
      <c r="H113" s="93"/>
    </row>
    <row r="114" spans="3:20" ht="15.6">
      <c r="D114" s="93"/>
      <c r="E114" s="93"/>
      <c r="F114" s="93"/>
      <c r="G114" s="93"/>
      <c r="H114" s="93"/>
    </row>
    <row r="115" spans="3:20" ht="15.6">
      <c r="D115" s="93"/>
      <c r="E115" s="93"/>
      <c r="F115" s="93"/>
      <c r="G115" s="93"/>
      <c r="H115" s="93"/>
    </row>
    <row r="116" spans="3:20" ht="15.6">
      <c r="D116" s="93"/>
      <c r="E116" s="93"/>
      <c r="F116" s="93"/>
      <c r="G116" s="93"/>
      <c r="H116" s="93"/>
    </row>
    <row r="117" spans="3:20" ht="15.6">
      <c r="D117" s="93"/>
      <c r="E117" s="93"/>
      <c r="F117" s="93"/>
      <c r="G117" s="93"/>
      <c r="H117" s="93"/>
    </row>
    <row r="118" spans="3:20" ht="15.6">
      <c r="D118" s="93"/>
      <c r="E118" s="93"/>
      <c r="F118" s="93"/>
      <c r="G118" s="93"/>
      <c r="H118" s="93"/>
    </row>
    <row r="119" spans="3:20" ht="15.6">
      <c r="D119" s="93"/>
      <c r="E119" s="93"/>
      <c r="F119" s="93"/>
      <c r="G119" s="93"/>
      <c r="H119" s="93"/>
    </row>
    <row r="120" spans="3:20" ht="15.6">
      <c r="D120" s="93"/>
      <c r="E120" s="93"/>
      <c r="F120" s="93"/>
      <c r="G120" s="93"/>
      <c r="H120" s="93"/>
    </row>
    <row r="121" spans="3:20" ht="15.6">
      <c r="D121" s="93"/>
      <c r="E121" s="93"/>
      <c r="F121" s="93"/>
      <c r="G121" s="93"/>
      <c r="H121" s="93"/>
    </row>
    <row r="122" spans="3:20" ht="15.6">
      <c r="D122" s="93"/>
      <c r="E122" s="93"/>
      <c r="F122" s="93"/>
      <c r="G122" s="93"/>
      <c r="H122" s="93"/>
    </row>
    <row r="123" spans="3:20" ht="15.6">
      <c r="D123" s="93"/>
      <c r="E123" s="93"/>
      <c r="F123" s="93"/>
      <c r="G123" s="93"/>
      <c r="H123" s="93"/>
    </row>
    <row r="124" spans="3:20" ht="15.6">
      <c r="D124" s="93"/>
      <c r="E124" s="93"/>
      <c r="F124" s="93"/>
      <c r="G124" s="93"/>
      <c r="H124" s="93"/>
    </row>
    <row r="125" spans="3:20" ht="15.6">
      <c r="D125" s="93"/>
      <c r="E125" s="93"/>
      <c r="F125" s="93"/>
      <c r="G125" s="93"/>
      <c r="H125" s="93"/>
    </row>
    <row r="126" spans="3:20" ht="15.6">
      <c r="D126" s="93"/>
      <c r="E126" s="93"/>
      <c r="F126" s="93"/>
      <c r="G126" s="93"/>
      <c r="H126" s="93"/>
    </row>
    <row r="127" spans="3:20" ht="15.6">
      <c r="C127" s="94" t="s">
        <v>320</v>
      </c>
      <c r="D127" s="208"/>
      <c r="E127" s="209"/>
      <c r="F127" s="209"/>
      <c r="G127" s="210"/>
      <c r="H127" s="13" t="s">
        <v>7</v>
      </c>
      <c r="I127" s="213" t="s">
        <v>321</v>
      </c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4"/>
    </row>
    <row r="128" spans="3:20" ht="15.6">
      <c r="C128" s="11" t="s">
        <v>322</v>
      </c>
      <c r="D128" s="206"/>
      <c r="E128" s="203"/>
      <c r="F128" s="203"/>
      <c r="G128" s="204"/>
      <c r="H128" s="13" t="s">
        <v>7</v>
      </c>
      <c r="I128" s="95" t="s">
        <v>323</v>
      </c>
      <c r="J128" s="96" t="s">
        <v>324</v>
      </c>
      <c r="K128" s="96" t="s">
        <v>325</v>
      </c>
      <c r="L128" s="96" t="s">
        <v>326</v>
      </c>
      <c r="M128" s="96" t="s">
        <v>327</v>
      </c>
      <c r="N128" s="96" t="s">
        <v>328</v>
      </c>
      <c r="O128" s="96" t="s">
        <v>329</v>
      </c>
      <c r="P128" s="96" t="s">
        <v>330</v>
      </c>
      <c r="Q128" s="96" t="s">
        <v>331</v>
      </c>
      <c r="R128" s="96" t="s">
        <v>332</v>
      </c>
      <c r="S128" s="96" t="s">
        <v>333</v>
      </c>
      <c r="T128" s="96" t="s">
        <v>334</v>
      </c>
    </row>
    <row r="129" spans="3:20" ht="15.6">
      <c r="C129" s="11" t="s">
        <v>335</v>
      </c>
      <c r="D129" s="206"/>
      <c r="E129" s="203"/>
      <c r="F129" s="203"/>
      <c r="G129" s="204"/>
      <c r="H129" s="13" t="s">
        <v>7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</row>
    <row r="130" spans="3:20" ht="15.6">
      <c r="C130" s="52" t="s">
        <v>336</v>
      </c>
      <c r="D130" s="211"/>
      <c r="E130" s="203"/>
      <c r="F130" s="203"/>
      <c r="G130" s="204"/>
      <c r="H130" s="93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3:20" ht="15.6">
      <c r="C131" s="11" t="s">
        <v>337</v>
      </c>
      <c r="D131" s="212"/>
      <c r="E131" s="203"/>
      <c r="F131" s="203"/>
      <c r="G131" s="204"/>
      <c r="H131" s="13" t="s">
        <v>7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3:20" ht="15.6">
      <c r="C132" s="11" t="s">
        <v>338</v>
      </c>
      <c r="D132" s="206"/>
      <c r="E132" s="203"/>
      <c r="F132" s="203"/>
      <c r="G132" s="204"/>
      <c r="H132" s="93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3:20" ht="31.2">
      <c r="C133" s="11" t="s">
        <v>339</v>
      </c>
      <c r="D133" s="207"/>
      <c r="E133" s="203"/>
      <c r="F133" s="203"/>
      <c r="G133" s="204"/>
      <c r="H133" s="93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3:20" ht="15.6">
      <c r="D134" s="93"/>
      <c r="E134" s="93"/>
      <c r="F134" s="93"/>
      <c r="G134" s="93"/>
      <c r="H134" s="93"/>
    </row>
    <row r="135" spans="3:20" ht="15.6">
      <c r="D135" s="93"/>
      <c r="E135" s="93"/>
      <c r="F135" s="93"/>
      <c r="G135" s="93"/>
      <c r="H135" s="93"/>
    </row>
    <row r="136" spans="3:20" ht="15.6">
      <c r="D136" s="93"/>
      <c r="E136" s="93"/>
      <c r="F136" s="93"/>
      <c r="G136" s="93"/>
      <c r="H136" s="93"/>
    </row>
    <row r="137" spans="3:20" ht="15.6">
      <c r="D137" s="93"/>
      <c r="E137" s="93"/>
      <c r="F137" s="93"/>
      <c r="G137" s="93"/>
      <c r="H137" s="93"/>
    </row>
    <row r="138" spans="3:20" ht="15.6">
      <c r="D138" s="93"/>
      <c r="E138" s="93"/>
      <c r="F138" s="93"/>
      <c r="G138" s="93"/>
      <c r="H138" s="93"/>
    </row>
    <row r="139" spans="3:20" ht="15.6">
      <c r="D139" s="93"/>
      <c r="E139" s="93"/>
      <c r="F139" s="93"/>
      <c r="G139" s="93"/>
      <c r="H139" s="93"/>
    </row>
    <row r="140" spans="3:20" ht="15.6">
      <c r="D140" s="93"/>
      <c r="E140" s="93"/>
      <c r="F140" s="93"/>
      <c r="G140" s="93"/>
      <c r="H140" s="93"/>
    </row>
    <row r="141" spans="3:20" ht="15.6">
      <c r="D141" s="93"/>
      <c r="E141" s="93"/>
      <c r="F141" s="93"/>
      <c r="G141" s="93"/>
      <c r="H141" s="93"/>
    </row>
    <row r="142" spans="3:20" ht="15.6">
      <c r="D142" s="93"/>
      <c r="E142" s="93"/>
      <c r="F142" s="93"/>
      <c r="G142" s="93"/>
      <c r="H142" s="93"/>
    </row>
    <row r="143" spans="3:20" ht="15.6">
      <c r="D143" s="93"/>
      <c r="E143" s="93"/>
      <c r="F143" s="93"/>
      <c r="G143" s="93"/>
      <c r="H143" s="93"/>
    </row>
    <row r="144" spans="3:20" ht="15.6">
      <c r="D144" s="93"/>
      <c r="E144" s="93"/>
      <c r="F144" s="93"/>
      <c r="G144" s="93"/>
      <c r="H144" s="93"/>
    </row>
    <row r="145" spans="4:8" ht="15.6">
      <c r="D145" s="93"/>
      <c r="E145" s="93"/>
      <c r="F145" s="93"/>
      <c r="G145" s="93"/>
      <c r="H145" s="93"/>
    </row>
    <row r="146" spans="4:8" ht="15.6">
      <c r="D146" s="93"/>
      <c r="E146" s="93"/>
      <c r="F146" s="93"/>
      <c r="G146" s="93"/>
      <c r="H146" s="93"/>
    </row>
    <row r="147" spans="4:8" ht="15.6">
      <c r="D147" s="93"/>
      <c r="E147" s="93"/>
      <c r="F147" s="93"/>
      <c r="G147" s="93"/>
      <c r="H147" s="93"/>
    </row>
    <row r="148" spans="4:8" ht="15.6">
      <c r="D148" s="93"/>
      <c r="E148" s="93"/>
      <c r="F148" s="93"/>
      <c r="G148" s="93"/>
      <c r="H148" s="93"/>
    </row>
    <row r="149" spans="4:8" ht="15.6">
      <c r="D149" s="93"/>
      <c r="E149" s="93"/>
      <c r="F149" s="93"/>
      <c r="G149" s="93"/>
      <c r="H149" s="93"/>
    </row>
    <row r="150" spans="4:8" ht="15.6">
      <c r="D150" s="93"/>
      <c r="E150" s="93"/>
      <c r="F150" s="93"/>
      <c r="G150" s="93"/>
      <c r="H150" s="93"/>
    </row>
    <row r="151" spans="4:8" ht="15.6">
      <c r="D151" s="93"/>
      <c r="E151" s="93"/>
      <c r="F151" s="93"/>
      <c r="G151" s="93"/>
      <c r="H151" s="93"/>
    </row>
    <row r="152" spans="4:8" ht="15.6">
      <c r="D152" s="93"/>
      <c r="E152" s="93"/>
      <c r="F152" s="93"/>
      <c r="G152" s="93"/>
      <c r="H152" s="93"/>
    </row>
    <row r="153" spans="4:8" ht="15.6">
      <c r="D153" s="93"/>
      <c r="E153" s="93"/>
      <c r="F153" s="93"/>
      <c r="G153" s="93"/>
      <c r="H153" s="93"/>
    </row>
    <row r="154" spans="4:8" ht="15.6">
      <c r="D154" s="93"/>
      <c r="E154" s="93"/>
      <c r="F154" s="93"/>
      <c r="G154" s="93"/>
      <c r="H154" s="93"/>
    </row>
    <row r="155" spans="4:8" ht="15.6">
      <c r="D155" s="93"/>
      <c r="E155" s="93"/>
      <c r="F155" s="93"/>
      <c r="G155" s="93"/>
      <c r="H155" s="93"/>
    </row>
    <row r="156" spans="4:8" ht="15.6">
      <c r="D156" s="93"/>
      <c r="E156" s="93"/>
      <c r="F156" s="93"/>
      <c r="G156" s="93"/>
      <c r="H156" s="93"/>
    </row>
    <row r="157" spans="4:8" ht="15.6">
      <c r="D157" s="93"/>
      <c r="E157" s="93"/>
      <c r="F157" s="93"/>
      <c r="G157" s="93"/>
      <c r="H157" s="93"/>
    </row>
    <row r="158" spans="4:8" ht="15.6">
      <c r="D158" s="93"/>
      <c r="E158" s="93"/>
      <c r="F158" s="93"/>
      <c r="G158" s="93"/>
      <c r="H158" s="93"/>
    </row>
    <row r="159" spans="4:8" ht="15.6">
      <c r="D159" s="93"/>
      <c r="E159" s="93"/>
      <c r="F159" s="93"/>
      <c r="G159" s="93"/>
      <c r="H159" s="93"/>
    </row>
    <row r="160" spans="4:8" ht="15.6">
      <c r="D160" s="93"/>
      <c r="E160" s="93"/>
      <c r="F160" s="93"/>
      <c r="G160" s="93"/>
      <c r="H160" s="93"/>
    </row>
    <row r="161" spans="4:8" ht="15.6">
      <c r="D161" s="93"/>
      <c r="E161" s="93"/>
      <c r="F161" s="93"/>
      <c r="G161" s="93"/>
      <c r="H161" s="93"/>
    </row>
    <row r="162" spans="4:8" ht="15.6">
      <c r="D162" s="93"/>
      <c r="E162" s="93"/>
      <c r="F162" s="93"/>
      <c r="G162" s="93"/>
      <c r="H162" s="93"/>
    </row>
    <row r="163" spans="4:8" ht="15.6">
      <c r="D163" s="93"/>
      <c r="E163" s="93"/>
      <c r="F163" s="93"/>
      <c r="G163" s="93"/>
      <c r="H163" s="93"/>
    </row>
    <row r="164" spans="4:8" ht="15.6">
      <c r="D164" s="93"/>
      <c r="E164" s="93"/>
      <c r="F164" s="93"/>
      <c r="G164" s="93"/>
      <c r="H164" s="93"/>
    </row>
    <row r="165" spans="4:8" ht="15.6">
      <c r="D165" s="93"/>
      <c r="E165" s="93"/>
      <c r="F165" s="93"/>
      <c r="G165" s="93"/>
      <c r="H165" s="93"/>
    </row>
    <row r="166" spans="4:8" ht="15.6">
      <c r="D166" s="93"/>
      <c r="E166" s="93"/>
      <c r="F166" s="93"/>
      <c r="G166" s="93"/>
      <c r="H166" s="93"/>
    </row>
    <row r="167" spans="4:8" ht="15.6">
      <c r="D167" s="93"/>
      <c r="E167" s="93"/>
      <c r="F167" s="93"/>
      <c r="G167" s="93"/>
      <c r="H167" s="93"/>
    </row>
    <row r="168" spans="4:8" ht="15.6">
      <c r="D168" s="93"/>
      <c r="E168" s="93"/>
      <c r="F168" s="93"/>
      <c r="G168" s="93"/>
      <c r="H168" s="93"/>
    </row>
    <row r="169" spans="4:8" ht="15.6">
      <c r="D169" s="93"/>
      <c r="E169" s="93"/>
      <c r="F169" s="93"/>
      <c r="G169" s="93"/>
      <c r="H169" s="93"/>
    </row>
    <row r="170" spans="4:8" ht="15.6">
      <c r="D170" s="93"/>
      <c r="E170" s="93"/>
      <c r="F170" s="93"/>
      <c r="G170" s="93"/>
      <c r="H170" s="93"/>
    </row>
    <row r="171" spans="4:8" ht="15.6">
      <c r="D171" s="93"/>
      <c r="E171" s="93"/>
      <c r="F171" s="93"/>
      <c r="G171" s="93"/>
      <c r="H171" s="93"/>
    </row>
    <row r="172" spans="4:8" ht="15.6">
      <c r="D172" s="93"/>
      <c r="E172" s="93"/>
      <c r="F172" s="93"/>
      <c r="G172" s="93"/>
      <c r="H172" s="93"/>
    </row>
    <row r="173" spans="4:8" ht="15.6">
      <c r="D173" s="93"/>
      <c r="E173" s="93"/>
      <c r="F173" s="93"/>
      <c r="G173" s="93"/>
      <c r="H173" s="93"/>
    </row>
    <row r="174" spans="4:8" ht="15.6">
      <c r="D174" s="93"/>
      <c r="E174" s="93"/>
      <c r="F174" s="93"/>
      <c r="G174" s="93"/>
      <c r="H174" s="93"/>
    </row>
    <row r="175" spans="4:8" ht="15.6">
      <c r="D175" s="93"/>
      <c r="E175" s="93"/>
      <c r="F175" s="93"/>
      <c r="G175" s="93"/>
      <c r="H175" s="93"/>
    </row>
    <row r="176" spans="4:8" ht="15.6">
      <c r="D176" s="93"/>
      <c r="E176" s="93"/>
      <c r="F176" s="93"/>
      <c r="G176" s="93"/>
      <c r="H176" s="93"/>
    </row>
    <row r="177" spans="4:8" ht="15.6">
      <c r="D177" s="93"/>
      <c r="E177" s="93"/>
      <c r="F177" s="93"/>
      <c r="G177" s="93"/>
      <c r="H177" s="93"/>
    </row>
    <row r="178" spans="4:8" ht="15.6">
      <c r="D178" s="93"/>
      <c r="E178" s="93"/>
      <c r="F178" s="93"/>
      <c r="G178" s="93"/>
      <c r="H178" s="93"/>
    </row>
    <row r="179" spans="4:8" ht="15.6">
      <c r="D179" s="93"/>
      <c r="E179" s="93"/>
      <c r="F179" s="93"/>
      <c r="G179" s="93"/>
      <c r="H179" s="93"/>
    </row>
    <row r="180" spans="4:8" ht="15.6">
      <c r="D180" s="93"/>
      <c r="E180" s="93"/>
      <c r="F180" s="93"/>
      <c r="G180" s="93"/>
      <c r="H180" s="93"/>
    </row>
    <row r="181" spans="4:8" ht="15.6">
      <c r="D181" s="93"/>
      <c r="E181" s="93"/>
      <c r="F181" s="93"/>
      <c r="G181" s="93"/>
      <c r="H181" s="93"/>
    </row>
    <row r="182" spans="4:8" ht="15.6">
      <c r="D182" s="93"/>
      <c r="E182" s="93"/>
      <c r="F182" s="93"/>
      <c r="G182" s="93"/>
      <c r="H182" s="93"/>
    </row>
    <row r="183" spans="4:8" ht="15.6">
      <c r="D183" s="93"/>
      <c r="E183" s="93"/>
      <c r="F183" s="93"/>
      <c r="G183" s="93"/>
      <c r="H183" s="93"/>
    </row>
    <row r="184" spans="4:8" ht="15.6">
      <c r="D184" s="93"/>
      <c r="E184" s="93"/>
      <c r="F184" s="93"/>
      <c r="G184" s="93"/>
      <c r="H184" s="93"/>
    </row>
    <row r="185" spans="4:8" ht="15.6">
      <c r="D185" s="93"/>
      <c r="E185" s="93"/>
      <c r="F185" s="93"/>
      <c r="G185" s="93"/>
      <c r="H185" s="93"/>
    </row>
    <row r="186" spans="4:8" ht="15.6">
      <c r="D186" s="93"/>
      <c r="E186" s="93"/>
      <c r="F186" s="93"/>
      <c r="G186" s="93"/>
      <c r="H186" s="93"/>
    </row>
    <row r="187" spans="4:8" ht="15.6">
      <c r="D187" s="93"/>
      <c r="E187" s="93"/>
      <c r="F187" s="93"/>
      <c r="G187" s="93"/>
      <c r="H187" s="93"/>
    </row>
    <row r="188" spans="4:8" ht="15.6">
      <c r="D188" s="93"/>
      <c r="E188" s="93"/>
      <c r="F188" s="93"/>
      <c r="G188" s="93"/>
      <c r="H188" s="93"/>
    </row>
    <row r="189" spans="4:8" ht="15.6">
      <c r="D189" s="93"/>
      <c r="E189" s="93"/>
      <c r="F189" s="93"/>
      <c r="G189" s="93"/>
      <c r="H189" s="93"/>
    </row>
    <row r="190" spans="4:8" ht="15.6">
      <c r="D190" s="93"/>
      <c r="E190" s="93"/>
      <c r="F190" s="93"/>
      <c r="G190" s="93"/>
      <c r="H190" s="93"/>
    </row>
    <row r="191" spans="4:8" ht="15.6">
      <c r="D191" s="93"/>
      <c r="E191" s="93"/>
      <c r="F191" s="93"/>
      <c r="G191" s="93"/>
      <c r="H191" s="93"/>
    </row>
    <row r="192" spans="4:8" ht="15.6">
      <c r="D192" s="93"/>
      <c r="E192" s="93"/>
      <c r="F192" s="93"/>
      <c r="G192" s="93"/>
      <c r="H192" s="93"/>
    </row>
    <row r="193" spans="4:8" ht="15.6">
      <c r="D193" s="93"/>
      <c r="E193" s="93"/>
      <c r="F193" s="93"/>
      <c r="G193" s="93"/>
      <c r="H193" s="93"/>
    </row>
    <row r="194" spans="4:8" ht="15.6">
      <c r="D194" s="93"/>
      <c r="E194" s="93"/>
      <c r="F194" s="93"/>
      <c r="G194" s="93"/>
      <c r="H194" s="93"/>
    </row>
    <row r="195" spans="4:8" ht="15.6">
      <c r="D195" s="93"/>
      <c r="E195" s="93"/>
      <c r="F195" s="93"/>
      <c r="G195" s="93"/>
      <c r="H195" s="93"/>
    </row>
    <row r="196" spans="4:8" ht="15.6">
      <c r="D196" s="93"/>
      <c r="E196" s="93"/>
      <c r="F196" s="93"/>
      <c r="G196" s="93"/>
      <c r="H196" s="93"/>
    </row>
    <row r="197" spans="4:8" ht="15.6">
      <c r="D197" s="93"/>
      <c r="E197" s="93"/>
      <c r="F197" s="93"/>
      <c r="G197" s="93"/>
      <c r="H197" s="93"/>
    </row>
    <row r="198" spans="4:8" ht="15.6">
      <c r="D198" s="93"/>
      <c r="E198" s="93"/>
      <c r="F198" s="93"/>
      <c r="G198" s="93"/>
      <c r="H198" s="93"/>
    </row>
    <row r="199" spans="4:8" ht="15.6">
      <c r="D199" s="93"/>
      <c r="E199" s="93"/>
      <c r="F199" s="93"/>
      <c r="G199" s="93"/>
      <c r="H199" s="93"/>
    </row>
    <row r="200" spans="4:8" ht="15.6">
      <c r="D200" s="93"/>
      <c r="E200" s="93"/>
      <c r="F200" s="93"/>
      <c r="G200" s="93"/>
      <c r="H200" s="93"/>
    </row>
    <row r="201" spans="4:8" ht="15.6">
      <c r="D201" s="93"/>
      <c r="E201" s="93"/>
      <c r="F201" s="93"/>
      <c r="G201" s="93"/>
      <c r="H201" s="93"/>
    </row>
    <row r="202" spans="4:8" ht="15.6">
      <c r="D202" s="93"/>
      <c r="E202" s="93"/>
      <c r="F202" s="93"/>
      <c r="G202" s="93"/>
      <c r="H202" s="93"/>
    </row>
    <row r="203" spans="4:8" ht="15.6">
      <c r="D203" s="93"/>
      <c r="E203" s="93"/>
      <c r="F203" s="93"/>
      <c r="G203" s="93"/>
      <c r="H203" s="93"/>
    </row>
    <row r="204" spans="4:8" ht="15.6">
      <c r="D204" s="93"/>
      <c r="E204" s="93"/>
      <c r="F204" s="93"/>
      <c r="G204" s="93"/>
      <c r="H204" s="93"/>
    </row>
    <row r="205" spans="4:8" ht="15.6">
      <c r="D205" s="93"/>
      <c r="E205" s="93"/>
      <c r="F205" s="93"/>
      <c r="G205" s="93"/>
      <c r="H205" s="93"/>
    </row>
    <row r="206" spans="4:8" ht="15.6">
      <c r="D206" s="93"/>
      <c r="E206" s="93"/>
      <c r="F206" s="93"/>
      <c r="G206" s="93"/>
      <c r="H206" s="93"/>
    </row>
    <row r="207" spans="4:8" ht="15.6">
      <c r="D207" s="93"/>
      <c r="E207" s="93"/>
      <c r="F207" s="93"/>
      <c r="G207" s="93"/>
      <c r="H207" s="93"/>
    </row>
    <row r="208" spans="4:8" ht="15.6">
      <c r="D208" s="93"/>
      <c r="E208" s="93"/>
      <c r="F208" s="93"/>
      <c r="G208" s="93"/>
      <c r="H208" s="93"/>
    </row>
    <row r="209" spans="4:8" ht="15.6">
      <c r="D209" s="93"/>
      <c r="E209" s="93"/>
      <c r="F209" s="93"/>
      <c r="G209" s="93"/>
      <c r="H209" s="93"/>
    </row>
    <row r="210" spans="4:8" ht="15.6">
      <c r="D210" s="93"/>
      <c r="E210" s="93"/>
      <c r="F210" s="93"/>
      <c r="G210" s="93"/>
      <c r="H210" s="93"/>
    </row>
    <row r="211" spans="4:8" ht="15.6">
      <c r="D211" s="93"/>
      <c r="E211" s="93"/>
      <c r="F211" s="93"/>
      <c r="G211" s="93"/>
      <c r="H211" s="93"/>
    </row>
    <row r="212" spans="4:8" ht="15.6">
      <c r="D212" s="93"/>
      <c r="E212" s="93"/>
      <c r="F212" s="93"/>
      <c r="G212" s="93"/>
      <c r="H212" s="93"/>
    </row>
    <row r="213" spans="4:8" ht="15.6">
      <c r="D213" s="93"/>
      <c r="E213" s="93"/>
      <c r="F213" s="93"/>
      <c r="G213" s="93"/>
      <c r="H213" s="93"/>
    </row>
    <row r="214" spans="4:8" ht="15.6">
      <c r="D214" s="93"/>
      <c r="E214" s="93"/>
      <c r="F214" s="93"/>
      <c r="G214" s="93"/>
      <c r="H214" s="93"/>
    </row>
    <row r="215" spans="4:8" ht="15.6">
      <c r="D215" s="93"/>
      <c r="E215" s="93"/>
      <c r="F215" s="93"/>
      <c r="G215" s="93"/>
      <c r="H215" s="93"/>
    </row>
    <row r="216" spans="4:8" ht="15.6">
      <c r="D216" s="93"/>
      <c r="E216" s="93"/>
      <c r="F216" s="93"/>
      <c r="G216" s="93"/>
      <c r="H216" s="93"/>
    </row>
    <row r="217" spans="4:8" ht="15.6">
      <c r="D217" s="93"/>
      <c r="E217" s="93"/>
      <c r="F217" s="93"/>
      <c r="G217" s="93"/>
      <c r="H217" s="93"/>
    </row>
    <row r="218" spans="4:8" ht="15.6">
      <c r="D218" s="93"/>
      <c r="E218" s="93"/>
      <c r="F218" s="93"/>
      <c r="G218" s="93"/>
      <c r="H218" s="93"/>
    </row>
    <row r="219" spans="4:8" ht="15.6">
      <c r="D219" s="93"/>
      <c r="E219" s="93"/>
      <c r="F219" s="93"/>
      <c r="G219" s="93"/>
      <c r="H219" s="93"/>
    </row>
    <row r="220" spans="4:8" ht="15.6">
      <c r="D220" s="93"/>
      <c r="E220" s="93"/>
      <c r="F220" s="93"/>
      <c r="G220" s="93"/>
      <c r="H220" s="93"/>
    </row>
    <row r="221" spans="4:8" ht="15.6">
      <c r="D221" s="93"/>
      <c r="E221" s="93"/>
      <c r="F221" s="93"/>
      <c r="G221" s="93"/>
      <c r="H221" s="93"/>
    </row>
    <row r="222" spans="4:8" ht="15.6">
      <c r="D222" s="93"/>
      <c r="E222" s="93"/>
      <c r="F222" s="93"/>
      <c r="G222" s="93"/>
      <c r="H222" s="93"/>
    </row>
    <row r="223" spans="4:8" ht="15.6">
      <c r="D223" s="93"/>
      <c r="E223" s="93"/>
      <c r="F223" s="93"/>
      <c r="G223" s="93"/>
      <c r="H223" s="93"/>
    </row>
    <row r="224" spans="4:8" ht="15.6">
      <c r="D224" s="93"/>
      <c r="E224" s="93"/>
      <c r="F224" s="93"/>
      <c r="G224" s="93"/>
      <c r="H224" s="93"/>
    </row>
    <row r="225" spans="4:8" ht="15.6">
      <c r="D225" s="93"/>
      <c r="E225" s="93"/>
      <c r="F225" s="93"/>
      <c r="G225" s="93"/>
      <c r="H225" s="93"/>
    </row>
    <row r="226" spans="4:8" ht="15.6">
      <c r="D226" s="93"/>
      <c r="E226" s="93"/>
      <c r="F226" s="93"/>
      <c r="G226" s="93"/>
      <c r="H226" s="93"/>
    </row>
    <row r="227" spans="4:8" ht="15.6">
      <c r="D227" s="93"/>
      <c r="E227" s="93"/>
      <c r="F227" s="93"/>
      <c r="G227" s="93"/>
      <c r="H227" s="93"/>
    </row>
    <row r="228" spans="4:8" ht="15.6">
      <c r="D228" s="93"/>
      <c r="E228" s="93"/>
      <c r="F228" s="93"/>
      <c r="G228" s="93"/>
      <c r="H228" s="93"/>
    </row>
    <row r="229" spans="4:8" ht="15.6">
      <c r="D229" s="93"/>
      <c r="E229" s="93"/>
      <c r="F229" s="93"/>
      <c r="G229" s="93"/>
      <c r="H229" s="93"/>
    </row>
    <row r="230" spans="4:8" ht="15.6">
      <c r="D230" s="93"/>
      <c r="E230" s="93"/>
      <c r="F230" s="93"/>
      <c r="G230" s="93"/>
      <c r="H230" s="93"/>
    </row>
    <row r="231" spans="4:8" ht="15.6">
      <c r="D231" s="93"/>
      <c r="E231" s="93"/>
      <c r="F231" s="93"/>
      <c r="G231" s="93"/>
      <c r="H231" s="93"/>
    </row>
    <row r="232" spans="4:8" ht="15.6">
      <c r="D232" s="93"/>
      <c r="E232" s="93"/>
      <c r="F232" s="93"/>
      <c r="G232" s="93"/>
      <c r="H232" s="93"/>
    </row>
    <row r="233" spans="4:8" ht="15.6">
      <c r="D233" s="93"/>
      <c r="E233" s="93"/>
      <c r="F233" s="93"/>
      <c r="G233" s="93"/>
      <c r="H233" s="93"/>
    </row>
    <row r="234" spans="4:8" ht="15.6">
      <c r="D234" s="93"/>
      <c r="E234" s="93"/>
      <c r="F234" s="93"/>
      <c r="G234" s="93"/>
      <c r="H234" s="93"/>
    </row>
    <row r="235" spans="4:8" ht="15.6">
      <c r="D235" s="93"/>
      <c r="E235" s="93"/>
      <c r="F235" s="93"/>
      <c r="G235" s="93"/>
      <c r="H235" s="93"/>
    </row>
    <row r="236" spans="4:8" ht="15.6">
      <c r="D236" s="93"/>
      <c r="E236" s="93"/>
      <c r="F236" s="93"/>
      <c r="G236" s="93"/>
      <c r="H236" s="93"/>
    </row>
    <row r="237" spans="4:8" ht="15.6">
      <c r="D237" s="93"/>
      <c r="E237" s="93"/>
      <c r="F237" s="93"/>
      <c r="G237" s="93"/>
      <c r="H237" s="93"/>
    </row>
    <row r="238" spans="4:8" ht="15.6">
      <c r="D238" s="93"/>
      <c r="E238" s="93"/>
      <c r="F238" s="93"/>
      <c r="G238" s="93"/>
      <c r="H238" s="93"/>
    </row>
    <row r="239" spans="4:8" ht="15.6">
      <c r="D239" s="93"/>
      <c r="E239" s="93"/>
      <c r="F239" s="93"/>
      <c r="G239" s="93"/>
      <c r="H239" s="93"/>
    </row>
    <row r="240" spans="4:8" ht="15.6">
      <c r="D240" s="93"/>
      <c r="E240" s="93"/>
      <c r="F240" s="93"/>
      <c r="G240" s="93"/>
      <c r="H240" s="93"/>
    </row>
    <row r="241" spans="4:8" ht="15.6">
      <c r="D241" s="93"/>
      <c r="E241" s="93"/>
      <c r="F241" s="93"/>
      <c r="G241" s="93"/>
      <c r="H241" s="93"/>
    </row>
    <row r="242" spans="4:8" ht="15.6">
      <c r="D242" s="93"/>
      <c r="E242" s="93"/>
      <c r="F242" s="93"/>
      <c r="G242" s="93"/>
      <c r="H242" s="93"/>
    </row>
    <row r="243" spans="4:8" ht="15.6">
      <c r="D243" s="93"/>
      <c r="E243" s="93"/>
      <c r="F243" s="93"/>
      <c r="G243" s="93"/>
      <c r="H243" s="93"/>
    </row>
    <row r="244" spans="4:8" ht="15.6">
      <c r="D244" s="93"/>
      <c r="E244" s="93"/>
      <c r="F244" s="93"/>
      <c r="G244" s="93"/>
      <c r="H244" s="93"/>
    </row>
    <row r="245" spans="4:8" ht="15.6">
      <c r="D245" s="93"/>
      <c r="E245" s="93"/>
      <c r="F245" s="93"/>
      <c r="G245" s="93"/>
      <c r="H245" s="93"/>
    </row>
    <row r="246" spans="4:8" ht="15.6">
      <c r="D246" s="93"/>
      <c r="E246" s="93"/>
      <c r="F246" s="93"/>
      <c r="G246" s="93"/>
      <c r="H246" s="93"/>
    </row>
    <row r="247" spans="4:8" ht="15.6">
      <c r="D247" s="93"/>
      <c r="E247" s="93"/>
      <c r="F247" s="93"/>
      <c r="G247" s="93"/>
      <c r="H247" s="93"/>
    </row>
    <row r="248" spans="4:8" ht="15.6">
      <c r="D248" s="93"/>
      <c r="E248" s="93"/>
      <c r="F248" s="93"/>
      <c r="G248" s="93"/>
      <c r="H248" s="93"/>
    </row>
    <row r="249" spans="4:8" ht="15.6">
      <c r="D249" s="93"/>
      <c r="E249" s="93"/>
      <c r="F249" s="93"/>
      <c r="G249" s="93"/>
      <c r="H249" s="93"/>
    </row>
    <row r="250" spans="4:8" ht="15.6">
      <c r="D250" s="93"/>
      <c r="E250" s="93"/>
      <c r="F250" s="93"/>
      <c r="G250" s="93"/>
      <c r="H250" s="93"/>
    </row>
    <row r="251" spans="4:8" ht="15.6">
      <c r="D251" s="93"/>
      <c r="E251" s="93"/>
      <c r="F251" s="93"/>
      <c r="G251" s="93"/>
      <c r="H251" s="93"/>
    </row>
    <row r="252" spans="4:8" ht="15.6">
      <c r="D252" s="93"/>
      <c r="E252" s="93"/>
      <c r="F252" s="93"/>
      <c r="G252" s="93"/>
      <c r="H252" s="93"/>
    </row>
    <row r="253" spans="4:8" ht="15.6">
      <c r="D253" s="93"/>
      <c r="E253" s="93"/>
      <c r="F253" s="93"/>
      <c r="G253" s="93"/>
      <c r="H253" s="93"/>
    </row>
    <row r="254" spans="4:8" ht="15.6">
      <c r="D254" s="93"/>
      <c r="E254" s="93"/>
      <c r="F254" s="93"/>
      <c r="G254" s="93"/>
      <c r="H254" s="93"/>
    </row>
    <row r="255" spans="4:8" ht="15.6">
      <c r="D255" s="93"/>
      <c r="E255" s="93"/>
      <c r="F255" s="93"/>
      <c r="G255" s="93"/>
      <c r="H255" s="93"/>
    </row>
    <row r="256" spans="4:8" ht="15.6">
      <c r="D256" s="93"/>
      <c r="E256" s="93"/>
      <c r="F256" s="93"/>
      <c r="G256" s="93"/>
      <c r="H256" s="93"/>
    </row>
    <row r="257" spans="4:8" ht="15.6">
      <c r="D257" s="93"/>
      <c r="E257" s="93"/>
      <c r="F257" s="93"/>
      <c r="G257" s="93"/>
      <c r="H257" s="93"/>
    </row>
    <row r="258" spans="4:8" ht="15.6">
      <c r="D258" s="93"/>
      <c r="E258" s="93"/>
      <c r="F258" s="93"/>
      <c r="G258" s="93"/>
      <c r="H258" s="93"/>
    </row>
    <row r="259" spans="4:8" ht="15.6">
      <c r="D259" s="93"/>
      <c r="E259" s="93"/>
      <c r="F259" s="93"/>
      <c r="G259" s="93"/>
      <c r="H259" s="93"/>
    </row>
    <row r="260" spans="4:8" ht="15.6">
      <c r="D260" s="93"/>
      <c r="E260" s="93"/>
      <c r="F260" s="93"/>
      <c r="G260" s="93"/>
      <c r="H260" s="93"/>
    </row>
    <row r="261" spans="4:8" ht="15.6">
      <c r="D261" s="93"/>
      <c r="E261" s="93"/>
      <c r="F261" s="93"/>
      <c r="G261" s="93"/>
      <c r="H261" s="93"/>
    </row>
    <row r="262" spans="4:8" ht="15.6">
      <c r="D262" s="93"/>
      <c r="E262" s="93"/>
      <c r="F262" s="93"/>
      <c r="G262" s="93"/>
      <c r="H262" s="93"/>
    </row>
    <row r="263" spans="4:8" ht="15.6">
      <c r="D263" s="93"/>
      <c r="E263" s="93"/>
      <c r="F263" s="93"/>
      <c r="G263" s="93"/>
      <c r="H263" s="93"/>
    </row>
    <row r="264" spans="4:8" ht="15.6">
      <c r="D264" s="93"/>
      <c r="E264" s="93"/>
      <c r="F264" s="93"/>
      <c r="G264" s="93"/>
      <c r="H264" s="93"/>
    </row>
    <row r="265" spans="4:8" ht="15.6">
      <c r="D265" s="93"/>
      <c r="E265" s="93"/>
      <c r="F265" s="93"/>
      <c r="G265" s="93"/>
      <c r="H265" s="93"/>
    </row>
    <row r="266" spans="4:8" ht="15.6">
      <c r="D266" s="93"/>
      <c r="E266" s="93"/>
      <c r="F266" s="93"/>
      <c r="G266" s="93"/>
      <c r="H266" s="93"/>
    </row>
    <row r="267" spans="4:8" ht="15.6">
      <c r="D267" s="93"/>
      <c r="E267" s="93"/>
      <c r="F267" s="93"/>
      <c r="G267" s="93"/>
      <c r="H267" s="93"/>
    </row>
    <row r="268" spans="4:8" ht="15.6">
      <c r="D268" s="93"/>
      <c r="E268" s="93"/>
      <c r="F268" s="93"/>
      <c r="G268" s="93"/>
      <c r="H268" s="93"/>
    </row>
    <row r="269" spans="4:8" ht="15.6">
      <c r="D269" s="93"/>
      <c r="E269" s="93"/>
      <c r="F269" s="93"/>
      <c r="G269" s="93"/>
      <c r="H269" s="93"/>
    </row>
    <row r="270" spans="4:8" ht="15.6">
      <c r="D270" s="93"/>
      <c r="E270" s="93"/>
      <c r="F270" s="93"/>
      <c r="G270" s="93"/>
      <c r="H270" s="93"/>
    </row>
    <row r="271" spans="4:8" ht="15.6">
      <c r="D271" s="93"/>
      <c r="E271" s="93"/>
      <c r="F271" s="93"/>
      <c r="G271" s="93"/>
      <c r="H271" s="93"/>
    </row>
    <row r="272" spans="4:8" ht="15.6">
      <c r="D272" s="93"/>
      <c r="E272" s="93"/>
      <c r="F272" s="93"/>
      <c r="G272" s="93"/>
      <c r="H272" s="93"/>
    </row>
    <row r="273" spans="4:8" ht="15.6">
      <c r="D273" s="93"/>
      <c r="E273" s="93"/>
      <c r="F273" s="93"/>
      <c r="G273" s="93"/>
      <c r="H273" s="93"/>
    </row>
    <row r="274" spans="4:8" ht="15.6">
      <c r="D274" s="93"/>
      <c r="E274" s="93"/>
      <c r="F274" s="93"/>
      <c r="G274" s="93"/>
      <c r="H274" s="93"/>
    </row>
    <row r="275" spans="4:8" ht="15.6">
      <c r="D275" s="93"/>
      <c r="E275" s="93"/>
      <c r="F275" s="93"/>
      <c r="G275" s="93"/>
      <c r="H275" s="93"/>
    </row>
    <row r="276" spans="4:8" ht="15.6">
      <c r="D276" s="93"/>
      <c r="E276" s="93"/>
      <c r="F276" s="93"/>
      <c r="G276" s="93"/>
      <c r="H276" s="93"/>
    </row>
    <row r="277" spans="4:8" ht="15.6">
      <c r="D277" s="93"/>
      <c r="E277" s="93"/>
      <c r="F277" s="93"/>
      <c r="G277" s="93"/>
      <c r="H277" s="93"/>
    </row>
    <row r="278" spans="4:8" ht="15.6">
      <c r="D278" s="93"/>
      <c r="E278" s="93"/>
      <c r="F278" s="93"/>
      <c r="G278" s="93"/>
      <c r="H278" s="93"/>
    </row>
    <row r="279" spans="4:8" ht="15.6">
      <c r="D279" s="93"/>
      <c r="E279" s="93"/>
      <c r="F279" s="93"/>
      <c r="G279" s="93"/>
      <c r="H279" s="93"/>
    </row>
    <row r="280" spans="4:8" ht="15.6">
      <c r="D280" s="93"/>
      <c r="E280" s="93"/>
      <c r="F280" s="93"/>
      <c r="G280" s="93"/>
      <c r="H280" s="93"/>
    </row>
    <row r="281" spans="4:8" ht="15.6">
      <c r="D281" s="93"/>
      <c r="E281" s="93"/>
      <c r="F281" s="93"/>
      <c r="G281" s="93"/>
      <c r="H281" s="93"/>
    </row>
    <row r="282" spans="4:8" ht="15.6">
      <c r="D282" s="93"/>
      <c r="E282" s="93"/>
      <c r="F282" s="93"/>
      <c r="G282" s="93"/>
      <c r="H282" s="93"/>
    </row>
    <row r="283" spans="4:8" ht="15.6">
      <c r="D283" s="93"/>
      <c r="E283" s="93"/>
      <c r="F283" s="93"/>
      <c r="G283" s="93"/>
      <c r="H283" s="93"/>
    </row>
    <row r="284" spans="4:8" ht="15.6">
      <c r="D284" s="93"/>
      <c r="E284" s="93"/>
      <c r="F284" s="93"/>
      <c r="G284" s="93"/>
      <c r="H284" s="93"/>
    </row>
    <row r="285" spans="4:8" ht="15.6">
      <c r="D285" s="93"/>
      <c r="E285" s="93"/>
      <c r="F285" s="93"/>
      <c r="G285" s="93"/>
      <c r="H285" s="93"/>
    </row>
    <row r="286" spans="4:8" ht="15.6">
      <c r="D286" s="93"/>
      <c r="E286" s="93"/>
      <c r="F286" s="93"/>
      <c r="G286" s="93"/>
      <c r="H286" s="93"/>
    </row>
    <row r="287" spans="4:8" ht="15.6">
      <c r="D287" s="93"/>
      <c r="E287" s="93"/>
      <c r="F287" s="93"/>
      <c r="G287" s="93"/>
      <c r="H287" s="93"/>
    </row>
    <row r="288" spans="4:8" ht="15.6">
      <c r="D288" s="93"/>
      <c r="E288" s="93"/>
      <c r="F288" s="93"/>
      <c r="G288" s="93"/>
      <c r="H288" s="93"/>
    </row>
    <row r="289" spans="4:8" ht="15.6">
      <c r="D289" s="93"/>
      <c r="E289" s="93"/>
      <c r="F289" s="93"/>
      <c r="G289" s="93"/>
      <c r="H289" s="93"/>
    </row>
    <row r="290" spans="4:8" ht="15.6">
      <c r="D290" s="93"/>
      <c r="E290" s="93"/>
      <c r="F290" s="93"/>
      <c r="G290" s="93"/>
      <c r="H290" s="93"/>
    </row>
    <row r="291" spans="4:8" ht="15.6">
      <c r="D291" s="93"/>
      <c r="E291" s="93"/>
      <c r="F291" s="93"/>
      <c r="G291" s="93"/>
      <c r="H291" s="93"/>
    </row>
    <row r="292" spans="4:8" ht="15.6">
      <c r="D292" s="93"/>
      <c r="E292" s="93"/>
      <c r="F292" s="93"/>
      <c r="G292" s="93"/>
      <c r="H292" s="93"/>
    </row>
    <row r="293" spans="4:8" ht="15.6">
      <c r="D293" s="93"/>
      <c r="E293" s="93"/>
      <c r="F293" s="93"/>
      <c r="G293" s="93"/>
      <c r="H293" s="93"/>
    </row>
    <row r="294" spans="4:8" ht="15.6">
      <c r="D294" s="93"/>
      <c r="E294" s="93"/>
      <c r="F294" s="93"/>
      <c r="G294" s="93"/>
      <c r="H294" s="93"/>
    </row>
    <row r="295" spans="4:8" ht="15.6">
      <c r="D295" s="93"/>
      <c r="E295" s="93"/>
      <c r="F295" s="93"/>
      <c r="G295" s="93"/>
      <c r="H295" s="93"/>
    </row>
    <row r="296" spans="4:8" ht="15.6">
      <c r="D296" s="93"/>
      <c r="E296" s="93"/>
      <c r="F296" s="93"/>
      <c r="G296" s="93"/>
      <c r="H296" s="93"/>
    </row>
    <row r="297" spans="4:8" ht="15.6">
      <c r="D297" s="93"/>
      <c r="E297" s="93"/>
      <c r="F297" s="93"/>
      <c r="G297" s="93"/>
      <c r="H297" s="93"/>
    </row>
    <row r="298" spans="4:8" ht="15.6">
      <c r="D298" s="93"/>
      <c r="E298" s="93"/>
      <c r="F298" s="93"/>
      <c r="G298" s="93"/>
      <c r="H298" s="93"/>
    </row>
    <row r="299" spans="4:8" ht="15.6">
      <c r="D299" s="93"/>
      <c r="E299" s="93"/>
      <c r="F299" s="93"/>
      <c r="G299" s="93"/>
      <c r="H299" s="93"/>
    </row>
    <row r="300" spans="4:8" ht="15.6">
      <c r="D300" s="93"/>
      <c r="E300" s="93"/>
      <c r="F300" s="93"/>
      <c r="G300" s="93"/>
      <c r="H300" s="93"/>
    </row>
    <row r="301" spans="4:8" ht="15.6">
      <c r="D301" s="93"/>
      <c r="E301" s="93"/>
      <c r="F301" s="93"/>
      <c r="G301" s="93"/>
      <c r="H301" s="93"/>
    </row>
    <row r="302" spans="4:8" ht="15.6">
      <c r="D302" s="93"/>
      <c r="E302" s="93"/>
      <c r="F302" s="93"/>
      <c r="G302" s="93"/>
      <c r="H302" s="93"/>
    </row>
    <row r="303" spans="4:8" ht="15.6">
      <c r="D303" s="93"/>
      <c r="E303" s="93"/>
      <c r="F303" s="93"/>
      <c r="G303" s="93"/>
      <c r="H303" s="93"/>
    </row>
    <row r="304" spans="4:8" ht="15.6">
      <c r="D304" s="93"/>
      <c r="E304" s="93"/>
      <c r="F304" s="93"/>
      <c r="G304" s="93"/>
      <c r="H304" s="93"/>
    </row>
    <row r="305" spans="4:8" ht="15.6">
      <c r="D305" s="93"/>
      <c r="E305" s="93"/>
      <c r="F305" s="93"/>
      <c r="G305" s="93"/>
      <c r="H305" s="93"/>
    </row>
    <row r="306" spans="4:8" ht="15.6">
      <c r="D306" s="93"/>
      <c r="E306" s="93"/>
      <c r="F306" s="93"/>
      <c r="G306" s="93"/>
      <c r="H306" s="93"/>
    </row>
    <row r="307" spans="4:8" ht="15.6">
      <c r="D307" s="93"/>
      <c r="E307" s="93"/>
      <c r="F307" s="93"/>
      <c r="G307" s="93"/>
      <c r="H307" s="93"/>
    </row>
    <row r="308" spans="4:8" ht="15.6">
      <c r="D308" s="93"/>
      <c r="E308" s="93"/>
      <c r="F308" s="93"/>
      <c r="G308" s="93"/>
      <c r="H308" s="93"/>
    </row>
    <row r="309" spans="4:8" ht="15.6">
      <c r="D309" s="93"/>
      <c r="E309" s="93"/>
      <c r="F309" s="93"/>
      <c r="G309" s="93"/>
      <c r="H309" s="93"/>
    </row>
    <row r="310" spans="4:8" ht="15.6">
      <c r="D310" s="93"/>
      <c r="E310" s="93"/>
      <c r="F310" s="93"/>
      <c r="G310" s="93"/>
      <c r="H310" s="93"/>
    </row>
    <row r="311" spans="4:8" ht="15.6">
      <c r="D311" s="93"/>
      <c r="E311" s="93"/>
      <c r="F311" s="93"/>
      <c r="G311" s="93"/>
      <c r="H311" s="93"/>
    </row>
    <row r="312" spans="4:8" ht="15.6">
      <c r="D312" s="93"/>
      <c r="E312" s="93"/>
      <c r="F312" s="93"/>
      <c r="G312" s="93"/>
      <c r="H312" s="93"/>
    </row>
    <row r="313" spans="4:8" ht="15.6">
      <c r="D313" s="93"/>
      <c r="E313" s="93"/>
      <c r="F313" s="93"/>
      <c r="G313" s="93"/>
      <c r="H313" s="93"/>
    </row>
    <row r="314" spans="4:8" ht="15.6">
      <c r="D314" s="93"/>
      <c r="E314" s="93"/>
      <c r="F314" s="93"/>
      <c r="G314" s="93"/>
      <c r="H314" s="93"/>
    </row>
    <row r="315" spans="4:8" ht="15.6">
      <c r="D315" s="93"/>
      <c r="E315" s="93"/>
      <c r="F315" s="93"/>
      <c r="G315" s="93"/>
      <c r="H315" s="93"/>
    </row>
    <row r="316" spans="4:8" ht="15.6">
      <c r="D316" s="93"/>
      <c r="E316" s="93"/>
      <c r="F316" s="93"/>
      <c r="G316" s="93"/>
      <c r="H316" s="93"/>
    </row>
    <row r="317" spans="4:8" ht="15.6">
      <c r="D317" s="93"/>
      <c r="E317" s="93"/>
      <c r="F317" s="93"/>
      <c r="G317" s="93"/>
      <c r="H317" s="93"/>
    </row>
    <row r="318" spans="4:8" ht="15.6">
      <c r="D318" s="93"/>
      <c r="E318" s="93"/>
      <c r="F318" s="93"/>
      <c r="G318" s="93"/>
      <c r="H318" s="93"/>
    </row>
    <row r="319" spans="4:8" ht="15.6">
      <c r="D319" s="93"/>
      <c r="E319" s="93"/>
      <c r="F319" s="93"/>
      <c r="G319" s="93"/>
      <c r="H319" s="93"/>
    </row>
    <row r="320" spans="4:8" ht="15.6">
      <c r="D320" s="93"/>
      <c r="E320" s="93"/>
      <c r="F320" s="93"/>
      <c r="G320" s="93"/>
      <c r="H320" s="93"/>
    </row>
    <row r="321" spans="4:8" ht="15.6">
      <c r="D321" s="93"/>
      <c r="E321" s="93"/>
      <c r="F321" s="93"/>
      <c r="G321" s="93"/>
      <c r="H321" s="93"/>
    </row>
    <row r="322" spans="4:8" ht="15.6">
      <c r="D322" s="93"/>
      <c r="E322" s="93"/>
      <c r="F322" s="93"/>
      <c r="G322" s="93"/>
      <c r="H322" s="93"/>
    </row>
    <row r="323" spans="4:8" ht="15.6">
      <c r="D323" s="93"/>
      <c r="E323" s="93"/>
      <c r="F323" s="93"/>
      <c r="G323" s="93"/>
      <c r="H323" s="93"/>
    </row>
    <row r="324" spans="4:8" ht="15.6">
      <c r="D324" s="93"/>
      <c r="E324" s="93"/>
      <c r="F324" s="93"/>
      <c r="G324" s="93"/>
      <c r="H324" s="93"/>
    </row>
    <row r="325" spans="4:8" ht="15.6">
      <c r="D325" s="93"/>
      <c r="E325" s="93"/>
      <c r="F325" s="93"/>
      <c r="G325" s="93"/>
      <c r="H325" s="93"/>
    </row>
    <row r="326" spans="4:8" ht="15.6">
      <c r="D326" s="93"/>
      <c r="E326" s="93"/>
      <c r="F326" s="93"/>
      <c r="G326" s="93"/>
      <c r="H326" s="93"/>
    </row>
    <row r="327" spans="4:8" ht="15.6">
      <c r="D327" s="93"/>
      <c r="E327" s="93"/>
      <c r="F327" s="93"/>
      <c r="G327" s="93"/>
      <c r="H327" s="93"/>
    </row>
    <row r="328" spans="4:8" ht="15.6">
      <c r="D328" s="93"/>
      <c r="E328" s="93"/>
      <c r="F328" s="93"/>
      <c r="G328" s="93"/>
      <c r="H328" s="93"/>
    </row>
    <row r="329" spans="4:8" ht="15.6">
      <c r="D329" s="93"/>
      <c r="E329" s="93"/>
      <c r="F329" s="93"/>
      <c r="G329" s="93"/>
      <c r="H329" s="93"/>
    </row>
    <row r="330" spans="4:8" ht="15.6">
      <c r="D330" s="93"/>
      <c r="E330" s="93"/>
      <c r="F330" s="93"/>
      <c r="G330" s="93"/>
      <c r="H330" s="93"/>
    </row>
    <row r="331" spans="4:8" ht="15.6">
      <c r="D331" s="93"/>
      <c r="E331" s="93"/>
      <c r="F331" s="93"/>
      <c r="G331" s="93"/>
      <c r="H331" s="93"/>
    </row>
    <row r="332" spans="4:8" ht="15.6">
      <c r="D332" s="93"/>
      <c r="E332" s="93"/>
      <c r="F332" s="93"/>
      <c r="G332" s="93"/>
      <c r="H332" s="93"/>
    </row>
    <row r="333" spans="4:8" ht="15.6">
      <c r="D333" s="93"/>
      <c r="E333" s="93"/>
      <c r="F333" s="93"/>
      <c r="G333" s="93"/>
      <c r="H333" s="93"/>
    </row>
    <row r="334" spans="4:8" ht="15.6">
      <c r="D334" s="93"/>
      <c r="E334" s="93"/>
      <c r="F334" s="93"/>
      <c r="G334" s="93"/>
      <c r="H334" s="93"/>
    </row>
    <row r="335" spans="4:8" ht="15.6">
      <c r="D335" s="93"/>
      <c r="E335" s="93"/>
      <c r="F335" s="93"/>
      <c r="G335" s="93"/>
      <c r="H335" s="93"/>
    </row>
    <row r="336" spans="4:8" ht="15.6">
      <c r="D336" s="93"/>
      <c r="E336" s="93"/>
      <c r="F336" s="93"/>
      <c r="G336" s="93"/>
      <c r="H336" s="93"/>
    </row>
    <row r="337" spans="4:8" ht="15.6">
      <c r="D337" s="93"/>
      <c r="E337" s="93"/>
      <c r="F337" s="93"/>
      <c r="G337" s="93"/>
      <c r="H337" s="93"/>
    </row>
    <row r="338" spans="4:8" ht="15.6">
      <c r="D338" s="93"/>
      <c r="E338" s="93"/>
      <c r="F338" s="93"/>
      <c r="G338" s="93"/>
      <c r="H338" s="93"/>
    </row>
    <row r="339" spans="4:8" ht="15.6">
      <c r="D339" s="93"/>
      <c r="E339" s="93"/>
      <c r="F339" s="93"/>
      <c r="G339" s="93"/>
      <c r="H339" s="93"/>
    </row>
    <row r="340" spans="4:8" ht="15.6">
      <c r="D340" s="93"/>
      <c r="E340" s="93"/>
      <c r="F340" s="93"/>
      <c r="G340" s="93"/>
      <c r="H340" s="93"/>
    </row>
    <row r="341" spans="4:8" ht="15.6">
      <c r="D341" s="93"/>
      <c r="E341" s="93"/>
      <c r="F341" s="93"/>
      <c r="G341" s="93"/>
      <c r="H341" s="93"/>
    </row>
    <row r="342" spans="4:8" ht="15.6">
      <c r="D342" s="93"/>
      <c r="E342" s="93"/>
      <c r="F342" s="93"/>
      <c r="G342" s="93"/>
      <c r="H342" s="93"/>
    </row>
    <row r="343" spans="4:8" ht="15.6">
      <c r="D343" s="93"/>
      <c r="E343" s="93"/>
      <c r="F343" s="93"/>
      <c r="G343" s="93"/>
      <c r="H343" s="93"/>
    </row>
    <row r="344" spans="4:8" ht="15.6">
      <c r="D344" s="93"/>
      <c r="E344" s="93"/>
      <c r="F344" s="93"/>
      <c r="G344" s="93"/>
      <c r="H344" s="93"/>
    </row>
    <row r="345" spans="4:8" ht="15.6">
      <c r="D345" s="93"/>
      <c r="E345" s="93"/>
      <c r="F345" s="93"/>
      <c r="G345" s="93"/>
      <c r="H345" s="93"/>
    </row>
    <row r="346" spans="4:8" ht="15.6">
      <c r="D346" s="93"/>
      <c r="E346" s="93"/>
      <c r="F346" s="93"/>
      <c r="G346" s="93"/>
      <c r="H346" s="93"/>
    </row>
    <row r="347" spans="4:8" ht="15.6">
      <c r="D347" s="93"/>
      <c r="E347" s="93"/>
      <c r="F347" s="93"/>
      <c r="G347" s="93"/>
      <c r="H347" s="93"/>
    </row>
    <row r="348" spans="4:8" ht="15.6">
      <c r="D348" s="93"/>
      <c r="E348" s="93"/>
      <c r="F348" s="93"/>
      <c r="G348" s="93"/>
      <c r="H348" s="93"/>
    </row>
    <row r="349" spans="4:8" ht="15.6">
      <c r="D349" s="93"/>
      <c r="E349" s="93"/>
      <c r="F349" s="93"/>
      <c r="G349" s="93"/>
      <c r="H349" s="93"/>
    </row>
    <row r="350" spans="4:8" ht="15.6">
      <c r="D350" s="93"/>
      <c r="E350" s="93"/>
      <c r="F350" s="93"/>
      <c r="G350" s="93"/>
      <c r="H350" s="93"/>
    </row>
    <row r="351" spans="4:8" ht="15.6">
      <c r="D351" s="93"/>
      <c r="E351" s="93"/>
      <c r="F351" s="93"/>
      <c r="G351" s="93"/>
      <c r="H351" s="93"/>
    </row>
    <row r="352" spans="4:8" ht="15.6">
      <c r="D352" s="93"/>
      <c r="E352" s="93"/>
      <c r="F352" s="93"/>
      <c r="G352" s="93"/>
      <c r="H352" s="93"/>
    </row>
    <row r="353" spans="4:8" ht="15.6">
      <c r="D353" s="93"/>
      <c r="E353" s="93"/>
      <c r="F353" s="93"/>
      <c r="G353" s="93"/>
      <c r="H353" s="93"/>
    </row>
    <row r="354" spans="4:8" ht="15.6">
      <c r="D354" s="93"/>
      <c r="E354" s="93"/>
      <c r="F354" s="93"/>
      <c r="G354" s="93"/>
      <c r="H354" s="93"/>
    </row>
    <row r="355" spans="4:8" ht="15.6">
      <c r="D355" s="93"/>
      <c r="E355" s="93"/>
      <c r="F355" s="93"/>
      <c r="G355" s="93"/>
      <c r="H355" s="93"/>
    </row>
    <row r="356" spans="4:8" ht="15.6">
      <c r="D356" s="93"/>
      <c r="E356" s="93"/>
      <c r="F356" s="93"/>
      <c r="G356" s="93"/>
      <c r="H356" s="93"/>
    </row>
    <row r="357" spans="4:8" ht="15.6">
      <c r="D357" s="93"/>
      <c r="E357" s="93"/>
      <c r="F357" s="93"/>
      <c r="G357" s="93"/>
      <c r="H357" s="93"/>
    </row>
    <row r="358" spans="4:8" ht="15.6">
      <c r="D358" s="93"/>
      <c r="E358" s="93"/>
      <c r="F358" s="93"/>
      <c r="G358" s="93"/>
      <c r="H358" s="93"/>
    </row>
    <row r="359" spans="4:8" ht="15.6">
      <c r="D359" s="93"/>
      <c r="E359" s="93"/>
      <c r="F359" s="93"/>
      <c r="G359" s="93"/>
      <c r="H359" s="93"/>
    </row>
    <row r="360" spans="4:8" ht="15.6">
      <c r="D360" s="93"/>
      <c r="E360" s="93"/>
      <c r="F360" s="93"/>
      <c r="G360" s="93"/>
      <c r="H360" s="93"/>
    </row>
    <row r="361" spans="4:8" ht="15.6">
      <c r="D361" s="93"/>
      <c r="E361" s="93"/>
      <c r="F361" s="93"/>
      <c r="G361" s="93"/>
      <c r="H361" s="93"/>
    </row>
    <row r="362" spans="4:8" ht="15.6">
      <c r="D362" s="93"/>
      <c r="E362" s="93"/>
      <c r="F362" s="93"/>
      <c r="G362" s="93"/>
      <c r="H362" s="93"/>
    </row>
    <row r="363" spans="4:8" ht="15.6">
      <c r="D363" s="93"/>
      <c r="E363" s="93"/>
      <c r="F363" s="93"/>
      <c r="G363" s="93"/>
      <c r="H363" s="93"/>
    </row>
    <row r="364" spans="4:8" ht="15.6">
      <c r="D364" s="93"/>
      <c r="E364" s="93"/>
      <c r="F364" s="93"/>
      <c r="G364" s="93"/>
      <c r="H364" s="93"/>
    </row>
    <row r="365" spans="4:8" ht="15.6">
      <c r="D365" s="93"/>
      <c r="E365" s="93"/>
      <c r="F365" s="93"/>
      <c r="G365" s="93"/>
      <c r="H365" s="93"/>
    </row>
    <row r="366" spans="4:8" ht="15.6">
      <c r="D366" s="93"/>
      <c r="E366" s="93"/>
      <c r="F366" s="93"/>
      <c r="G366" s="93"/>
      <c r="H366" s="93"/>
    </row>
    <row r="367" spans="4:8" ht="15.6">
      <c r="D367" s="93"/>
      <c r="E367" s="93"/>
      <c r="F367" s="93"/>
      <c r="G367" s="93"/>
      <c r="H367" s="93"/>
    </row>
    <row r="368" spans="4:8" ht="15.6">
      <c r="D368" s="93"/>
      <c r="E368" s="93"/>
      <c r="F368" s="93"/>
      <c r="G368" s="93"/>
      <c r="H368" s="93"/>
    </row>
    <row r="369" spans="4:8" ht="15.6">
      <c r="D369" s="93"/>
      <c r="E369" s="93"/>
      <c r="F369" s="93"/>
      <c r="G369" s="93"/>
      <c r="H369" s="93"/>
    </row>
    <row r="370" spans="4:8" ht="15.6">
      <c r="D370" s="93"/>
      <c r="E370" s="93"/>
      <c r="F370" s="93"/>
      <c r="G370" s="93"/>
      <c r="H370" s="93"/>
    </row>
    <row r="371" spans="4:8" ht="15.6">
      <c r="D371" s="93"/>
      <c r="E371" s="93"/>
      <c r="F371" s="93"/>
      <c r="G371" s="93"/>
      <c r="H371" s="93"/>
    </row>
    <row r="372" spans="4:8" ht="15.6">
      <c r="D372" s="93"/>
      <c r="E372" s="93"/>
      <c r="F372" s="93"/>
      <c r="G372" s="93"/>
      <c r="H372" s="93"/>
    </row>
    <row r="373" spans="4:8" ht="15.6">
      <c r="D373" s="93"/>
      <c r="E373" s="93"/>
      <c r="F373" s="93"/>
      <c r="G373" s="93"/>
      <c r="H373" s="93"/>
    </row>
    <row r="374" spans="4:8" ht="15.6">
      <c r="D374" s="93"/>
      <c r="E374" s="93"/>
      <c r="F374" s="93"/>
      <c r="G374" s="93"/>
      <c r="H374" s="93"/>
    </row>
    <row r="375" spans="4:8" ht="15.6">
      <c r="D375" s="93"/>
      <c r="E375" s="93"/>
      <c r="F375" s="93"/>
      <c r="G375" s="93"/>
      <c r="H375" s="93"/>
    </row>
    <row r="376" spans="4:8" ht="15.6">
      <c r="D376" s="93"/>
      <c r="E376" s="93"/>
      <c r="F376" s="93"/>
      <c r="G376" s="93"/>
      <c r="H376" s="93"/>
    </row>
    <row r="377" spans="4:8" ht="15.6">
      <c r="D377" s="93"/>
      <c r="E377" s="93"/>
      <c r="F377" s="93"/>
      <c r="G377" s="93"/>
      <c r="H377" s="93"/>
    </row>
    <row r="378" spans="4:8" ht="15.6">
      <c r="D378" s="93"/>
      <c r="E378" s="93"/>
      <c r="F378" s="93"/>
      <c r="G378" s="93"/>
      <c r="H378" s="93"/>
    </row>
    <row r="379" spans="4:8" ht="15.6">
      <c r="D379" s="93"/>
      <c r="E379" s="93"/>
      <c r="F379" s="93"/>
      <c r="G379" s="93"/>
      <c r="H379" s="93"/>
    </row>
    <row r="380" spans="4:8" ht="15.6">
      <c r="D380" s="93"/>
      <c r="E380" s="93"/>
      <c r="F380" s="93"/>
      <c r="G380" s="93"/>
      <c r="H380" s="93"/>
    </row>
    <row r="381" spans="4:8" ht="15.6">
      <c r="D381" s="93"/>
      <c r="E381" s="93"/>
      <c r="F381" s="93"/>
      <c r="G381" s="93"/>
      <c r="H381" s="93"/>
    </row>
    <row r="382" spans="4:8" ht="15.6">
      <c r="D382" s="93"/>
      <c r="E382" s="93"/>
      <c r="F382" s="93"/>
      <c r="G382" s="93"/>
      <c r="H382" s="93"/>
    </row>
    <row r="383" spans="4:8" ht="15.6">
      <c r="D383" s="93"/>
      <c r="E383" s="93"/>
      <c r="F383" s="93"/>
      <c r="G383" s="93"/>
      <c r="H383" s="93"/>
    </row>
    <row r="384" spans="4:8" ht="15.6">
      <c r="D384" s="93"/>
      <c r="E384" s="93"/>
      <c r="F384" s="93"/>
      <c r="G384" s="93"/>
      <c r="H384" s="93"/>
    </row>
    <row r="385" spans="4:8" ht="15.6">
      <c r="D385" s="93"/>
      <c r="E385" s="93"/>
      <c r="F385" s="93"/>
      <c r="G385" s="93"/>
      <c r="H385" s="93"/>
    </row>
    <row r="386" spans="4:8" ht="15.6">
      <c r="D386" s="93"/>
      <c r="E386" s="93"/>
      <c r="F386" s="93"/>
      <c r="G386" s="93"/>
      <c r="H386" s="93"/>
    </row>
    <row r="387" spans="4:8" ht="15.6">
      <c r="D387" s="93"/>
      <c r="E387" s="93"/>
      <c r="F387" s="93"/>
      <c r="G387" s="93"/>
      <c r="H387" s="93"/>
    </row>
    <row r="388" spans="4:8" ht="15.6">
      <c r="D388" s="93"/>
      <c r="E388" s="93"/>
      <c r="F388" s="93"/>
      <c r="G388" s="93"/>
      <c r="H388" s="93"/>
    </row>
    <row r="389" spans="4:8" ht="15.6">
      <c r="D389" s="93"/>
      <c r="E389" s="93"/>
      <c r="F389" s="93"/>
      <c r="G389" s="93"/>
      <c r="H389" s="93"/>
    </row>
    <row r="390" spans="4:8" ht="15.6">
      <c r="D390" s="93"/>
      <c r="E390" s="93"/>
      <c r="F390" s="93"/>
      <c r="G390" s="93"/>
      <c r="H390" s="93"/>
    </row>
    <row r="391" spans="4:8" ht="15.6">
      <c r="D391" s="93"/>
      <c r="E391" s="93"/>
      <c r="F391" s="93"/>
      <c r="G391" s="93"/>
      <c r="H391" s="93"/>
    </row>
    <row r="392" spans="4:8" ht="15.6">
      <c r="D392" s="93"/>
      <c r="E392" s="93"/>
      <c r="F392" s="93"/>
      <c r="G392" s="93"/>
      <c r="H392" s="93"/>
    </row>
    <row r="393" spans="4:8" ht="15.6">
      <c r="D393" s="93"/>
      <c r="E393" s="93"/>
      <c r="F393" s="93"/>
      <c r="G393" s="93"/>
      <c r="H393" s="93"/>
    </row>
    <row r="394" spans="4:8" ht="15.6">
      <c r="D394" s="93"/>
      <c r="E394" s="93"/>
      <c r="F394" s="93"/>
      <c r="G394" s="93"/>
      <c r="H394" s="93"/>
    </row>
    <row r="395" spans="4:8" ht="15.6">
      <c r="D395" s="93"/>
      <c r="E395" s="93"/>
      <c r="F395" s="93"/>
      <c r="G395" s="93"/>
      <c r="H395" s="93"/>
    </row>
    <row r="396" spans="4:8" ht="15.6">
      <c r="D396" s="93"/>
      <c r="E396" s="93"/>
      <c r="F396" s="93"/>
      <c r="G396" s="93"/>
      <c r="H396" s="93"/>
    </row>
    <row r="397" spans="4:8" ht="15.6">
      <c r="D397" s="93"/>
      <c r="E397" s="93"/>
      <c r="F397" s="93"/>
      <c r="G397" s="93"/>
      <c r="H397" s="93"/>
    </row>
    <row r="398" spans="4:8" ht="15.6">
      <c r="D398" s="93"/>
      <c r="E398" s="93"/>
      <c r="F398" s="93"/>
      <c r="G398" s="93"/>
      <c r="H398" s="93"/>
    </row>
    <row r="399" spans="4:8" ht="15.6">
      <c r="D399" s="93"/>
      <c r="E399" s="93"/>
      <c r="F399" s="93"/>
      <c r="G399" s="93"/>
      <c r="H399" s="93"/>
    </row>
    <row r="400" spans="4:8" ht="15.6">
      <c r="D400" s="93"/>
      <c r="E400" s="93"/>
      <c r="F400" s="93"/>
      <c r="G400" s="93"/>
      <c r="H400" s="93"/>
    </row>
    <row r="401" spans="4:8" ht="15.6">
      <c r="D401" s="93"/>
      <c r="E401" s="93"/>
      <c r="F401" s="93"/>
      <c r="G401" s="93"/>
      <c r="H401" s="93"/>
    </row>
    <row r="402" spans="4:8" ht="15.6">
      <c r="D402" s="93"/>
      <c r="E402" s="93"/>
      <c r="F402" s="93"/>
      <c r="G402" s="93"/>
      <c r="H402" s="93"/>
    </row>
    <row r="403" spans="4:8" ht="15.6">
      <c r="D403" s="93"/>
      <c r="E403" s="93"/>
      <c r="F403" s="93"/>
      <c r="G403" s="93"/>
      <c r="H403" s="93"/>
    </row>
    <row r="404" spans="4:8" ht="15.6">
      <c r="D404" s="93"/>
      <c r="E404" s="93"/>
      <c r="F404" s="93"/>
      <c r="G404" s="93"/>
      <c r="H404" s="93"/>
    </row>
    <row r="405" spans="4:8" ht="15.6">
      <c r="D405" s="93"/>
      <c r="E405" s="93"/>
      <c r="F405" s="93"/>
      <c r="G405" s="93"/>
      <c r="H405" s="93"/>
    </row>
    <row r="406" spans="4:8" ht="15.6">
      <c r="D406" s="93"/>
      <c r="E406" s="93"/>
      <c r="F406" s="93"/>
      <c r="G406" s="93"/>
      <c r="H406" s="93"/>
    </row>
    <row r="407" spans="4:8" ht="15.6">
      <c r="D407" s="93"/>
      <c r="E407" s="93"/>
      <c r="F407" s="93"/>
      <c r="G407" s="93"/>
      <c r="H407" s="93"/>
    </row>
    <row r="408" spans="4:8" ht="15.6">
      <c r="D408" s="93"/>
      <c r="E408" s="93"/>
      <c r="F408" s="93"/>
      <c r="G408" s="93"/>
      <c r="H408" s="93"/>
    </row>
    <row r="409" spans="4:8" ht="15.6">
      <c r="D409" s="93"/>
      <c r="E409" s="93"/>
      <c r="F409" s="93"/>
      <c r="G409" s="93"/>
      <c r="H409" s="93"/>
    </row>
    <row r="410" spans="4:8" ht="15.6">
      <c r="D410" s="93"/>
      <c r="E410" s="93"/>
      <c r="F410" s="93"/>
      <c r="G410" s="93"/>
      <c r="H410" s="93"/>
    </row>
    <row r="411" spans="4:8" ht="15.6">
      <c r="D411" s="93"/>
      <c r="E411" s="93"/>
      <c r="F411" s="93"/>
      <c r="G411" s="93"/>
      <c r="H411" s="93"/>
    </row>
    <row r="412" spans="4:8" ht="15.6">
      <c r="D412" s="93"/>
      <c r="E412" s="93"/>
      <c r="F412" s="93"/>
      <c r="G412" s="93"/>
      <c r="H412" s="93"/>
    </row>
    <row r="413" spans="4:8" ht="15.6">
      <c r="D413" s="93"/>
      <c r="E413" s="93"/>
      <c r="F413" s="93"/>
      <c r="G413" s="93"/>
      <c r="H413" s="93"/>
    </row>
    <row r="414" spans="4:8" ht="15.6">
      <c r="D414" s="93"/>
      <c r="E414" s="93"/>
      <c r="F414" s="93"/>
      <c r="G414" s="93"/>
      <c r="H414" s="93"/>
    </row>
    <row r="415" spans="4:8" ht="15.6">
      <c r="D415" s="93"/>
      <c r="E415" s="93"/>
      <c r="F415" s="93"/>
      <c r="G415" s="93"/>
      <c r="H415" s="93"/>
    </row>
    <row r="416" spans="4:8" ht="15.6">
      <c r="D416" s="93"/>
      <c r="E416" s="93"/>
      <c r="F416" s="93"/>
      <c r="G416" s="93"/>
      <c r="H416" s="93"/>
    </row>
    <row r="417" spans="4:8" ht="15.6">
      <c r="D417" s="93"/>
      <c r="E417" s="93"/>
      <c r="F417" s="93"/>
      <c r="G417" s="93"/>
      <c r="H417" s="93"/>
    </row>
    <row r="418" spans="4:8" ht="15.6">
      <c r="D418" s="93"/>
      <c r="E418" s="93"/>
      <c r="F418" s="93"/>
      <c r="G418" s="93"/>
      <c r="H418" s="93"/>
    </row>
    <row r="419" spans="4:8" ht="15.6">
      <c r="D419" s="93"/>
      <c r="E419" s="93"/>
      <c r="F419" s="93"/>
      <c r="G419" s="93"/>
      <c r="H419" s="93"/>
    </row>
    <row r="420" spans="4:8" ht="15.6">
      <c r="D420" s="93"/>
      <c r="E420" s="93"/>
      <c r="F420" s="93"/>
      <c r="G420" s="93"/>
      <c r="H420" s="93"/>
    </row>
    <row r="421" spans="4:8" ht="15.6">
      <c r="D421" s="93"/>
      <c r="E421" s="93"/>
      <c r="F421" s="93"/>
      <c r="G421" s="93"/>
      <c r="H421" s="93"/>
    </row>
    <row r="422" spans="4:8" ht="15.6">
      <c r="D422" s="93"/>
      <c r="E422" s="93"/>
      <c r="F422" s="93"/>
      <c r="G422" s="93"/>
      <c r="H422" s="93"/>
    </row>
    <row r="423" spans="4:8" ht="15.6">
      <c r="D423" s="93"/>
      <c r="E423" s="93"/>
      <c r="F423" s="93"/>
      <c r="G423" s="93"/>
      <c r="H423" s="93"/>
    </row>
    <row r="424" spans="4:8" ht="15.6">
      <c r="D424" s="93"/>
      <c r="E424" s="93"/>
      <c r="F424" s="93"/>
      <c r="G424" s="93"/>
      <c r="H424" s="93"/>
    </row>
    <row r="425" spans="4:8" ht="15.6">
      <c r="D425" s="93"/>
      <c r="E425" s="93"/>
      <c r="F425" s="93"/>
      <c r="G425" s="93"/>
      <c r="H425" s="93"/>
    </row>
    <row r="426" spans="4:8" ht="15.6">
      <c r="D426" s="93"/>
      <c r="E426" s="93"/>
      <c r="F426" s="93"/>
      <c r="G426" s="93"/>
      <c r="H426" s="93"/>
    </row>
    <row r="427" spans="4:8" ht="15.6">
      <c r="D427" s="93"/>
      <c r="E427" s="93"/>
      <c r="F427" s="93"/>
      <c r="G427" s="93"/>
      <c r="H427" s="93"/>
    </row>
    <row r="428" spans="4:8" ht="15.6">
      <c r="D428" s="93"/>
      <c r="E428" s="93"/>
      <c r="F428" s="93"/>
      <c r="G428" s="93"/>
      <c r="H428" s="93"/>
    </row>
    <row r="429" spans="4:8" ht="15.6">
      <c r="D429" s="93"/>
      <c r="E429" s="93"/>
      <c r="F429" s="93"/>
      <c r="G429" s="93"/>
      <c r="H429" s="93"/>
    </row>
    <row r="430" spans="4:8" ht="15.6">
      <c r="D430" s="93"/>
      <c r="E430" s="93"/>
      <c r="F430" s="93"/>
      <c r="G430" s="93"/>
      <c r="H430" s="93"/>
    </row>
    <row r="431" spans="4:8" ht="15.6">
      <c r="D431" s="93"/>
      <c r="E431" s="93"/>
      <c r="F431" s="93"/>
      <c r="G431" s="93"/>
      <c r="H431" s="93"/>
    </row>
    <row r="432" spans="4:8" ht="15.6">
      <c r="D432" s="93"/>
      <c r="E432" s="93"/>
      <c r="F432" s="93"/>
      <c r="G432" s="93"/>
      <c r="H432" s="93"/>
    </row>
    <row r="433" spans="4:8" ht="15.6">
      <c r="D433" s="93"/>
      <c r="E433" s="93"/>
      <c r="F433" s="93"/>
      <c r="G433" s="93"/>
      <c r="H433" s="93"/>
    </row>
    <row r="434" spans="4:8" ht="15.6">
      <c r="D434" s="93"/>
      <c r="E434" s="93"/>
      <c r="F434" s="93"/>
      <c r="G434" s="93"/>
      <c r="H434" s="93"/>
    </row>
    <row r="435" spans="4:8" ht="15.6">
      <c r="D435" s="93"/>
      <c r="E435" s="93"/>
      <c r="F435" s="93"/>
      <c r="G435" s="93"/>
      <c r="H435" s="93"/>
    </row>
    <row r="436" spans="4:8" ht="15.6">
      <c r="D436" s="93"/>
      <c r="E436" s="93"/>
      <c r="F436" s="93"/>
      <c r="G436" s="93"/>
      <c r="H436" s="93"/>
    </row>
    <row r="437" spans="4:8" ht="15.6">
      <c r="D437" s="93"/>
      <c r="E437" s="93"/>
      <c r="F437" s="93"/>
      <c r="G437" s="93"/>
      <c r="H437" s="93"/>
    </row>
    <row r="438" spans="4:8" ht="15.6">
      <c r="D438" s="93"/>
      <c r="E438" s="93"/>
      <c r="F438" s="93"/>
      <c r="G438" s="93"/>
      <c r="H438" s="93"/>
    </row>
    <row r="439" spans="4:8" ht="15.6">
      <c r="D439" s="93"/>
      <c r="E439" s="93"/>
      <c r="F439" s="93"/>
      <c r="G439" s="93"/>
      <c r="H439" s="93"/>
    </row>
    <row r="440" spans="4:8" ht="15.6">
      <c r="D440" s="93"/>
      <c r="E440" s="93"/>
      <c r="F440" s="93"/>
      <c r="G440" s="93"/>
      <c r="H440" s="93"/>
    </row>
    <row r="441" spans="4:8" ht="15.6">
      <c r="D441" s="93"/>
      <c r="E441" s="93"/>
      <c r="F441" s="93"/>
      <c r="G441" s="93"/>
      <c r="H441" s="93"/>
    </row>
    <row r="442" spans="4:8" ht="15.6">
      <c r="D442" s="93"/>
      <c r="E442" s="93"/>
      <c r="F442" s="93"/>
      <c r="G442" s="93"/>
      <c r="H442" s="93"/>
    </row>
    <row r="443" spans="4:8" ht="15.6">
      <c r="D443" s="93"/>
      <c r="E443" s="93"/>
      <c r="F443" s="93"/>
      <c r="G443" s="93"/>
      <c r="H443" s="93"/>
    </row>
    <row r="444" spans="4:8" ht="15.6">
      <c r="D444" s="93"/>
      <c r="E444" s="93"/>
      <c r="F444" s="93"/>
      <c r="G444" s="93"/>
      <c r="H444" s="93"/>
    </row>
    <row r="445" spans="4:8" ht="15.6">
      <c r="D445" s="93"/>
      <c r="E445" s="93"/>
      <c r="F445" s="93"/>
      <c r="G445" s="93"/>
      <c r="H445" s="93"/>
    </row>
    <row r="446" spans="4:8" ht="15.6">
      <c r="D446" s="93"/>
      <c r="E446" s="93"/>
      <c r="F446" s="93"/>
      <c r="G446" s="93"/>
      <c r="H446" s="93"/>
    </row>
    <row r="447" spans="4:8" ht="15.6">
      <c r="D447" s="93"/>
      <c r="E447" s="93"/>
      <c r="F447" s="93"/>
      <c r="G447" s="93"/>
      <c r="H447" s="93"/>
    </row>
    <row r="448" spans="4:8" ht="15.6">
      <c r="D448" s="93"/>
      <c r="E448" s="93"/>
      <c r="F448" s="93"/>
      <c r="G448" s="93"/>
      <c r="H448" s="93"/>
    </row>
    <row r="449" spans="4:8" ht="15.6">
      <c r="D449" s="93"/>
      <c r="E449" s="93"/>
      <c r="F449" s="93"/>
      <c r="G449" s="93"/>
      <c r="H449" s="93"/>
    </row>
    <row r="450" spans="4:8" ht="15.6">
      <c r="D450" s="93"/>
      <c r="E450" s="93"/>
      <c r="F450" s="93"/>
      <c r="G450" s="93"/>
      <c r="H450" s="93"/>
    </row>
    <row r="451" spans="4:8" ht="15.6">
      <c r="D451" s="93"/>
      <c r="E451" s="93"/>
      <c r="F451" s="93"/>
      <c r="G451" s="93"/>
      <c r="H451" s="93"/>
    </row>
    <row r="452" spans="4:8" ht="15.6">
      <c r="D452" s="93"/>
      <c r="E452" s="93"/>
      <c r="F452" s="93"/>
      <c r="G452" s="93"/>
      <c r="H452" s="93"/>
    </row>
    <row r="453" spans="4:8" ht="15.6">
      <c r="D453" s="93"/>
      <c r="E453" s="93"/>
      <c r="F453" s="93"/>
      <c r="G453" s="93"/>
      <c r="H453" s="93"/>
    </row>
    <row r="454" spans="4:8" ht="15.6">
      <c r="D454" s="93"/>
      <c r="E454" s="93"/>
      <c r="F454" s="93"/>
      <c r="G454" s="93"/>
      <c r="H454" s="93"/>
    </row>
    <row r="455" spans="4:8" ht="15.6">
      <c r="D455" s="93"/>
      <c r="E455" s="93"/>
      <c r="F455" s="93"/>
      <c r="G455" s="93"/>
      <c r="H455" s="93"/>
    </row>
    <row r="456" spans="4:8" ht="15.6">
      <c r="D456" s="93"/>
      <c r="E456" s="93"/>
      <c r="F456" s="93"/>
      <c r="G456" s="93"/>
      <c r="H456" s="93"/>
    </row>
    <row r="457" spans="4:8" ht="15.6">
      <c r="D457" s="93"/>
      <c r="E457" s="93"/>
      <c r="F457" s="93"/>
      <c r="G457" s="93"/>
      <c r="H457" s="93"/>
    </row>
    <row r="458" spans="4:8" ht="15.6">
      <c r="D458" s="93"/>
      <c r="E458" s="93"/>
      <c r="F458" s="93"/>
      <c r="G458" s="93"/>
      <c r="H458" s="93"/>
    </row>
    <row r="459" spans="4:8" ht="15.6">
      <c r="D459" s="93"/>
      <c r="E459" s="93"/>
      <c r="F459" s="93"/>
      <c r="G459" s="93"/>
      <c r="H459" s="93"/>
    </row>
    <row r="460" spans="4:8" ht="15.6">
      <c r="D460" s="93"/>
      <c r="E460" s="93"/>
      <c r="F460" s="93"/>
      <c r="G460" s="93"/>
      <c r="H460" s="93"/>
    </row>
    <row r="461" spans="4:8" ht="15.6">
      <c r="D461" s="93"/>
      <c r="E461" s="93"/>
      <c r="F461" s="93"/>
      <c r="G461" s="93"/>
      <c r="H461" s="93"/>
    </row>
    <row r="462" spans="4:8" ht="15.6">
      <c r="D462" s="93"/>
      <c r="E462" s="93"/>
      <c r="F462" s="93"/>
      <c r="G462" s="93"/>
      <c r="H462" s="93"/>
    </row>
    <row r="463" spans="4:8" ht="15.6">
      <c r="D463" s="93"/>
      <c r="E463" s="93"/>
      <c r="F463" s="93"/>
      <c r="G463" s="93"/>
      <c r="H463" s="93"/>
    </row>
    <row r="464" spans="4:8" ht="15.6">
      <c r="D464" s="93"/>
      <c r="E464" s="93"/>
      <c r="F464" s="93"/>
      <c r="G464" s="93"/>
      <c r="H464" s="93"/>
    </row>
    <row r="465" spans="4:8" ht="15.6">
      <c r="D465" s="93"/>
      <c r="E465" s="93"/>
      <c r="F465" s="93"/>
      <c r="G465" s="93"/>
      <c r="H465" s="93"/>
    </row>
    <row r="466" spans="4:8" ht="15.6">
      <c r="D466" s="93"/>
      <c r="E466" s="93"/>
      <c r="F466" s="93"/>
      <c r="G466" s="93"/>
      <c r="H466" s="93"/>
    </row>
    <row r="467" spans="4:8" ht="15.6">
      <c r="D467" s="93"/>
      <c r="E467" s="93"/>
      <c r="F467" s="93"/>
      <c r="G467" s="93"/>
      <c r="H467" s="93"/>
    </row>
    <row r="468" spans="4:8" ht="15.6">
      <c r="D468" s="93"/>
      <c r="E468" s="93"/>
      <c r="F468" s="93"/>
      <c r="G468" s="93"/>
      <c r="H468" s="93"/>
    </row>
    <row r="469" spans="4:8" ht="15.6">
      <c r="D469" s="93"/>
      <c r="E469" s="93"/>
      <c r="F469" s="93"/>
      <c r="G469" s="93"/>
      <c r="H469" s="93"/>
    </row>
    <row r="470" spans="4:8" ht="15.6">
      <c r="D470" s="93"/>
      <c r="E470" s="93"/>
      <c r="F470" s="93"/>
      <c r="G470" s="93"/>
      <c r="H470" s="93"/>
    </row>
    <row r="471" spans="4:8" ht="15.6">
      <c r="D471" s="93"/>
      <c r="E471" s="93"/>
      <c r="F471" s="93"/>
      <c r="G471" s="93"/>
      <c r="H471" s="93"/>
    </row>
    <row r="472" spans="4:8" ht="15.6">
      <c r="D472" s="93"/>
      <c r="E472" s="93"/>
      <c r="F472" s="93"/>
      <c r="G472" s="93"/>
      <c r="H472" s="93"/>
    </row>
    <row r="473" spans="4:8" ht="15.6">
      <c r="D473" s="93"/>
      <c r="E473" s="93"/>
      <c r="F473" s="93"/>
      <c r="G473" s="93"/>
      <c r="H473" s="93"/>
    </row>
    <row r="474" spans="4:8" ht="15.6">
      <c r="D474" s="93"/>
      <c r="E474" s="93"/>
      <c r="F474" s="93"/>
      <c r="G474" s="93"/>
      <c r="H474" s="93"/>
    </row>
    <row r="475" spans="4:8" ht="15.6">
      <c r="D475" s="93"/>
      <c r="E475" s="93"/>
      <c r="F475" s="93"/>
      <c r="G475" s="93"/>
      <c r="H475" s="93"/>
    </row>
    <row r="476" spans="4:8" ht="15.6">
      <c r="D476" s="93"/>
      <c r="E476" s="93"/>
      <c r="F476" s="93"/>
      <c r="G476" s="93"/>
      <c r="H476" s="93"/>
    </row>
    <row r="477" spans="4:8" ht="15.6">
      <c r="D477" s="93"/>
      <c r="E477" s="93"/>
      <c r="F477" s="93"/>
      <c r="G477" s="93"/>
      <c r="H477" s="93"/>
    </row>
    <row r="478" spans="4:8" ht="15.6">
      <c r="D478" s="93"/>
      <c r="E478" s="93"/>
      <c r="F478" s="93"/>
      <c r="G478" s="93"/>
      <c r="H478" s="93"/>
    </row>
    <row r="479" spans="4:8" ht="15.6">
      <c r="D479" s="93"/>
      <c r="E479" s="93"/>
      <c r="F479" s="93"/>
      <c r="G479" s="93"/>
      <c r="H479" s="93"/>
    </row>
    <row r="480" spans="4:8" ht="15.6">
      <c r="D480" s="93"/>
      <c r="E480" s="93"/>
      <c r="F480" s="93"/>
      <c r="G480" s="93"/>
      <c r="H480" s="93"/>
    </row>
    <row r="481" spans="4:8" ht="15.6">
      <c r="D481" s="93"/>
      <c r="E481" s="93"/>
      <c r="F481" s="93"/>
      <c r="G481" s="93"/>
      <c r="H481" s="93"/>
    </row>
    <row r="482" spans="4:8" ht="15.6">
      <c r="D482" s="93"/>
      <c r="E482" s="93"/>
      <c r="F482" s="93"/>
      <c r="G482" s="93"/>
      <c r="H482" s="93"/>
    </row>
    <row r="483" spans="4:8" ht="15.6">
      <c r="D483" s="93"/>
      <c r="E483" s="93"/>
      <c r="F483" s="93"/>
      <c r="G483" s="93"/>
      <c r="H483" s="93"/>
    </row>
    <row r="484" spans="4:8" ht="15.6">
      <c r="D484" s="93"/>
      <c r="E484" s="93"/>
      <c r="F484" s="93"/>
      <c r="G484" s="93"/>
      <c r="H484" s="93"/>
    </row>
    <row r="485" spans="4:8" ht="15.6">
      <c r="D485" s="93"/>
      <c r="E485" s="93"/>
      <c r="F485" s="93"/>
      <c r="G485" s="93"/>
      <c r="H485" s="93"/>
    </row>
    <row r="486" spans="4:8" ht="15.6">
      <c r="D486" s="93"/>
      <c r="E486" s="93"/>
      <c r="F486" s="93"/>
      <c r="G486" s="93"/>
      <c r="H486" s="93"/>
    </row>
    <row r="487" spans="4:8" ht="15.6">
      <c r="D487" s="93"/>
      <c r="E487" s="93"/>
      <c r="F487" s="93"/>
      <c r="G487" s="93"/>
      <c r="H487" s="93"/>
    </row>
    <row r="488" spans="4:8" ht="15.6">
      <c r="D488" s="93"/>
      <c r="E488" s="93"/>
      <c r="F488" s="93"/>
      <c r="G488" s="93"/>
      <c r="H488" s="93"/>
    </row>
    <row r="489" spans="4:8" ht="15.6">
      <c r="D489" s="93"/>
      <c r="E489" s="93"/>
      <c r="F489" s="93"/>
      <c r="G489" s="93"/>
      <c r="H489" s="93"/>
    </row>
    <row r="490" spans="4:8" ht="15.6">
      <c r="D490" s="93"/>
      <c r="E490" s="93"/>
      <c r="F490" s="93"/>
      <c r="G490" s="93"/>
      <c r="H490" s="93"/>
    </row>
    <row r="491" spans="4:8" ht="15.6">
      <c r="D491" s="93"/>
      <c r="E491" s="93"/>
      <c r="F491" s="93"/>
      <c r="G491" s="93"/>
      <c r="H491" s="93"/>
    </row>
    <row r="492" spans="4:8" ht="15.6">
      <c r="D492" s="93"/>
      <c r="E492" s="93"/>
      <c r="F492" s="93"/>
      <c r="G492" s="93"/>
      <c r="H492" s="93"/>
    </row>
    <row r="493" spans="4:8" ht="15.6">
      <c r="D493" s="93"/>
      <c r="E493" s="93"/>
      <c r="F493" s="93"/>
      <c r="G493" s="93"/>
      <c r="H493" s="93"/>
    </row>
    <row r="494" spans="4:8" ht="15.6">
      <c r="D494" s="93"/>
      <c r="E494" s="93"/>
      <c r="F494" s="93"/>
      <c r="G494" s="93"/>
      <c r="H494" s="93"/>
    </row>
    <row r="495" spans="4:8" ht="15.6">
      <c r="D495" s="93"/>
      <c r="E495" s="93"/>
      <c r="F495" s="93"/>
      <c r="G495" s="93"/>
      <c r="H495" s="93"/>
    </row>
    <row r="496" spans="4:8" ht="15.6">
      <c r="D496" s="93"/>
      <c r="E496" s="93"/>
      <c r="F496" s="93"/>
      <c r="G496" s="93"/>
      <c r="H496" s="93"/>
    </row>
    <row r="497" spans="4:8" ht="15.6">
      <c r="D497" s="93"/>
      <c r="E497" s="93"/>
      <c r="F497" s="93"/>
      <c r="G497" s="93"/>
      <c r="H497" s="93"/>
    </row>
    <row r="498" spans="4:8" ht="15.6">
      <c r="D498" s="93"/>
      <c r="E498" s="93"/>
      <c r="F498" s="93"/>
      <c r="G498" s="93"/>
      <c r="H498" s="93"/>
    </row>
    <row r="499" spans="4:8" ht="15.6">
      <c r="D499" s="93"/>
      <c r="E499" s="93"/>
      <c r="F499" s="93"/>
      <c r="G499" s="93"/>
      <c r="H499" s="93"/>
    </row>
    <row r="500" spans="4:8" ht="15.6">
      <c r="D500" s="93"/>
      <c r="E500" s="93"/>
      <c r="F500" s="93"/>
      <c r="G500" s="93"/>
      <c r="H500" s="93"/>
    </row>
    <row r="501" spans="4:8" ht="15.6">
      <c r="D501" s="93"/>
      <c r="E501" s="93"/>
      <c r="F501" s="93"/>
      <c r="G501" s="93"/>
      <c r="H501" s="93"/>
    </row>
    <row r="502" spans="4:8" ht="15.6">
      <c r="D502" s="93"/>
      <c r="E502" s="93"/>
      <c r="F502" s="93"/>
      <c r="G502" s="93"/>
      <c r="H502" s="93"/>
    </row>
    <row r="503" spans="4:8" ht="15.6">
      <c r="D503" s="93"/>
      <c r="E503" s="93"/>
      <c r="F503" s="93"/>
      <c r="G503" s="93"/>
      <c r="H503" s="93"/>
    </row>
    <row r="504" spans="4:8" ht="15.6">
      <c r="D504" s="93"/>
      <c r="E504" s="93"/>
      <c r="F504" s="93"/>
      <c r="G504" s="93"/>
      <c r="H504" s="93"/>
    </row>
    <row r="505" spans="4:8" ht="15.6">
      <c r="D505" s="93"/>
      <c r="E505" s="93"/>
      <c r="F505" s="93"/>
      <c r="G505" s="93"/>
      <c r="H505" s="93"/>
    </row>
    <row r="506" spans="4:8" ht="15.6">
      <c r="D506" s="93"/>
      <c r="E506" s="93"/>
      <c r="F506" s="93"/>
      <c r="G506" s="93"/>
      <c r="H506" s="93"/>
    </row>
    <row r="507" spans="4:8" ht="15.6">
      <c r="D507" s="93"/>
      <c r="E507" s="93"/>
      <c r="F507" s="93"/>
      <c r="G507" s="93"/>
      <c r="H507" s="93"/>
    </row>
    <row r="508" spans="4:8" ht="15.6">
      <c r="D508" s="93"/>
      <c r="E508" s="93"/>
      <c r="F508" s="93"/>
      <c r="G508" s="93"/>
      <c r="H508" s="93"/>
    </row>
    <row r="509" spans="4:8" ht="15.6">
      <c r="D509" s="93"/>
      <c r="E509" s="93"/>
      <c r="F509" s="93"/>
      <c r="G509" s="93"/>
      <c r="H509" s="93"/>
    </row>
    <row r="510" spans="4:8" ht="15.6">
      <c r="D510" s="93"/>
      <c r="E510" s="93"/>
      <c r="F510" s="93"/>
      <c r="G510" s="93"/>
      <c r="H510" s="93"/>
    </row>
    <row r="511" spans="4:8" ht="15.6">
      <c r="D511" s="93"/>
      <c r="E511" s="93"/>
      <c r="F511" s="93"/>
      <c r="G511" s="93"/>
      <c r="H511" s="93"/>
    </row>
    <row r="512" spans="4:8" ht="15.6">
      <c r="D512" s="93"/>
      <c r="E512" s="93"/>
      <c r="F512" s="93"/>
      <c r="G512" s="93"/>
      <c r="H512" s="93"/>
    </row>
    <row r="513" spans="4:8" ht="15.6">
      <c r="D513" s="93"/>
      <c r="E513" s="93"/>
      <c r="F513" s="93"/>
      <c r="G513" s="93"/>
      <c r="H513" s="93"/>
    </row>
    <row r="514" spans="4:8" ht="15.6">
      <c r="D514" s="93"/>
      <c r="E514" s="93"/>
      <c r="F514" s="93"/>
      <c r="G514" s="93"/>
      <c r="H514" s="93"/>
    </row>
    <row r="515" spans="4:8" ht="15.6">
      <c r="D515" s="93"/>
      <c r="E515" s="93"/>
      <c r="F515" s="93"/>
      <c r="G515" s="93"/>
      <c r="H515" s="93"/>
    </row>
    <row r="516" spans="4:8" ht="15.6">
      <c r="D516" s="93"/>
      <c r="E516" s="93"/>
      <c r="F516" s="93"/>
      <c r="G516" s="93"/>
      <c r="H516" s="93"/>
    </row>
    <row r="517" spans="4:8" ht="15.6">
      <c r="D517" s="93"/>
      <c r="E517" s="93"/>
      <c r="F517" s="93"/>
      <c r="G517" s="93"/>
      <c r="H517" s="93"/>
    </row>
    <row r="518" spans="4:8" ht="15.6">
      <c r="D518" s="93"/>
      <c r="E518" s="93"/>
      <c r="F518" s="93"/>
      <c r="G518" s="93"/>
      <c r="H518" s="93"/>
    </row>
    <row r="519" spans="4:8" ht="15.6">
      <c r="D519" s="93"/>
      <c r="E519" s="93"/>
      <c r="F519" s="93"/>
      <c r="G519" s="93"/>
      <c r="H519" s="93"/>
    </row>
    <row r="520" spans="4:8" ht="15.6">
      <c r="D520" s="93"/>
      <c r="E520" s="93"/>
      <c r="F520" s="93"/>
      <c r="G520" s="93"/>
      <c r="H520" s="93"/>
    </row>
    <row r="521" spans="4:8" ht="15.6">
      <c r="D521" s="93"/>
      <c r="E521" s="93"/>
      <c r="F521" s="93"/>
      <c r="G521" s="93"/>
      <c r="H521" s="93"/>
    </row>
    <row r="522" spans="4:8" ht="15.6">
      <c r="D522" s="93"/>
      <c r="E522" s="93"/>
      <c r="F522" s="93"/>
      <c r="G522" s="93"/>
      <c r="H522" s="93"/>
    </row>
    <row r="523" spans="4:8" ht="15.6">
      <c r="D523" s="93"/>
      <c r="E523" s="93"/>
      <c r="F523" s="93"/>
      <c r="G523" s="93"/>
      <c r="H523" s="93"/>
    </row>
    <row r="524" spans="4:8" ht="15.6">
      <c r="D524" s="93"/>
      <c r="E524" s="93"/>
      <c r="F524" s="93"/>
      <c r="G524" s="93"/>
      <c r="H524" s="93"/>
    </row>
    <row r="525" spans="4:8" ht="15.6">
      <c r="D525" s="93"/>
      <c r="E525" s="93"/>
      <c r="F525" s="93"/>
      <c r="G525" s="93"/>
      <c r="H525" s="93"/>
    </row>
    <row r="526" spans="4:8" ht="15.6">
      <c r="D526" s="93"/>
      <c r="E526" s="93"/>
      <c r="F526" s="93"/>
      <c r="G526" s="93"/>
      <c r="H526" s="93"/>
    </row>
    <row r="527" spans="4:8" ht="15.6">
      <c r="D527" s="93"/>
      <c r="E527" s="93"/>
      <c r="F527" s="93"/>
      <c r="G527" s="93"/>
      <c r="H527" s="93"/>
    </row>
    <row r="528" spans="4:8" ht="15.6">
      <c r="D528" s="93"/>
      <c r="E528" s="93"/>
      <c r="F528" s="93"/>
      <c r="G528" s="93"/>
      <c r="H528" s="93"/>
    </row>
    <row r="529" spans="4:8" ht="15.6">
      <c r="D529" s="93"/>
      <c r="E529" s="93"/>
      <c r="F529" s="93"/>
      <c r="G529" s="93"/>
      <c r="H529" s="93"/>
    </row>
    <row r="530" spans="4:8" ht="15.6">
      <c r="D530" s="93"/>
      <c r="E530" s="93"/>
      <c r="F530" s="93"/>
      <c r="G530" s="93"/>
      <c r="H530" s="93"/>
    </row>
    <row r="531" spans="4:8" ht="15.6">
      <c r="D531" s="93"/>
      <c r="E531" s="93"/>
      <c r="F531" s="93"/>
      <c r="G531" s="93"/>
      <c r="H531" s="93"/>
    </row>
    <row r="532" spans="4:8" ht="15.6">
      <c r="D532" s="93"/>
      <c r="E532" s="93"/>
      <c r="F532" s="93"/>
      <c r="G532" s="93"/>
      <c r="H532" s="93"/>
    </row>
    <row r="533" spans="4:8" ht="15.6">
      <c r="D533" s="93"/>
      <c r="E533" s="93"/>
      <c r="F533" s="93"/>
      <c r="G533" s="93"/>
      <c r="H533" s="93"/>
    </row>
    <row r="534" spans="4:8" ht="15.6">
      <c r="D534" s="93"/>
      <c r="E534" s="93"/>
      <c r="F534" s="93"/>
      <c r="G534" s="93"/>
      <c r="H534" s="93"/>
    </row>
    <row r="535" spans="4:8" ht="15.6">
      <c r="D535" s="93"/>
      <c r="E535" s="93"/>
      <c r="F535" s="93"/>
      <c r="G535" s="93"/>
      <c r="H535" s="93"/>
    </row>
    <row r="536" spans="4:8" ht="15.6">
      <c r="D536" s="93"/>
      <c r="E536" s="93"/>
      <c r="F536" s="93"/>
      <c r="G536" s="93"/>
      <c r="H536" s="93"/>
    </row>
    <row r="537" spans="4:8" ht="15.6">
      <c r="D537" s="93"/>
      <c r="E537" s="93"/>
      <c r="F537" s="93"/>
      <c r="G537" s="93"/>
      <c r="H537" s="93"/>
    </row>
    <row r="538" spans="4:8" ht="15.6">
      <c r="D538" s="93"/>
      <c r="E538" s="93"/>
      <c r="F538" s="93"/>
      <c r="G538" s="93"/>
      <c r="H538" s="93"/>
    </row>
    <row r="539" spans="4:8" ht="15.6">
      <c r="D539" s="93"/>
      <c r="E539" s="93"/>
      <c r="F539" s="93"/>
      <c r="G539" s="93"/>
      <c r="H539" s="93"/>
    </row>
    <row r="540" spans="4:8" ht="15.6">
      <c r="D540" s="93"/>
      <c r="E540" s="93"/>
      <c r="F540" s="93"/>
      <c r="G540" s="93"/>
      <c r="H540" s="93"/>
    </row>
    <row r="541" spans="4:8" ht="15.6">
      <c r="D541" s="93"/>
      <c r="E541" s="93"/>
      <c r="F541" s="93"/>
      <c r="G541" s="93"/>
      <c r="H541" s="93"/>
    </row>
    <row r="542" spans="4:8" ht="15.6">
      <c r="D542" s="93"/>
      <c r="E542" s="93"/>
      <c r="F542" s="93"/>
      <c r="G542" s="93"/>
      <c r="H542" s="93"/>
    </row>
    <row r="543" spans="4:8" ht="15.6">
      <c r="D543" s="93"/>
      <c r="E543" s="93"/>
      <c r="F543" s="93"/>
      <c r="G543" s="93"/>
      <c r="H543" s="93"/>
    </row>
    <row r="544" spans="4:8" ht="15.6">
      <c r="D544" s="93"/>
      <c r="E544" s="93"/>
      <c r="F544" s="93"/>
      <c r="G544" s="93"/>
      <c r="H544" s="93"/>
    </row>
    <row r="545" spans="4:8" ht="15.6">
      <c r="D545" s="93"/>
      <c r="E545" s="93"/>
      <c r="F545" s="93"/>
      <c r="G545" s="93"/>
      <c r="H545" s="93"/>
    </row>
    <row r="546" spans="4:8" ht="15.6">
      <c r="D546" s="93"/>
      <c r="E546" s="93"/>
      <c r="F546" s="93"/>
      <c r="G546" s="93"/>
      <c r="H546" s="93"/>
    </row>
    <row r="547" spans="4:8" ht="15.6">
      <c r="D547" s="93"/>
      <c r="E547" s="93"/>
      <c r="F547" s="93"/>
      <c r="G547" s="93"/>
      <c r="H547" s="93"/>
    </row>
    <row r="548" spans="4:8" ht="15.6">
      <c r="D548" s="93"/>
      <c r="E548" s="93"/>
      <c r="F548" s="93"/>
      <c r="G548" s="93"/>
      <c r="H548" s="93"/>
    </row>
    <row r="549" spans="4:8" ht="15.6">
      <c r="D549" s="93"/>
      <c r="E549" s="93"/>
      <c r="F549" s="93"/>
      <c r="G549" s="93"/>
      <c r="H549" s="93"/>
    </row>
    <row r="550" spans="4:8" ht="15.6">
      <c r="D550" s="93"/>
      <c r="E550" s="93"/>
      <c r="F550" s="93"/>
      <c r="G550" s="93"/>
      <c r="H550" s="93"/>
    </row>
    <row r="551" spans="4:8" ht="15.6">
      <c r="D551" s="93"/>
      <c r="E551" s="93"/>
      <c r="F551" s="93"/>
      <c r="G551" s="93"/>
      <c r="H551" s="93"/>
    </row>
    <row r="552" spans="4:8" ht="15.6">
      <c r="D552" s="93"/>
      <c r="E552" s="93"/>
      <c r="F552" s="93"/>
      <c r="G552" s="93"/>
      <c r="H552" s="93"/>
    </row>
    <row r="553" spans="4:8" ht="15.6">
      <c r="D553" s="93"/>
      <c r="E553" s="93"/>
      <c r="F553" s="93"/>
      <c r="G553" s="93"/>
      <c r="H553" s="93"/>
    </row>
    <row r="554" spans="4:8" ht="15.6">
      <c r="D554" s="93"/>
      <c r="E554" s="93"/>
      <c r="F554" s="93"/>
      <c r="G554" s="93"/>
      <c r="H554" s="93"/>
    </row>
    <row r="555" spans="4:8" ht="15.6">
      <c r="D555" s="93"/>
      <c r="E555" s="93"/>
      <c r="F555" s="93"/>
      <c r="G555" s="93"/>
      <c r="H555" s="93"/>
    </row>
    <row r="556" spans="4:8" ht="15.6">
      <c r="D556" s="93"/>
      <c r="E556" s="93"/>
      <c r="F556" s="93"/>
      <c r="G556" s="93"/>
      <c r="H556" s="93"/>
    </row>
    <row r="557" spans="4:8" ht="15.6">
      <c r="D557" s="93"/>
      <c r="E557" s="93"/>
      <c r="F557" s="93"/>
      <c r="G557" s="93"/>
      <c r="H557" s="93"/>
    </row>
    <row r="558" spans="4:8" ht="15.6">
      <c r="D558" s="93"/>
      <c r="E558" s="93"/>
      <c r="F558" s="93"/>
      <c r="G558" s="93"/>
      <c r="H558" s="93"/>
    </row>
    <row r="559" spans="4:8" ht="15.6">
      <c r="D559" s="93"/>
      <c r="E559" s="93"/>
      <c r="F559" s="93"/>
      <c r="G559" s="93"/>
      <c r="H559" s="93"/>
    </row>
    <row r="560" spans="4:8" ht="15.6">
      <c r="D560" s="93"/>
      <c r="E560" s="93"/>
      <c r="F560" s="93"/>
      <c r="G560" s="93"/>
      <c r="H560" s="93"/>
    </row>
    <row r="561" spans="4:8" ht="15.6">
      <c r="D561" s="93"/>
      <c r="E561" s="93"/>
      <c r="F561" s="93"/>
      <c r="G561" s="93"/>
      <c r="H561" s="93"/>
    </row>
    <row r="562" spans="4:8" ht="15.6">
      <c r="D562" s="93"/>
      <c r="E562" s="93"/>
      <c r="F562" s="93"/>
      <c r="G562" s="93"/>
      <c r="H562" s="93"/>
    </row>
    <row r="563" spans="4:8" ht="15.6">
      <c r="D563" s="93"/>
      <c r="E563" s="93"/>
      <c r="F563" s="93"/>
      <c r="G563" s="93"/>
      <c r="H563" s="93"/>
    </row>
    <row r="564" spans="4:8" ht="15.6">
      <c r="D564" s="93"/>
      <c r="E564" s="93"/>
      <c r="F564" s="93"/>
      <c r="G564" s="93"/>
      <c r="H564" s="93"/>
    </row>
    <row r="565" spans="4:8" ht="15.6">
      <c r="D565" s="93"/>
      <c r="E565" s="93"/>
      <c r="F565" s="93"/>
      <c r="G565" s="93"/>
      <c r="H565" s="93"/>
    </row>
    <row r="566" spans="4:8" ht="15.6">
      <c r="D566" s="93"/>
      <c r="E566" s="93"/>
      <c r="F566" s="93"/>
      <c r="G566" s="93"/>
      <c r="H566" s="93"/>
    </row>
    <row r="567" spans="4:8" ht="15.6">
      <c r="D567" s="93"/>
      <c r="E567" s="93"/>
      <c r="F567" s="93"/>
      <c r="G567" s="93"/>
      <c r="H567" s="93"/>
    </row>
    <row r="568" spans="4:8" ht="15.6">
      <c r="D568" s="93"/>
      <c r="E568" s="93"/>
      <c r="F568" s="93"/>
      <c r="G568" s="93"/>
      <c r="H568" s="93"/>
    </row>
    <row r="569" spans="4:8" ht="15.6">
      <c r="D569" s="93"/>
      <c r="E569" s="93"/>
      <c r="F569" s="93"/>
      <c r="G569" s="93"/>
      <c r="H569" s="93"/>
    </row>
    <row r="570" spans="4:8" ht="15.6">
      <c r="D570" s="93"/>
      <c r="E570" s="93"/>
      <c r="F570" s="93"/>
      <c r="G570" s="93"/>
      <c r="H570" s="93"/>
    </row>
    <row r="571" spans="4:8" ht="15.6">
      <c r="D571" s="93"/>
      <c r="E571" s="93"/>
      <c r="F571" s="93"/>
      <c r="G571" s="93"/>
      <c r="H571" s="93"/>
    </row>
    <row r="572" spans="4:8" ht="15.6">
      <c r="D572" s="93"/>
      <c r="E572" s="93"/>
      <c r="F572" s="93"/>
      <c r="G572" s="93"/>
      <c r="H572" s="93"/>
    </row>
    <row r="573" spans="4:8" ht="15.6">
      <c r="D573" s="93"/>
      <c r="E573" s="93"/>
      <c r="F573" s="93"/>
      <c r="G573" s="93"/>
      <c r="H573" s="93"/>
    </row>
    <row r="574" spans="4:8" ht="15.6">
      <c r="D574" s="93"/>
      <c r="E574" s="93"/>
      <c r="F574" s="93"/>
      <c r="G574" s="93"/>
      <c r="H574" s="93"/>
    </row>
    <row r="575" spans="4:8" ht="15.6">
      <c r="D575" s="93"/>
      <c r="E575" s="93"/>
      <c r="F575" s="93"/>
      <c r="G575" s="93"/>
      <c r="H575" s="93"/>
    </row>
    <row r="576" spans="4:8" ht="15.6">
      <c r="D576" s="93"/>
      <c r="E576" s="93"/>
      <c r="F576" s="93"/>
      <c r="G576" s="93"/>
      <c r="H576" s="93"/>
    </row>
    <row r="577" spans="4:8" ht="15.6">
      <c r="D577" s="93"/>
      <c r="E577" s="93"/>
      <c r="F577" s="93"/>
      <c r="G577" s="93"/>
      <c r="H577" s="93"/>
    </row>
    <row r="578" spans="4:8" ht="15.6">
      <c r="D578" s="93"/>
      <c r="E578" s="93"/>
      <c r="F578" s="93"/>
      <c r="G578" s="93"/>
      <c r="H578" s="93"/>
    </row>
    <row r="579" spans="4:8" ht="15.6">
      <c r="D579" s="93"/>
      <c r="E579" s="93"/>
      <c r="F579" s="93"/>
      <c r="G579" s="93"/>
      <c r="H579" s="93"/>
    </row>
    <row r="580" spans="4:8" ht="15.6">
      <c r="D580" s="93"/>
      <c r="E580" s="93"/>
      <c r="F580" s="93"/>
      <c r="G580" s="93"/>
      <c r="H580" s="93"/>
    </row>
    <row r="581" spans="4:8" ht="15.6">
      <c r="D581" s="93"/>
      <c r="E581" s="93"/>
      <c r="F581" s="93"/>
      <c r="G581" s="93"/>
      <c r="H581" s="93"/>
    </row>
    <row r="582" spans="4:8" ht="15.6">
      <c r="D582" s="93"/>
      <c r="E582" s="93"/>
      <c r="F582" s="93"/>
      <c r="G582" s="93"/>
      <c r="H582" s="93"/>
    </row>
    <row r="583" spans="4:8" ht="15.6">
      <c r="D583" s="93"/>
      <c r="E583" s="93"/>
      <c r="F583" s="93"/>
      <c r="G583" s="93"/>
      <c r="H583" s="93"/>
    </row>
    <row r="584" spans="4:8" ht="15.6">
      <c r="D584" s="93"/>
      <c r="E584" s="93"/>
      <c r="F584" s="93"/>
      <c r="G584" s="93"/>
      <c r="H584" s="93"/>
    </row>
    <row r="585" spans="4:8" ht="15.6">
      <c r="D585" s="93"/>
      <c r="E585" s="93"/>
      <c r="F585" s="93"/>
      <c r="G585" s="93"/>
      <c r="H585" s="93"/>
    </row>
    <row r="586" spans="4:8" ht="15.6">
      <c r="D586" s="93"/>
      <c r="E586" s="93"/>
      <c r="F586" s="93"/>
      <c r="G586" s="93"/>
      <c r="H586" s="93"/>
    </row>
    <row r="587" spans="4:8" ht="15.6">
      <c r="D587" s="93"/>
      <c r="E587" s="93"/>
      <c r="F587" s="93"/>
      <c r="G587" s="93"/>
      <c r="H587" s="93"/>
    </row>
    <row r="588" spans="4:8" ht="15.6">
      <c r="D588" s="93"/>
      <c r="E588" s="93"/>
      <c r="F588" s="93"/>
      <c r="G588" s="93"/>
      <c r="H588" s="93"/>
    </row>
    <row r="589" spans="4:8" ht="15.6">
      <c r="D589" s="93"/>
      <c r="E589" s="93"/>
      <c r="F589" s="93"/>
      <c r="G589" s="93"/>
      <c r="H589" s="93"/>
    </row>
    <row r="590" spans="4:8" ht="15.6">
      <c r="D590" s="93"/>
      <c r="E590" s="93"/>
      <c r="F590" s="93"/>
      <c r="G590" s="93"/>
      <c r="H590" s="93"/>
    </row>
    <row r="591" spans="4:8" ht="15.6">
      <c r="D591" s="93"/>
      <c r="E591" s="93"/>
      <c r="F591" s="93"/>
      <c r="G591" s="93"/>
      <c r="H591" s="93"/>
    </row>
    <row r="592" spans="4:8" ht="15.6">
      <c r="D592" s="93"/>
      <c r="E592" s="93"/>
      <c r="F592" s="93"/>
      <c r="G592" s="93"/>
      <c r="H592" s="93"/>
    </row>
    <row r="593" spans="4:8" ht="15.6">
      <c r="D593" s="93"/>
      <c r="E593" s="93"/>
      <c r="F593" s="93"/>
      <c r="G593" s="93"/>
      <c r="H593" s="93"/>
    </row>
    <row r="594" spans="4:8" ht="15.6">
      <c r="D594" s="93"/>
      <c r="E594" s="93"/>
      <c r="F594" s="93"/>
      <c r="G594" s="93"/>
      <c r="H594" s="93"/>
    </row>
    <row r="595" spans="4:8" ht="15.6">
      <c r="D595" s="93"/>
      <c r="E595" s="93"/>
      <c r="F595" s="93"/>
      <c r="G595" s="93"/>
      <c r="H595" s="93"/>
    </row>
    <row r="596" spans="4:8" ht="15.6">
      <c r="D596" s="93"/>
      <c r="E596" s="93"/>
      <c r="F596" s="93"/>
      <c r="G596" s="93"/>
      <c r="H596" s="93"/>
    </row>
    <row r="597" spans="4:8" ht="15.6">
      <c r="D597" s="93"/>
      <c r="E597" s="93"/>
      <c r="F597" s="93"/>
      <c r="G597" s="93"/>
      <c r="H597" s="93"/>
    </row>
    <row r="598" spans="4:8" ht="15.6">
      <c r="D598" s="93"/>
      <c r="E598" s="93"/>
      <c r="F598" s="93"/>
      <c r="G598" s="93"/>
      <c r="H598" s="93"/>
    </row>
    <row r="599" spans="4:8" ht="15.6">
      <c r="D599" s="93"/>
      <c r="E599" s="93"/>
      <c r="F599" s="93"/>
      <c r="G599" s="93"/>
      <c r="H599" s="93"/>
    </row>
    <row r="600" spans="4:8" ht="15.6">
      <c r="D600" s="93"/>
      <c r="E600" s="93"/>
      <c r="F600" s="93"/>
      <c r="G600" s="93"/>
      <c r="H600" s="93"/>
    </row>
    <row r="601" spans="4:8" ht="15.6">
      <c r="D601" s="93"/>
      <c r="E601" s="93"/>
      <c r="F601" s="93"/>
      <c r="G601" s="93"/>
      <c r="H601" s="93"/>
    </row>
    <row r="602" spans="4:8" ht="15.6">
      <c r="D602" s="93"/>
      <c r="E602" s="93"/>
      <c r="F602" s="93"/>
      <c r="G602" s="93"/>
      <c r="H602" s="93"/>
    </row>
    <row r="603" spans="4:8" ht="15.6">
      <c r="D603" s="93"/>
      <c r="E603" s="93"/>
      <c r="F603" s="93"/>
      <c r="G603" s="93"/>
      <c r="H603" s="93"/>
    </row>
    <row r="604" spans="4:8" ht="15.6">
      <c r="D604" s="93"/>
      <c r="E604" s="93"/>
      <c r="F604" s="93"/>
      <c r="G604" s="93"/>
      <c r="H604" s="93"/>
    </row>
    <row r="605" spans="4:8" ht="15.6">
      <c r="D605" s="93"/>
      <c r="E605" s="93"/>
      <c r="F605" s="93"/>
      <c r="G605" s="93"/>
      <c r="H605" s="93"/>
    </row>
    <row r="606" spans="4:8" ht="15.6">
      <c r="D606" s="93"/>
      <c r="E606" s="93"/>
      <c r="F606" s="93"/>
      <c r="G606" s="93"/>
      <c r="H606" s="93"/>
    </row>
    <row r="607" spans="4:8" ht="15.6">
      <c r="D607" s="93"/>
      <c r="E607" s="93"/>
      <c r="F607" s="93"/>
      <c r="G607" s="93"/>
      <c r="H607" s="93"/>
    </row>
    <row r="608" spans="4:8" ht="15.6">
      <c r="D608" s="93"/>
      <c r="E608" s="93"/>
      <c r="F608" s="93"/>
      <c r="G608" s="93"/>
      <c r="H608" s="93"/>
    </row>
    <row r="609" spans="4:8" ht="15.6">
      <c r="D609" s="93"/>
      <c r="E609" s="93"/>
      <c r="F609" s="93"/>
      <c r="G609" s="93"/>
      <c r="H609" s="93"/>
    </row>
    <row r="610" spans="4:8" ht="15.6">
      <c r="D610" s="93"/>
      <c r="E610" s="93"/>
      <c r="F610" s="93"/>
      <c r="G610" s="93"/>
      <c r="H610" s="93"/>
    </row>
    <row r="611" spans="4:8" ht="15.6">
      <c r="D611" s="93"/>
      <c r="E611" s="93"/>
      <c r="F611" s="93"/>
      <c r="G611" s="93"/>
      <c r="H611" s="93"/>
    </row>
    <row r="612" spans="4:8" ht="15.6">
      <c r="D612" s="93"/>
      <c r="E612" s="93"/>
      <c r="F612" s="93"/>
      <c r="G612" s="93"/>
      <c r="H612" s="93"/>
    </row>
    <row r="613" spans="4:8" ht="15.6">
      <c r="D613" s="93"/>
      <c r="E613" s="93"/>
      <c r="F613" s="93"/>
      <c r="G613" s="93"/>
      <c r="H613" s="93"/>
    </row>
    <row r="614" spans="4:8" ht="15.6">
      <c r="D614" s="93"/>
      <c r="E614" s="93"/>
      <c r="F614" s="93"/>
      <c r="G614" s="93"/>
      <c r="H614" s="93"/>
    </row>
    <row r="615" spans="4:8" ht="15.6">
      <c r="D615" s="93"/>
      <c r="E615" s="93"/>
      <c r="F615" s="93"/>
      <c r="G615" s="93"/>
      <c r="H615" s="93"/>
    </row>
    <row r="616" spans="4:8" ht="15.6">
      <c r="D616" s="93"/>
      <c r="E616" s="93"/>
      <c r="F616" s="93"/>
      <c r="G616" s="93"/>
      <c r="H616" s="93"/>
    </row>
    <row r="617" spans="4:8" ht="15.6">
      <c r="D617" s="93"/>
      <c r="E617" s="93"/>
      <c r="F617" s="93"/>
      <c r="G617" s="93"/>
      <c r="H617" s="93"/>
    </row>
    <row r="618" spans="4:8" ht="15.6">
      <c r="D618" s="93"/>
      <c r="E618" s="93"/>
      <c r="F618" s="93"/>
      <c r="G618" s="93"/>
      <c r="H618" s="93"/>
    </row>
    <row r="619" spans="4:8" ht="15.6">
      <c r="D619" s="93"/>
      <c r="E619" s="93"/>
      <c r="F619" s="93"/>
      <c r="G619" s="93"/>
      <c r="H619" s="93"/>
    </row>
    <row r="620" spans="4:8" ht="15.6">
      <c r="D620" s="93"/>
      <c r="E620" s="93"/>
      <c r="F620" s="93"/>
      <c r="G620" s="93"/>
      <c r="H620" s="93"/>
    </row>
    <row r="621" spans="4:8" ht="15.6">
      <c r="D621" s="93"/>
      <c r="E621" s="93"/>
      <c r="F621" s="93"/>
      <c r="G621" s="93"/>
      <c r="H621" s="93"/>
    </row>
    <row r="622" spans="4:8" ht="15.6">
      <c r="D622" s="93"/>
      <c r="E622" s="93"/>
      <c r="F622" s="93"/>
      <c r="G622" s="93"/>
      <c r="H622" s="93"/>
    </row>
    <row r="623" spans="4:8" ht="15.6">
      <c r="D623" s="93"/>
      <c r="E623" s="93"/>
      <c r="F623" s="93"/>
      <c r="G623" s="93"/>
      <c r="H623" s="93"/>
    </row>
    <row r="624" spans="4:8" ht="15.6">
      <c r="D624" s="93"/>
      <c r="E624" s="93"/>
      <c r="F624" s="93"/>
      <c r="G624" s="93"/>
      <c r="H624" s="93"/>
    </row>
    <row r="625" spans="4:8" ht="15.6">
      <c r="D625" s="93"/>
      <c r="E625" s="93"/>
      <c r="F625" s="93"/>
      <c r="G625" s="93"/>
      <c r="H625" s="93"/>
    </row>
    <row r="626" spans="4:8" ht="15.6">
      <c r="D626" s="93"/>
      <c r="E626" s="93"/>
      <c r="F626" s="93"/>
      <c r="G626" s="93"/>
      <c r="H626" s="93"/>
    </row>
    <row r="627" spans="4:8" ht="15.6">
      <c r="D627" s="93"/>
      <c r="E627" s="93"/>
      <c r="F627" s="93"/>
      <c r="G627" s="93"/>
      <c r="H627" s="93"/>
    </row>
    <row r="628" spans="4:8" ht="15.6">
      <c r="D628" s="93"/>
      <c r="E628" s="93"/>
      <c r="F628" s="93"/>
      <c r="G628" s="93"/>
      <c r="H628" s="93"/>
    </row>
    <row r="629" spans="4:8" ht="15.6">
      <c r="D629" s="93"/>
      <c r="E629" s="93"/>
      <c r="F629" s="93"/>
      <c r="G629" s="93"/>
      <c r="H629" s="93"/>
    </row>
    <row r="630" spans="4:8" ht="15.6">
      <c r="D630" s="93"/>
      <c r="E630" s="93"/>
      <c r="F630" s="93"/>
      <c r="G630" s="93"/>
      <c r="H630" s="93"/>
    </row>
    <row r="631" spans="4:8" ht="15.6">
      <c r="D631" s="93"/>
      <c r="E631" s="93"/>
      <c r="F631" s="93"/>
      <c r="G631" s="93"/>
      <c r="H631" s="93"/>
    </row>
    <row r="632" spans="4:8" ht="15.6">
      <c r="D632" s="93"/>
      <c r="E632" s="93"/>
      <c r="F632" s="93"/>
      <c r="G632" s="93"/>
      <c r="H632" s="93"/>
    </row>
    <row r="633" spans="4:8" ht="15.6">
      <c r="D633" s="93"/>
      <c r="E633" s="93"/>
      <c r="F633" s="93"/>
      <c r="G633" s="93"/>
      <c r="H633" s="93"/>
    </row>
    <row r="634" spans="4:8" ht="15.6">
      <c r="D634" s="93"/>
      <c r="E634" s="93"/>
      <c r="F634" s="93"/>
      <c r="G634" s="93"/>
      <c r="H634" s="93"/>
    </row>
    <row r="635" spans="4:8" ht="15.6">
      <c r="D635" s="93"/>
      <c r="E635" s="93"/>
      <c r="F635" s="93"/>
      <c r="G635" s="93"/>
      <c r="H635" s="93"/>
    </row>
    <row r="636" spans="4:8" ht="15.6">
      <c r="D636" s="93"/>
      <c r="E636" s="93"/>
      <c r="F636" s="93"/>
      <c r="G636" s="93"/>
      <c r="H636" s="93"/>
    </row>
    <row r="637" spans="4:8" ht="15.6">
      <c r="D637" s="93"/>
      <c r="E637" s="93"/>
      <c r="F637" s="93"/>
      <c r="G637" s="93"/>
      <c r="H637" s="93"/>
    </row>
    <row r="638" spans="4:8" ht="15.6">
      <c r="D638" s="93"/>
      <c r="E638" s="93"/>
      <c r="F638" s="93"/>
      <c r="G638" s="93"/>
      <c r="H638" s="93"/>
    </row>
    <row r="639" spans="4:8" ht="15.6">
      <c r="D639" s="93"/>
      <c r="E639" s="93"/>
      <c r="F639" s="93"/>
      <c r="G639" s="93"/>
      <c r="H639" s="93"/>
    </row>
    <row r="640" spans="4:8" ht="15.6">
      <c r="D640" s="93"/>
      <c r="E640" s="93"/>
      <c r="F640" s="93"/>
      <c r="G640" s="93"/>
      <c r="H640" s="93"/>
    </row>
    <row r="641" spans="4:8" ht="15.6">
      <c r="D641" s="93"/>
      <c r="E641" s="93"/>
      <c r="F641" s="93"/>
      <c r="G641" s="93"/>
      <c r="H641" s="93"/>
    </row>
    <row r="642" spans="4:8" ht="15.6">
      <c r="D642" s="93"/>
      <c r="E642" s="93"/>
      <c r="F642" s="93"/>
      <c r="G642" s="93"/>
      <c r="H642" s="93"/>
    </row>
    <row r="643" spans="4:8" ht="15.6">
      <c r="D643" s="93"/>
      <c r="E643" s="93"/>
      <c r="F643" s="93"/>
      <c r="G643" s="93"/>
      <c r="H643" s="93"/>
    </row>
    <row r="644" spans="4:8" ht="15.6">
      <c r="D644" s="93"/>
      <c r="E644" s="93"/>
      <c r="F644" s="93"/>
      <c r="G644" s="93"/>
      <c r="H644" s="93"/>
    </row>
    <row r="645" spans="4:8" ht="15.6">
      <c r="D645" s="93"/>
      <c r="E645" s="93"/>
      <c r="F645" s="93"/>
      <c r="G645" s="93"/>
      <c r="H645" s="93"/>
    </row>
    <row r="646" spans="4:8" ht="15.6">
      <c r="D646" s="93"/>
      <c r="E646" s="93"/>
      <c r="F646" s="93"/>
      <c r="G646" s="93"/>
      <c r="H646" s="93"/>
    </row>
    <row r="647" spans="4:8" ht="15.6">
      <c r="D647" s="93"/>
      <c r="E647" s="93"/>
      <c r="F647" s="93"/>
      <c r="G647" s="93"/>
      <c r="H647" s="93"/>
    </row>
    <row r="648" spans="4:8" ht="15.6">
      <c r="D648" s="93"/>
      <c r="E648" s="93"/>
      <c r="F648" s="93"/>
      <c r="G648" s="93"/>
      <c r="H648" s="93"/>
    </row>
    <row r="649" spans="4:8" ht="15.6">
      <c r="D649" s="93"/>
      <c r="E649" s="93"/>
      <c r="F649" s="93"/>
      <c r="G649" s="93"/>
      <c r="H649" s="93"/>
    </row>
    <row r="650" spans="4:8" ht="15.6">
      <c r="D650" s="93"/>
      <c r="E650" s="93"/>
      <c r="F650" s="93"/>
      <c r="G650" s="93"/>
      <c r="H650" s="93"/>
    </row>
    <row r="651" spans="4:8" ht="15.6">
      <c r="D651" s="93"/>
      <c r="E651" s="93"/>
      <c r="F651" s="93"/>
      <c r="G651" s="93"/>
      <c r="H651" s="93"/>
    </row>
    <row r="652" spans="4:8" ht="15.6">
      <c r="D652" s="93"/>
      <c r="E652" s="93"/>
      <c r="F652" s="93"/>
      <c r="G652" s="93"/>
      <c r="H652" s="93"/>
    </row>
    <row r="653" spans="4:8" ht="15.6">
      <c r="D653" s="93"/>
      <c r="E653" s="93"/>
      <c r="F653" s="93"/>
      <c r="G653" s="93"/>
      <c r="H653" s="93"/>
    </row>
    <row r="654" spans="4:8" ht="15.6">
      <c r="D654" s="93"/>
      <c r="E654" s="93"/>
      <c r="F654" s="93"/>
      <c r="G654" s="93"/>
      <c r="H654" s="93"/>
    </row>
    <row r="655" spans="4:8" ht="15.6">
      <c r="D655" s="93"/>
      <c r="E655" s="93"/>
      <c r="F655" s="93"/>
      <c r="G655" s="93"/>
      <c r="H655" s="93"/>
    </row>
    <row r="656" spans="4:8" ht="15.6">
      <c r="D656" s="93"/>
      <c r="E656" s="93"/>
      <c r="F656" s="93"/>
      <c r="G656" s="93"/>
      <c r="H656" s="93"/>
    </row>
    <row r="657" spans="4:8" ht="15.6">
      <c r="D657" s="93"/>
      <c r="E657" s="93"/>
      <c r="F657" s="93"/>
      <c r="G657" s="93"/>
      <c r="H657" s="93"/>
    </row>
    <row r="658" spans="4:8" ht="15.6">
      <c r="D658" s="93"/>
      <c r="E658" s="93"/>
      <c r="F658" s="93"/>
      <c r="G658" s="93"/>
      <c r="H658" s="93"/>
    </row>
    <row r="659" spans="4:8" ht="15.6">
      <c r="D659" s="93"/>
      <c r="E659" s="93"/>
      <c r="F659" s="93"/>
      <c r="G659" s="93"/>
      <c r="H659" s="93"/>
    </row>
    <row r="660" spans="4:8" ht="15.6">
      <c r="D660" s="93"/>
      <c r="E660" s="93"/>
      <c r="F660" s="93"/>
      <c r="G660" s="93"/>
      <c r="H660" s="93"/>
    </row>
    <row r="661" spans="4:8" ht="15.6">
      <c r="D661" s="93"/>
      <c r="E661" s="93"/>
      <c r="F661" s="93"/>
      <c r="G661" s="93"/>
      <c r="H661" s="93"/>
    </row>
    <row r="662" spans="4:8" ht="15.6">
      <c r="D662" s="93"/>
      <c r="E662" s="93"/>
      <c r="F662" s="93"/>
      <c r="G662" s="93"/>
      <c r="H662" s="93"/>
    </row>
    <row r="663" spans="4:8" ht="15.6">
      <c r="D663" s="93"/>
      <c r="E663" s="93"/>
      <c r="F663" s="93"/>
      <c r="G663" s="93"/>
      <c r="H663" s="93"/>
    </row>
    <row r="664" spans="4:8" ht="15.6">
      <c r="D664" s="93"/>
      <c r="E664" s="93"/>
      <c r="F664" s="93"/>
      <c r="G664" s="93"/>
      <c r="H664" s="93"/>
    </row>
    <row r="665" spans="4:8" ht="15.6">
      <c r="D665" s="93"/>
      <c r="E665" s="93"/>
      <c r="F665" s="93"/>
      <c r="G665" s="93"/>
      <c r="H665" s="93"/>
    </row>
    <row r="666" spans="4:8" ht="15.6">
      <c r="D666" s="93"/>
      <c r="E666" s="93"/>
      <c r="F666" s="93"/>
      <c r="G666" s="93"/>
      <c r="H666" s="93"/>
    </row>
    <row r="667" spans="4:8" ht="15.6">
      <c r="D667" s="93"/>
      <c r="E667" s="93"/>
      <c r="F667" s="93"/>
      <c r="G667" s="93"/>
      <c r="H667" s="93"/>
    </row>
    <row r="668" spans="4:8" ht="15.6">
      <c r="D668" s="93"/>
      <c r="E668" s="93"/>
      <c r="F668" s="93"/>
      <c r="G668" s="93"/>
      <c r="H668" s="93"/>
    </row>
    <row r="669" spans="4:8" ht="15.6">
      <c r="D669" s="93"/>
      <c r="E669" s="93"/>
      <c r="F669" s="93"/>
      <c r="G669" s="93"/>
      <c r="H669" s="93"/>
    </row>
    <row r="670" spans="4:8" ht="15.6">
      <c r="D670" s="93"/>
      <c r="E670" s="93"/>
      <c r="F670" s="93"/>
      <c r="G670" s="93"/>
      <c r="H670" s="93"/>
    </row>
    <row r="671" spans="4:8" ht="15.6">
      <c r="D671" s="93"/>
      <c r="E671" s="93"/>
      <c r="F671" s="93"/>
      <c r="G671" s="93"/>
      <c r="H671" s="93"/>
    </row>
    <row r="672" spans="4:8" ht="15.6">
      <c r="D672" s="93"/>
      <c r="E672" s="93"/>
      <c r="F672" s="93"/>
      <c r="G672" s="93"/>
      <c r="H672" s="93"/>
    </row>
    <row r="673" spans="4:8" ht="15.6">
      <c r="D673" s="93"/>
      <c r="E673" s="93"/>
      <c r="F673" s="93"/>
      <c r="G673" s="93"/>
      <c r="H673" s="93"/>
    </row>
    <row r="674" spans="4:8" ht="15.6">
      <c r="D674" s="93"/>
      <c r="E674" s="93"/>
      <c r="F674" s="93"/>
      <c r="G674" s="93"/>
      <c r="H674" s="93"/>
    </row>
    <row r="675" spans="4:8" ht="15.6">
      <c r="D675" s="93"/>
      <c r="E675" s="93"/>
      <c r="F675" s="93"/>
      <c r="G675" s="93"/>
      <c r="H675" s="93"/>
    </row>
    <row r="676" spans="4:8" ht="15.6">
      <c r="D676" s="93"/>
      <c r="E676" s="93"/>
      <c r="F676" s="93"/>
      <c r="G676" s="93"/>
      <c r="H676" s="93"/>
    </row>
    <row r="677" spans="4:8" ht="15.6">
      <c r="D677" s="93"/>
      <c r="E677" s="93"/>
      <c r="F677" s="93"/>
      <c r="G677" s="93"/>
      <c r="H677" s="93"/>
    </row>
    <row r="678" spans="4:8" ht="15.6">
      <c r="D678" s="93"/>
      <c r="E678" s="93"/>
      <c r="F678" s="93"/>
      <c r="G678" s="93"/>
      <c r="H678" s="93"/>
    </row>
    <row r="679" spans="4:8" ht="15.6">
      <c r="D679" s="93"/>
      <c r="E679" s="93"/>
      <c r="F679" s="93"/>
      <c r="G679" s="93"/>
      <c r="H679" s="93"/>
    </row>
    <row r="680" spans="4:8" ht="15.6">
      <c r="D680" s="93"/>
      <c r="E680" s="93"/>
      <c r="F680" s="93"/>
      <c r="G680" s="93"/>
      <c r="H680" s="93"/>
    </row>
    <row r="681" spans="4:8" ht="15.6">
      <c r="D681" s="93"/>
      <c r="E681" s="93"/>
      <c r="F681" s="93"/>
      <c r="G681" s="93"/>
      <c r="H681" s="93"/>
    </row>
    <row r="682" spans="4:8" ht="15.6">
      <c r="D682" s="93"/>
      <c r="E682" s="93"/>
      <c r="F682" s="93"/>
      <c r="G682" s="93"/>
      <c r="H682" s="93"/>
    </row>
    <row r="683" spans="4:8" ht="15.6">
      <c r="D683" s="93"/>
      <c r="E683" s="93"/>
      <c r="F683" s="93"/>
      <c r="G683" s="93"/>
      <c r="H683" s="93"/>
    </row>
    <row r="684" spans="4:8" ht="15.6">
      <c r="D684" s="93"/>
      <c r="E684" s="93"/>
      <c r="F684" s="93"/>
      <c r="G684" s="93"/>
      <c r="H684" s="93"/>
    </row>
    <row r="685" spans="4:8" ht="15.6">
      <c r="D685" s="93"/>
      <c r="E685" s="93"/>
      <c r="F685" s="93"/>
      <c r="G685" s="93"/>
      <c r="H685" s="93"/>
    </row>
    <row r="686" spans="4:8" ht="15.6">
      <c r="D686" s="93"/>
      <c r="E686" s="93"/>
      <c r="F686" s="93"/>
      <c r="G686" s="93"/>
      <c r="H686" s="93"/>
    </row>
    <row r="687" spans="4:8" ht="15.6">
      <c r="D687" s="93"/>
      <c r="E687" s="93"/>
      <c r="F687" s="93"/>
      <c r="G687" s="93"/>
      <c r="H687" s="93"/>
    </row>
    <row r="688" spans="4:8" ht="15.6">
      <c r="D688" s="93"/>
      <c r="E688" s="93"/>
      <c r="F688" s="93"/>
      <c r="G688" s="93"/>
      <c r="H688" s="93"/>
    </row>
    <row r="689" spans="4:8" ht="15.6">
      <c r="D689" s="93"/>
      <c r="E689" s="93"/>
      <c r="F689" s="93"/>
      <c r="G689" s="93"/>
      <c r="H689" s="93"/>
    </row>
    <row r="690" spans="4:8" ht="15.6">
      <c r="D690" s="93"/>
      <c r="E690" s="93"/>
      <c r="F690" s="93"/>
      <c r="G690" s="93"/>
      <c r="H690" s="93"/>
    </row>
    <row r="691" spans="4:8" ht="15.6">
      <c r="D691" s="93"/>
      <c r="E691" s="93"/>
      <c r="F691" s="93"/>
      <c r="G691" s="93"/>
      <c r="H691" s="93"/>
    </row>
    <row r="692" spans="4:8" ht="15.6">
      <c r="D692" s="93"/>
      <c r="E692" s="93"/>
      <c r="F692" s="93"/>
      <c r="G692" s="93"/>
      <c r="H692" s="93"/>
    </row>
    <row r="693" spans="4:8" ht="15.6">
      <c r="D693" s="93"/>
      <c r="E693" s="93"/>
      <c r="F693" s="93"/>
      <c r="G693" s="93"/>
      <c r="H693" s="93"/>
    </row>
    <row r="694" spans="4:8" ht="15.6">
      <c r="D694" s="93"/>
      <c r="E694" s="93"/>
      <c r="F694" s="93"/>
      <c r="G694" s="93"/>
      <c r="H694" s="93"/>
    </row>
    <row r="695" spans="4:8" ht="15.6">
      <c r="D695" s="93"/>
      <c r="E695" s="93"/>
      <c r="F695" s="93"/>
      <c r="G695" s="93"/>
      <c r="H695" s="93"/>
    </row>
    <row r="696" spans="4:8" ht="15.6">
      <c r="D696" s="93"/>
      <c r="E696" s="93"/>
      <c r="F696" s="93"/>
      <c r="G696" s="93"/>
      <c r="H696" s="93"/>
    </row>
    <row r="697" spans="4:8" ht="15.6">
      <c r="D697" s="93"/>
      <c r="E697" s="93"/>
      <c r="F697" s="93"/>
      <c r="G697" s="93"/>
      <c r="H697" s="93"/>
    </row>
    <row r="698" spans="4:8" ht="15.6">
      <c r="D698" s="93"/>
      <c r="E698" s="93"/>
      <c r="F698" s="93"/>
      <c r="G698" s="93"/>
      <c r="H698" s="93"/>
    </row>
    <row r="699" spans="4:8" ht="15.6">
      <c r="D699" s="93"/>
      <c r="E699" s="93"/>
      <c r="F699" s="93"/>
      <c r="G699" s="93"/>
      <c r="H699" s="93"/>
    </row>
    <row r="700" spans="4:8" ht="15.6">
      <c r="D700" s="93"/>
      <c r="E700" s="93"/>
      <c r="F700" s="93"/>
      <c r="G700" s="93"/>
      <c r="H700" s="93"/>
    </row>
    <row r="701" spans="4:8" ht="15.6">
      <c r="D701" s="93"/>
      <c r="E701" s="93"/>
      <c r="F701" s="93"/>
      <c r="G701" s="93"/>
      <c r="H701" s="93"/>
    </row>
    <row r="702" spans="4:8" ht="15.6">
      <c r="D702" s="93"/>
      <c r="E702" s="93"/>
      <c r="F702" s="93"/>
      <c r="G702" s="93"/>
      <c r="H702" s="93"/>
    </row>
    <row r="703" spans="4:8" ht="15.6">
      <c r="D703" s="93"/>
      <c r="E703" s="93"/>
      <c r="F703" s="93"/>
      <c r="G703" s="93"/>
      <c r="H703" s="93"/>
    </row>
    <row r="704" spans="4:8" ht="15.6">
      <c r="D704" s="93"/>
      <c r="E704" s="93"/>
      <c r="F704" s="93"/>
      <c r="G704" s="93"/>
      <c r="H704" s="93"/>
    </row>
    <row r="705" spans="4:8" ht="15.6">
      <c r="D705" s="93"/>
      <c r="E705" s="93"/>
      <c r="F705" s="93"/>
      <c r="G705" s="93"/>
      <c r="H705" s="93"/>
    </row>
    <row r="706" spans="4:8" ht="15.6">
      <c r="D706" s="93"/>
      <c r="E706" s="93"/>
      <c r="F706" s="93"/>
      <c r="G706" s="93"/>
      <c r="H706" s="93"/>
    </row>
    <row r="707" spans="4:8" ht="15.6">
      <c r="D707" s="93"/>
      <c r="E707" s="93"/>
      <c r="F707" s="93"/>
      <c r="G707" s="93"/>
      <c r="H707" s="93"/>
    </row>
    <row r="708" spans="4:8" ht="15.6">
      <c r="D708" s="93"/>
      <c r="E708" s="93"/>
      <c r="F708" s="93"/>
      <c r="G708" s="93"/>
      <c r="H708" s="93"/>
    </row>
    <row r="709" spans="4:8" ht="15.6">
      <c r="D709" s="93"/>
      <c r="E709" s="93"/>
      <c r="F709" s="93"/>
      <c r="G709" s="93"/>
      <c r="H709" s="93"/>
    </row>
    <row r="710" spans="4:8" ht="15.6">
      <c r="D710" s="93"/>
      <c r="E710" s="93"/>
      <c r="F710" s="93"/>
      <c r="G710" s="93"/>
      <c r="H710" s="93"/>
    </row>
    <row r="711" spans="4:8" ht="15.6">
      <c r="D711" s="93"/>
      <c r="E711" s="93"/>
      <c r="F711" s="93"/>
      <c r="G711" s="93"/>
      <c r="H711" s="93"/>
    </row>
    <row r="712" spans="4:8" ht="15.6">
      <c r="D712" s="93"/>
      <c r="E712" s="93"/>
      <c r="F712" s="93"/>
      <c r="G712" s="93"/>
      <c r="H712" s="93"/>
    </row>
    <row r="713" spans="4:8" ht="15.6">
      <c r="D713" s="93"/>
      <c r="E713" s="93"/>
      <c r="F713" s="93"/>
      <c r="G713" s="93"/>
      <c r="H713" s="93"/>
    </row>
    <row r="714" spans="4:8" ht="15.6">
      <c r="D714" s="93"/>
      <c r="E714" s="93"/>
      <c r="F714" s="93"/>
      <c r="G714" s="93"/>
      <c r="H714" s="93"/>
    </row>
    <row r="715" spans="4:8" ht="15.6">
      <c r="D715" s="93"/>
      <c r="E715" s="93"/>
      <c r="F715" s="93"/>
      <c r="G715" s="93"/>
      <c r="H715" s="93"/>
    </row>
    <row r="716" spans="4:8" ht="15.6">
      <c r="D716" s="93"/>
      <c r="E716" s="93"/>
      <c r="F716" s="93"/>
      <c r="G716" s="93"/>
      <c r="H716" s="93"/>
    </row>
    <row r="717" spans="4:8" ht="15.6">
      <c r="D717" s="93"/>
      <c r="E717" s="93"/>
      <c r="F717" s="93"/>
      <c r="G717" s="93"/>
      <c r="H717" s="93"/>
    </row>
    <row r="718" spans="4:8" ht="15.6">
      <c r="D718" s="93"/>
      <c r="E718" s="93"/>
      <c r="F718" s="93"/>
      <c r="G718" s="93"/>
      <c r="H718" s="93"/>
    </row>
    <row r="719" spans="4:8" ht="15.6">
      <c r="D719" s="93"/>
      <c r="E719" s="93"/>
      <c r="F719" s="93"/>
      <c r="G719" s="93"/>
      <c r="H719" s="93"/>
    </row>
    <row r="720" spans="4:8" ht="15.6">
      <c r="D720" s="93"/>
      <c r="E720" s="93"/>
      <c r="F720" s="93"/>
      <c r="G720" s="93"/>
      <c r="H720" s="93"/>
    </row>
    <row r="721" spans="4:8" ht="15.6">
      <c r="D721" s="93"/>
      <c r="E721" s="93"/>
      <c r="F721" s="93"/>
      <c r="G721" s="93"/>
      <c r="H721" s="93"/>
    </row>
    <row r="722" spans="4:8" ht="15.6">
      <c r="D722" s="93"/>
      <c r="E722" s="93"/>
      <c r="F722" s="93"/>
      <c r="G722" s="93"/>
      <c r="H722" s="93"/>
    </row>
    <row r="723" spans="4:8" ht="15.6">
      <c r="D723" s="93"/>
      <c r="E723" s="93"/>
      <c r="F723" s="93"/>
      <c r="G723" s="93"/>
      <c r="H723" s="93"/>
    </row>
    <row r="724" spans="4:8" ht="15.6">
      <c r="D724" s="93"/>
      <c r="E724" s="93"/>
      <c r="F724" s="93"/>
      <c r="G724" s="93"/>
      <c r="H724" s="93"/>
    </row>
    <row r="725" spans="4:8" ht="15.6">
      <c r="D725" s="93"/>
      <c r="E725" s="93"/>
      <c r="F725" s="93"/>
      <c r="G725" s="93"/>
      <c r="H725" s="93"/>
    </row>
    <row r="726" spans="4:8" ht="15.6">
      <c r="D726" s="93"/>
      <c r="E726" s="93"/>
      <c r="F726" s="93"/>
      <c r="G726" s="93"/>
      <c r="H726" s="93"/>
    </row>
    <row r="727" spans="4:8" ht="15.6">
      <c r="D727" s="93"/>
      <c r="E727" s="93"/>
      <c r="F727" s="93"/>
      <c r="G727" s="93"/>
      <c r="H727" s="93"/>
    </row>
    <row r="728" spans="4:8" ht="15.6">
      <c r="D728" s="93"/>
      <c r="E728" s="93"/>
      <c r="F728" s="93"/>
      <c r="G728" s="93"/>
      <c r="H728" s="93"/>
    </row>
    <row r="729" spans="4:8" ht="15.6">
      <c r="D729" s="93"/>
      <c r="E729" s="93"/>
      <c r="F729" s="93"/>
      <c r="G729" s="93"/>
      <c r="H729" s="93"/>
    </row>
    <row r="730" spans="4:8" ht="15.6">
      <c r="D730" s="93"/>
      <c r="E730" s="93"/>
      <c r="F730" s="93"/>
      <c r="G730" s="93"/>
      <c r="H730" s="93"/>
    </row>
    <row r="731" spans="4:8" ht="15.6">
      <c r="D731" s="93"/>
      <c r="E731" s="93"/>
      <c r="F731" s="93"/>
      <c r="G731" s="93"/>
      <c r="H731" s="93"/>
    </row>
    <row r="732" spans="4:8" ht="15.6">
      <c r="D732" s="93"/>
      <c r="E732" s="93"/>
      <c r="F732" s="93"/>
      <c r="G732" s="93"/>
      <c r="H732" s="93"/>
    </row>
    <row r="733" spans="4:8" ht="15.6">
      <c r="D733" s="93"/>
      <c r="E733" s="93"/>
      <c r="F733" s="93"/>
      <c r="G733" s="93"/>
      <c r="H733" s="93"/>
    </row>
    <row r="734" spans="4:8" ht="15.6">
      <c r="D734" s="93"/>
      <c r="E734" s="93"/>
      <c r="F734" s="93"/>
      <c r="G734" s="93"/>
      <c r="H734" s="93"/>
    </row>
    <row r="735" spans="4:8" ht="15.6">
      <c r="D735" s="93"/>
      <c r="E735" s="93"/>
      <c r="F735" s="93"/>
      <c r="G735" s="93"/>
      <c r="H735" s="93"/>
    </row>
    <row r="736" spans="4:8" ht="15.6">
      <c r="D736" s="93"/>
      <c r="E736" s="93"/>
      <c r="F736" s="93"/>
      <c r="G736" s="93"/>
      <c r="H736" s="93"/>
    </row>
    <row r="737" spans="4:8" ht="15.6">
      <c r="D737" s="93"/>
      <c r="E737" s="93"/>
      <c r="F737" s="93"/>
      <c r="G737" s="93"/>
      <c r="H737" s="93"/>
    </row>
    <row r="738" spans="4:8" ht="15.6">
      <c r="D738" s="93"/>
      <c r="E738" s="93"/>
      <c r="F738" s="93"/>
      <c r="G738" s="93"/>
      <c r="H738" s="93"/>
    </row>
    <row r="739" spans="4:8" ht="15.6">
      <c r="D739" s="93"/>
      <c r="E739" s="93"/>
      <c r="F739" s="93"/>
      <c r="G739" s="93"/>
      <c r="H739" s="93"/>
    </row>
    <row r="740" spans="4:8" ht="15.6">
      <c r="D740" s="93"/>
      <c r="E740" s="93"/>
      <c r="F740" s="93"/>
      <c r="G740" s="93"/>
      <c r="H740" s="93"/>
    </row>
    <row r="741" spans="4:8" ht="15.6">
      <c r="D741" s="93"/>
      <c r="E741" s="93"/>
      <c r="F741" s="93"/>
      <c r="G741" s="93"/>
      <c r="H741" s="93"/>
    </row>
    <row r="742" spans="4:8" ht="15.6">
      <c r="D742" s="93"/>
      <c r="E742" s="93"/>
      <c r="F742" s="93"/>
      <c r="G742" s="93"/>
      <c r="H742" s="93"/>
    </row>
    <row r="743" spans="4:8" ht="15.6">
      <c r="D743" s="93"/>
      <c r="E743" s="93"/>
      <c r="F743" s="93"/>
      <c r="G743" s="93"/>
      <c r="H743" s="93"/>
    </row>
    <row r="744" spans="4:8" ht="15.6">
      <c r="D744" s="93"/>
      <c r="E744" s="93"/>
      <c r="F744" s="93"/>
      <c r="G744" s="93"/>
      <c r="H744" s="93"/>
    </row>
    <row r="745" spans="4:8" ht="15.6">
      <c r="D745" s="93"/>
      <c r="E745" s="93"/>
      <c r="F745" s="93"/>
      <c r="G745" s="93"/>
      <c r="H745" s="93"/>
    </row>
    <row r="746" spans="4:8" ht="15.6">
      <c r="D746" s="93"/>
      <c r="E746" s="93"/>
      <c r="F746" s="93"/>
      <c r="G746" s="93"/>
      <c r="H746" s="93"/>
    </row>
    <row r="747" spans="4:8" ht="15.6">
      <c r="D747" s="93"/>
      <c r="E747" s="93"/>
      <c r="F747" s="93"/>
      <c r="G747" s="93"/>
      <c r="H747" s="93"/>
    </row>
    <row r="748" spans="4:8" ht="15.6">
      <c r="D748" s="93"/>
      <c r="E748" s="93"/>
      <c r="F748" s="93"/>
      <c r="G748" s="93"/>
      <c r="H748" s="93"/>
    </row>
    <row r="749" spans="4:8" ht="15.6">
      <c r="D749" s="93"/>
      <c r="E749" s="93"/>
      <c r="F749" s="93"/>
      <c r="G749" s="93"/>
      <c r="H749" s="93"/>
    </row>
    <row r="750" spans="4:8" ht="15.6">
      <c r="D750" s="93"/>
      <c r="E750" s="93"/>
      <c r="F750" s="93"/>
      <c r="G750" s="93"/>
      <c r="H750" s="93"/>
    </row>
    <row r="751" spans="4:8" ht="15.6">
      <c r="D751" s="93"/>
      <c r="E751" s="93"/>
      <c r="F751" s="93"/>
      <c r="G751" s="93"/>
      <c r="H751" s="93"/>
    </row>
    <row r="752" spans="4:8" ht="15.6">
      <c r="D752" s="93"/>
      <c r="E752" s="93"/>
      <c r="F752" s="93"/>
      <c r="G752" s="93"/>
      <c r="H752" s="93"/>
    </row>
    <row r="753" spans="4:8" ht="15.6">
      <c r="D753" s="93"/>
      <c r="E753" s="93"/>
      <c r="F753" s="93"/>
      <c r="G753" s="93"/>
      <c r="H753" s="93"/>
    </row>
    <row r="754" spans="4:8" ht="15.6">
      <c r="D754" s="93"/>
      <c r="E754" s="93"/>
      <c r="F754" s="93"/>
      <c r="G754" s="93"/>
      <c r="H754" s="93"/>
    </row>
    <row r="755" spans="4:8" ht="15.6">
      <c r="D755" s="93"/>
      <c r="E755" s="93"/>
      <c r="F755" s="93"/>
      <c r="G755" s="93"/>
      <c r="H755" s="93"/>
    </row>
    <row r="756" spans="4:8" ht="15.6">
      <c r="D756" s="93"/>
      <c r="E756" s="93"/>
      <c r="F756" s="93"/>
      <c r="G756" s="93"/>
      <c r="H756" s="93"/>
    </row>
    <row r="757" spans="4:8" ht="15.6">
      <c r="D757" s="93"/>
      <c r="E757" s="93"/>
      <c r="F757" s="93"/>
      <c r="G757" s="93"/>
      <c r="H757" s="93"/>
    </row>
    <row r="758" spans="4:8" ht="15.6">
      <c r="D758" s="93"/>
      <c r="E758" s="93"/>
      <c r="F758" s="93"/>
      <c r="G758" s="93"/>
      <c r="H758" s="93"/>
    </row>
    <row r="759" spans="4:8" ht="15.6">
      <c r="D759" s="93"/>
      <c r="E759" s="93"/>
      <c r="F759" s="93"/>
      <c r="G759" s="93"/>
      <c r="H759" s="93"/>
    </row>
    <row r="760" spans="4:8" ht="15.6">
      <c r="D760" s="93"/>
      <c r="E760" s="93"/>
      <c r="F760" s="93"/>
      <c r="G760" s="93"/>
      <c r="H760" s="93"/>
    </row>
    <row r="761" spans="4:8" ht="15.6">
      <c r="D761" s="93"/>
      <c r="E761" s="93"/>
      <c r="F761" s="93"/>
      <c r="G761" s="93"/>
      <c r="H761" s="93"/>
    </row>
    <row r="762" spans="4:8" ht="15.6">
      <c r="D762" s="93"/>
      <c r="E762" s="93"/>
      <c r="F762" s="93"/>
      <c r="G762" s="93"/>
      <c r="H762" s="93"/>
    </row>
    <row r="763" spans="4:8" ht="15.6">
      <c r="D763" s="93"/>
      <c r="E763" s="93"/>
      <c r="F763" s="93"/>
      <c r="G763" s="93"/>
      <c r="H763" s="93"/>
    </row>
    <row r="764" spans="4:8" ht="15.6">
      <c r="D764" s="93"/>
      <c r="E764" s="93"/>
      <c r="F764" s="93"/>
      <c r="G764" s="93"/>
      <c r="H764" s="93"/>
    </row>
    <row r="765" spans="4:8" ht="15.6">
      <c r="D765" s="93"/>
      <c r="E765" s="93"/>
      <c r="F765" s="93"/>
      <c r="G765" s="93"/>
      <c r="H765" s="93"/>
    </row>
    <row r="766" spans="4:8" ht="15.6">
      <c r="D766" s="93"/>
      <c r="E766" s="93"/>
      <c r="F766" s="93"/>
      <c r="G766" s="93"/>
      <c r="H766" s="93"/>
    </row>
    <row r="767" spans="4:8" ht="15.6">
      <c r="D767" s="93"/>
      <c r="E767" s="93"/>
      <c r="F767" s="93"/>
      <c r="G767" s="93"/>
      <c r="H767" s="93"/>
    </row>
    <row r="768" spans="4:8" ht="15.6">
      <c r="D768" s="93"/>
      <c r="E768" s="93"/>
      <c r="F768" s="93"/>
      <c r="G768" s="93"/>
      <c r="H768" s="93"/>
    </row>
    <row r="769" spans="4:8" ht="15.6">
      <c r="D769" s="93"/>
      <c r="E769" s="93"/>
      <c r="F769" s="93"/>
      <c r="G769" s="93"/>
      <c r="H769" s="93"/>
    </row>
    <row r="770" spans="4:8" ht="15.6">
      <c r="D770" s="93"/>
      <c r="E770" s="93"/>
      <c r="F770" s="93"/>
      <c r="G770" s="93"/>
      <c r="H770" s="93"/>
    </row>
    <row r="771" spans="4:8" ht="15.6">
      <c r="D771" s="93"/>
      <c r="E771" s="93"/>
      <c r="F771" s="93"/>
      <c r="G771" s="93"/>
      <c r="H771" s="93"/>
    </row>
    <row r="772" spans="4:8" ht="15.6">
      <c r="D772" s="93"/>
      <c r="E772" s="93"/>
      <c r="F772" s="93"/>
      <c r="G772" s="93"/>
      <c r="H772" s="93"/>
    </row>
    <row r="773" spans="4:8" ht="15.6">
      <c r="D773" s="93"/>
      <c r="E773" s="93"/>
      <c r="F773" s="93"/>
      <c r="G773" s="93"/>
      <c r="H773" s="93"/>
    </row>
    <row r="774" spans="4:8" ht="15.6">
      <c r="D774" s="93"/>
      <c r="E774" s="93"/>
      <c r="F774" s="93"/>
      <c r="G774" s="93"/>
      <c r="H774" s="93"/>
    </row>
    <row r="775" spans="4:8" ht="15.6">
      <c r="D775" s="93"/>
      <c r="E775" s="93"/>
      <c r="F775" s="93"/>
      <c r="G775" s="93"/>
      <c r="H775" s="93"/>
    </row>
    <row r="776" spans="4:8" ht="15.6">
      <c r="D776" s="93"/>
      <c r="E776" s="93"/>
      <c r="F776" s="93"/>
      <c r="G776" s="93"/>
      <c r="H776" s="93"/>
    </row>
    <row r="777" spans="4:8" ht="15.6">
      <c r="D777" s="93"/>
      <c r="E777" s="93"/>
      <c r="F777" s="93"/>
      <c r="G777" s="93"/>
      <c r="H777" s="93"/>
    </row>
    <row r="778" spans="4:8" ht="15.6">
      <c r="D778" s="93"/>
      <c r="E778" s="93"/>
      <c r="F778" s="93"/>
      <c r="G778" s="93"/>
      <c r="H778" s="93"/>
    </row>
    <row r="779" spans="4:8" ht="15.6">
      <c r="D779" s="93"/>
      <c r="E779" s="93"/>
      <c r="F779" s="93"/>
      <c r="G779" s="93"/>
      <c r="H779" s="93"/>
    </row>
    <row r="780" spans="4:8" ht="15.6">
      <c r="D780" s="93"/>
      <c r="E780" s="93"/>
      <c r="F780" s="93"/>
      <c r="G780" s="93"/>
      <c r="H780" s="93"/>
    </row>
    <row r="781" spans="4:8" ht="15.6">
      <c r="D781" s="93"/>
      <c r="E781" s="93"/>
      <c r="F781" s="93"/>
      <c r="G781" s="93"/>
      <c r="H781" s="93"/>
    </row>
    <row r="782" spans="4:8" ht="15.6">
      <c r="D782" s="93"/>
      <c r="E782" s="93"/>
      <c r="F782" s="93"/>
      <c r="G782" s="93"/>
      <c r="H782" s="93"/>
    </row>
    <row r="783" spans="4:8" ht="15.6">
      <c r="D783" s="93"/>
      <c r="E783" s="93"/>
      <c r="F783" s="93"/>
      <c r="G783" s="93"/>
      <c r="H783" s="93"/>
    </row>
    <row r="784" spans="4:8" ht="15.6">
      <c r="D784" s="93"/>
      <c r="E784" s="93"/>
      <c r="F784" s="93"/>
      <c r="G784" s="93"/>
      <c r="H784" s="93"/>
    </row>
    <row r="785" spans="4:8" ht="15.6">
      <c r="D785" s="93"/>
      <c r="E785" s="93"/>
      <c r="F785" s="93"/>
      <c r="G785" s="93"/>
      <c r="H785" s="93"/>
    </row>
    <row r="786" spans="4:8" ht="15.6">
      <c r="D786" s="93"/>
      <c r="E786" s="93"/>
      <c r="F786" s="93"/>
      <c r="G786" s="93"/>
      <c r="H786" s="93"/>
    </row>
    <row r="787" spans="4:8" ht="15.6">
      <c r="D787" s="93"/>
      <c r="E787" s="93"/>
      <c r="F787" s="93"/>
      <c r="G787" s="93"/>
      <c r="H787" s="93"/>
    </row>
    <row r="788" spans="4:8" ht="15.6">
      <c r="D788" s="93"/>
      <c r="E788" s="93"/>
      <c r="F788" s="93"/>
      <c r="G788" s="93"/>
      <c r="H788" s="93"/>
    </row>
    <row r="789" spans="4:8" ht="15.6">
      <c r="D789" s="93"/>
      <c r="E789" s="93"/>
      <c r="F789" s="93"/>
      <c r="G789" s="93"/>
      <c r="H789" s="93"/>
    </row>
    <row r="790" spans="4:8" ht="15.6">
      <c r="D790" s="93"/>
      <c r="E790" s="93"/>
      <c r="F790" s="93"/>
      <c r="G790" s="93"/>
      <c r="H790" s="93"/>
    </row>
    <row r="791" spans="4:8" ht="15.6">
      <c r="D791" s="93"/>
      <c r="E791" s="93"/>
      <c r="F791" s="93"/>
      <c r="G791" s="93"/>
      <c r="H791" s="93"/>
    </row>
    <row r="792" spans="4:8" ht="15.6">
      <c r="D792" s="93"/>
      <c r="E792" s="93"/>
      <c r="F792" s="93"/>
      <c r="G792" s="93"/>
      <c r="H792" s="93"/>
    </row>
    <row r="793" spans="4:8" ht="15.6">
      <c r="D793" s="93"/>
      <c r="E793" s="93"/>
      <c r="F793" s="93"/>
      <c r="G793" s="93"/>
      <c r="H793" s="93"/>
    </row>
    <row r="794" spans="4:8" ht="15.6">
      <c r="D794" s="93"/>
      <c r="E794" s="93"/>
      <c r="F794" s="93"/>
      <c r="G794" s="93"/>
      <c r="H794" s="93"/>
    </row>
    <row r="795" spans="4:8" ht="15.6">
      <c r="D795" s="93"/>
      <c r="E795" s="93"/>
      <c r="F795" s="93"/>
      <c r="G795" s="93"/>
      <c r="H795" s="93"/>
    </row>
    <row r="796" spans="4:8" ht="15.6">
      <c r="D796" s="93"/>
      <c r="E796" s="93"/>
      <c r="F796" s="93"/>
      <c r="G796" s="93"/>
      <c r="H796" s="93"/>
    </row>
    <row r="797" spans="4:8" ht="15.6">
      <c r="D797" s="93"/>
      <c r="E797" s="93"/>
      <c r="F797" s="93"/>
      <c r="G797" s="93"/>
      <c r="H797" s="93"/>
    </row>
    <row r="798" spans="4:8" ht="15.6">
      <c r="D798" s="93"/>
      <c r="E798" s="93"/>
      <c r="F798" s="93"/>
      <c r="G798" s="93"/>
      <c r="H798" s="93"/>
    </row>
    <row r="799" spans="4:8" ht="15.6">
      <c r="D799" s="93"/>
      <c r="E799" s="93"/>
      <c r="F799" s="93"/>
      <c r="G799" s="93"/>
      <c r="H799" s="93"/>
    </row>
    <row r="800" spans="4:8" ht="15.6">
      <c r="D800" s="93"/>
      <c r="E800" s="93"/>
      <c r="F800" s="93"/>
      <c r="G800" s="93"/>
      <c r="H800" s="93"/>
    </row>
    <row r="801" spans="4:8" ht="15.6">
      <c r="D801" s="93"/>
      <c r="E801" s="93"/>
      <c r="F801" s="93"/>
      <c r="G801" s="93"/>
      <c r="H801" s="93"/>
    </row>
    <row r="802" spans="4:8" ht="15.6">
      <c r="D802" s="93"/>
      <c r="E802" s="93"/>
      <c r="F802" s="93"/>
      <c r="G802" s="93"/>
      <c r="H802" s="93"/>
    </row>
    <row r="803" spans="4:8" ht="15.6">
      <c r="D803" s="93"/>
      <c r="E803" s="93"/>
      <c r="F803" s="93"/>
      <c r="G803" s="93"/>
      <c r="H803" s="93"/>
    </row>
    <row r="804" spans="4:8" ht="15.6">
      <c r="D804" s="93"/>
      <c r="E804" s="93"/>
      <c r="F804" s="93"/>
      <c r="G804" s="93"/>
      <c r="H804" s="93"/>
    </row>
    <row r="805" spans="4:8" ht="15.6">
      <c r="D805" s="93"/>
      <c r="E805" s="93"/>
      <c r="F805" s="93"/>
      <c r="G805" s="93"/>
      <c r="H805" s="93"/>
    </row>
    <row r="806" spans="4:8" ht="15.6">
      <c r="D806" s="93"/>
      <c r="E806" s="93"/>
      <c r="F806" s="93"/>
      <c r="G806" s="93"/>
      <c r="H806" s="93"/>
    </row>
    <row r="807" spans="4:8" ht="15.6">
      <c r="D807" s="93"/>
      <c r="E807" s="93"/>
      <c r="F807" s="93"/>
      <c r="G807" s="93"/>
      <c r="H807" s="93"/>
    </row>
    <row r="808" spans="4:8" ht="15.6">
      <c r="D808" s="93"/>
      <c r="E808" s="93"/>
      <c r="F808" s="93"/>
      <c r="G808" s="93"/>
      <c r="H808" s="93"/>
    </row>
    <row r="809" spans="4:8" ht="15.6">
      <c r="D809" s="93"/>
      <c r="E809" s="93"/>
      <c r="F809" s="93"/>
      <c r="G809" s="93"/>
      <c r="H809" s="93"/>
    </row>
    <row r="810" spans="4:8" ht="15.6">
      <c r="D810" s="93"/>
      <c r="E810" s="93"/>
      <c r="F810" s="93"/>
      <c r="G810" s="93"/>
      <c r="H810" s="93"/>
    </row>
    <row r="811" spans="4:8" ht="15.6">
      <c r="D811" s="93"/>
      <c r="E811" s="93"/>
      <c r="F811" s="93"/>
      <c r="G811" s="93"/>
      <c r="H811" s="93"/>
    </row>
    <row r="812" spans="4:8" ht="15.6">
      <c r="D812" s="93"/>
      <c r="E812" s="93"/>
      <c r="F812" s="93"/>
      <c r="G812" s="93"/>
      <c r="H812" s="93"/>
    </row>
    <row r="813" spans="4:8" ht="15.6">
      <c r="D813" s="93"/>
      <c r="E813" s="93"/>
      <c r="F813" s="93"/>
      <c r="G813" s="93"/>
      <c r="H813" s="93"/>
    </row>
    <row r="814" spans="4:8" ht="15.6">
      <c r="D814" s="93"/>
      <c r="E814" s="93"/>
      <c r="F814" s="93"/>
      <c r="G814" s="93"/>
      <c r="H814" s="93"/>
    </row>
    <row r="815" spans="4:8" ht="15.6">
      <c r="D815" s="93"/>
      <c r="E815" s="93"/>
      <c r="F815" s="93"/>
      <c r="G815" s="93"/>
      <c r="H815" s="93"/>
    </row>
    <row r="816" spans="4:8" ht="15.6">
      <c r="D816" s="93"/>
      <c r="E816" s="93"/>
      <c r="F816" s="93"/>
      <c r="G816" s="93"/>
      <c r="H816" s="93"/>
    </row>
    <row r="817" spans="4:8" ht="15.6">
      <c r="D817" s="93"/>
      <c r="E817" s="93"/>
      <c r="F817" s="93"/>
      <c r="G817" s="93"/>
      <c r="H817" s="93"/>
    </row>
    <row r="818" spans="4:8" ht="15.6">
      <c r="D818" s="93"/>
      <c r="E818" s="93"/>
      <c r="F818" s="93"/>
      <c r="G818" s="93"/>
      <c r="H818" s="93"/>
    </row>
    <row r="819" spans="4:8" ht="15.6">
      <c r="D819" s="93"/>
      <c r="E819" s="93"/>
      <c r="F819" s="93"/>
      <c r="G819" s="93"/>
      <c r="H819" s="93"/>
    </row>
    <row r="820" spans="4:8" ht="15.6">
      <c r="D820" s="93"/>
      <c r="E820" s="93"/>
      <c r="F820" s="93"/>
      <c r="G820" s="93"/>
      <c r="H820" s="93"/>
    </row>
    <row r="821" spans="4:8" ht="15.6">
      <c r="D821" s="93"/>
      <c r="E821" s="93"/>
      <c r="F821" s="93"/>
      <c r="G821" s="93"/>
      <c r="H821" s="93"/>
    </row>
    <row r="822" spans="4:8" ht="15.6">
      <c r="D822" s="93"/>
      <c r="E822" s="93"/>
      <c r="F822" s="93"/>
      <c r="G822" s="93"/>
      <c r="H822" s="93"/>
    </row>
    <row r="823" spans="4:8" ht="15.6">
      <c r="D823" s="93"/>
      <c r="E823" s="93"/>
      <c r="F823" s="93"/>
      <c r="G823" s="93"/>
      <c r="H823" s="93"/>
    </row>
    <row r="824" spans="4:8" ht="15.6">
      <c r="D824" s="93"/>
      <c r="E824" s="93"/>
      <c r="F824" s="93"/>
      <c r="G824" s="93"/>
      <c r="H824" s="93"/>
    </row>
    <row r="825" spans="4:8" ht="15.6">
      <c r="D825" s="93"/>
      <c r="E825" s="93"/>
      <c r="F825" s="93"/>
      <c r="G825" s="93"/>
      <c r="H825" s="93"/>
    </row>
    <row r="826" spans="4:8" ht="15.6">
      <c r="D826" s="93"/>
      <c r="E826" s="93"/>
      <c r="F826" s="93"/>
      <c r="G826" s="93"/>
      <c r="H826" s="93"/>
    </row>
    <row r="827" spans="4:8" ht="15.6">
      <c r="D827" s="93"/>
      <c r="E827" s="93"/>
      <c r="F827" s="93"/>
      <c r="G827" s="93"/>
      <c r="H827" s="93"/>
    </row>
    <row r="828" spans="4:8" ht="15.6">
      <c r="D828" s="93"/>
      <c r="E828" s="93"/>
      <c r="F828" s="93"/>
      <c r="G828" s="93"/>
      <c r="H828" s="93"/>
    </row>
    <row r="829" spans="4:8" ht="15.6">
      <c r="D829" s="93"/>
      <c r="E829" s="93"/>
      <c r="F829" s="93"/>
      <c r="G829" s="93"/>
      <c r="H829" s="93"/>
    </row>
    <row r="830" spans="4:8" ht="15.6">
      <c r="D830" s="93"/>
      <c r="E830" s="93"/>
      <c r="F830" s="93"/>
      <c r="G830" s="93"/>
      <c r="H830" s="93"/>
    </row>
    <row r="831" spans="4:8" ht="15.6">
      <c r="D831" s="93"/>
      <c r="E831" s="93"/>
      <c r="F831" s="93"/>
      <c r="G831" s="93"/>
      <c r="H831" s="93"/>
    </row>
    <row r="832" spans="4:8" ht="15.6">
      <c r="D832" s="93"/>
      <c r="E832" s="93"/>
      <c r="F832" s="93"/>
      <c r="G832" s="93"/>
      <c r="H832" s="93"/>
    </row>
    <row r="833" spans="4:8" ht="15.6">
      <c r="D833" s="93"/>
      <c r="E833" s="93"/>
      <c r="F833" s="93"/>
      <c r="G833" s="93"/>
      <c r="H833" s="93"/>
    </row>
    <row r="834" spans="4:8" ht="15.6">
      <c r="D834" s="93"/>
      <c r="E834" s="93"/>
      <c r="F834" s="93"/>
      <c r="G834" s="93"/>
      <c r="H834" s="93"/>
    </row>
    <row r="835" spans="4:8" ht="15.6">
      <c r="D835" s="93"/>
      <c r="E835" s="93"/>
      <c r="F835" s="93"/>
      <c r="G835" s="93"/>
      <c r="H835" s="93"/>
    </row>
    <row r="836" spans="4:8" ht="15.6">
      <c r="D836" s="93"/>
      <c r="E836" s="93"/>
      <c r="F836" s="93"/>
      <c r="G836" s="93"/>
      <c r="H836" s="93"/>
    </row>
    <row r="837" spans="4:8" ht="15.6">
      <c r="D837" s="93"/>
      <c r="E837" s="93"/>
      <c r="F837" s="93"/>
      <c r="G837" s="93"/>
      <c r="H837" s="93"/>
    </row>
    <row r="838" spans="4:8" ht="15.6">
      <c r="D838" s="93"/>
      <c r="E838" s="93"/>
      <c r="F838" s="93"/>
      <c r="G838" s="93"/>
      <c r="H838" s="93"/>
    </row>
    <row r="839" spans="4:8" ht="15.6">
      <c r="D839" s="93"/>
      <c r="E839" s="93"/>
      <c r="F839" s="93"/>
      <c r="G839" s="93"/>
      <c r="H839" s="93"/>
    </row>
    <row r="840" spans="4:8" ht="15.6">
      <c r="D840" s="93"/>
      <c r="E840" s="93"/>
      <c r="F840" s="93"/>
      <c r="G840" s="93"/>
      <c r="H840" s="93"/>
    </row>
    <row r="841" spans="4:8" ht="15.6">
      <c r="D841" s="93"/>
      <c r="E841" s="93"/>
      <c r="F841" s="93"/>
      <c r="G841" s="93"/>
      <c r="H841" s="93"/>
    </row>
    <row r="842" spans="4:8" ht="15.6">
      <c r="D842" s="93"/>
      <c r="E842" s="93"/>
      <c r="F842" s="93"/>
      <c r="G842" s="93"/>
      <c r="H842" s="93"/>
    </row>
    <row r="843" spans="4:8" ht="15.6">
      <c r="D843" s="93"/>
      <c r="E843" s="93"/>
      <c r="F843" s="93"/>
      <c r="G843" s="93"/>
      <c r="H843" s="93"/>
    </row>
    <row r="844" spans="4:8" ht="15.6">
      <c r="D844" s="93"/>
      <c r="E844" s="93"/>
      <c r="F844" s="93"/>
      <c r="G844" s="93"/>
      <c r="H844" s="93"/>
    </row>
    <row r="845" spans="4:8" ht="15.6">
      <c r="D845" s="93"/>
      <c r="E845" s="93"/>
      <c r="F845" s="93"/>
      <c r="G845" s="93"/>
      <c r="H845" s="93"/>
    </row>
    <row r="846" spans="4:8" ht="15.6">
      <c r="D846" s="93"/>
      <c r="E846" s="93"/>
      <c r="F846" s="93"/>
      <c r="G846" s="93"/>
      <c r="H846" s="93"/>
    </row>
    <row r="847" spans="4:8" ht="15.6">
      <c r="D847" s="93"/>
      <c r="E847" s="93"/>
      <c r="F847" s="93"/>
      <c r="G847" s="93"/>
      <c r="H847" s="93"/>
    </row>
    <row r="848" spans="4:8" ht="15.6">
      <c r="D848" s="93"/>
      <c r="E848" s="93"/>
      <c r="F848" s="93"/>
      <c r="G848" s="93"/>
      <c r="H848" s="93"/>
    </row>
    <row r="849" spans="4:8" ht="15.6">
      <c r="D849" s="93"/>
      <c r="E849" s="93"/>
      <c r="F849" s="93"/>
      <c r="G849" s="93"/>
      <c r="H849" s="93"/>
    </row>
    <row r="850" spans="4:8" ht="15.6">
      <c r="D850" s="93"/>
      <c r="E850" s="93"/>
      <c r="F850" s="93"/>
      <c r="G850" s="93"/>
      <c r="H850" s="93"/>
    </row>
    <row r="851" spans="4:8" ht="15.6">
      <c r="D851" s="93"/>
      <c r="E851" s="93"/>
      <c r="F851" s="93"/>
      <c r="G851" s="93"/>
      <c r="H851" s="93"/>
    </row>
    <row r="852" spans="4:8" ht="15.6">
      <c r="D852" s="93"/>
      <c r="E852" s="93"/>
      <c r="F852" s="93"/>
      <c r="G852" s="93"/>
      <c r="H852" s="93"/>
    </row>
    <row r="853" spans="4:8" ht="15.6">
      <c r="D853" s="93"/>
      <c r="E853" s="93"/>
      <c r="F853" s="93"/>
      <c r="G853" s="93"/>
      <c r="H853" s="93"/>
    </row>
    <row r="854" spans="4:8" ht="15.6">
      <c r="D854" s="93"/>
      <c r="E854" s="93"/>
      <c r="F854" s="93"/>
      <c r="G854" s="93"/>
      <c r="H854" s="93"/>
    </row>
    <row r="855" spans="4:8" ht="15.6">
      <c r="D855" s="93"/>
      <c r="E855" s="93"/>
      <c r="F855" s="93"/>
      <c r="G855" s="93"/>
      <c r="H855" s="93"/>
    </row>
    <row r="856" spans="4:8" ht="15.6">
      <c r="D856" s="93"/>
      <c r="E856" s="93"/>
      <c r="F856" s="93"/>
      <c r="G856" s="93"/>
      <c r="H856" s="93"/>
    </row>
    <row r="857" spans="4:8" ht="15.6">
      <c r="D857" s="93"/>
      <c r="E857" s="93"/>
      <c r="F857" s="93"/>
      <c r="G857" s="93"/>
      <c r="H857" s="93"/>
    </row>
    <row r="858" spans="4:8" ht="15.6">
      <c r="D858" s="93"/>
      <c r="E858" s="93"/>
      <c r="F858" s="93"/>
      <c r="G858" s="93"/>
      <c r="H858" s="93"/>
    </row>
    <row r="859" spans="4:8" ht="15.6">
      <c r="D859" s="93"/>
      <c r="E859" s="93"/>
      <c r="F859" s="93"/>
      <c r="G859" s="93"/>
      <c r="H859" s="93"/>
    </row>
    <row r="860" spans="4:8" ht="15.6">
      <c r="D860" s="93"/>
      <c r="E860" s="93"/>
      <c r="F860" s="93"/>
      <c r="G860" s="93"/>
      <c r="H860" s="93"/>
    </row>
    <row r="861" spans="4:8" ht="15.6">
      <c r="D861" s="93"/>
      <c r="E861" s="93"/>
      <c r="F861" s="93"/>
      <c r="G861" s="93"/>
      <c r="H861" s="93"/>
    </row>
    <row r="862" spans="4:8" ht="15.6">
      <c r="D862" s="93"/>
      <c r="E862" s="93"/>
      <c r="F862" s="93"/>
      <c r="G862" s="93"/>
      <c r="H862" s="93"/>
    </row>
    <row r="863" spans="4:8" ht="15.6">
      <c r="D863" s="93"/>
      <c r="E863" s="93"/>
      <c r="F863" s="93"/>
      <c r="G863" s="93"/>
      <c r="H863" s="93"/>
    </row>
    <row r="864" spans="4:8" ht="15.6">
      <c r="D864" s="93"/>
      <c r="E864" s="93"/>
      <c r="F864" s="93"/>
      <c r="G864" s="93"/>
      <c r="H864" s="93"/>
    </row>
    <row r="865" spans="4:8" ht="15.6">
      <c r="D865" s="93"/>
      <c r="E865" s="93"/>
      <c r="F865" s="93"/>
      <c r="G865" s="93"/>
      <c r="H865" s="93"/>
    </row>
    <row r="866" spans="4:8" ht="15.6">
      <c r="D866" s="93"/>
      <c r="E866" s="93"/>
      <c r="F866" s="93"/>
      <c r="G866" s="93"/>
      <c r="H866" s="93"/>
    </row>
    <row r="867" spans="4:8" ht="15.6">
      <c r="D867" s="93"/>
      <c r="E867" s="93"/>
      <c r="F867" s="93"/>
      <c r="G867" s="93"/>
      <c r="H867" s="93"/>
    </row>
    <row r="868" spans="4:8" ht="15.6">
      <c r="D868" s="93"/>
      <c r="E868" s="93"/>
      <c r="F868" s="93"/>
      <c r="G868" s="93"/>
      <c r="H868" s="93"/>
    </row>
    <row r="869" spans="4:8" ht="15.6">
      <c r="D869" s="93"/>
      <c r="E869" s="93"/>
      <c r="F869" s="93"/>
      <c r="G869" s="93"/>
      <c r="H869" s="93"/>
    </row>
    <row r="870" spans="4:8" ht="15.6">
      <c r="D870" s="93"/>
      <c r="E870" s="93"/>
      <c r="F870" s="93"/>
      <c r="G870" s="93"/>
      <c r="H870" s="93"/>
    </row>
    <row r="871" spans="4:8" ht="15.6">
      <c r="D871" s="93"/>
      <c r="E871" s="93"/>
      <c r="F871" s="93"/>
      <c r="G871" s="93"/>
      <c r="H871" s="93"/>
    </row>
    <row r="872" spans="4:8" ht="15.6">
      <c r="D872" s="93"/>
      <c r="E872" s="93"/>
      <c r="F872" s="93"/>
      <c r="G872" s="93"/>
      <c r="H872" s="93"/>
    </row>
    <row r="873" spans="4:8" ht="15.6">
      <c r="D873" s="93"/>
      <c r="E873" s="93"/>
      <c r="F873" s="93"/>
      <c r="G873" s="93"/>
      <c r="H873" s="93"/>
    </row>
    <row r="874" spans="4:8" ht="15.6">
      <c r="D874" s="93"/>
      <c r="E874" s="93"/>
      <c r="F874" s="93"/>
      <c r="G874" s="93"/>
      <c r="H874" s="93"/>
    </row>
    <row r="875" spans="4:8" ht="15.6">
      <c r="D875" s="93"/>
      <c r="E875" s="93"/>
      <c r="F875" s="93"/>
      <c r="G875" s="93"/>
      <c r="H875" s="93"/>
    </row>
    <row r="876" spans="4:8" ht="15.6">
      <c r="D876" s="93"/>
      <c r="E876" s="93"/>
      <c r="F876" s="93"/>
      <c r="G876" s="93"/>
      <c r="H876" s="93"/>
    </row>
    <row r="877" spans="4:8" ht="15.6">
      <c r="D877" s="93"/>
      <c r="E877" s="93"/>
      <c r="F877" s="93"/>
      <c r="G877" s="93"/>
      <c r="H877" s="93"/>
    </row>
    <row r="878" spans="4:8" ht="15.6">
      <c r="D878" s="93"/>
      <c r="E878" s="93"/>
      <c r="F878" s="93"/>
      <c r="G878" s="93"/>
      <c r="H878" s="93"/>
    </row>
    <row r="879" spans="4:8" ht="15.6">
      <c r="D879" s="93"/>
      <c r="E879" s="93"/>
      <c r="F879" s="93"/>
      <c r="G879" s="93"/>
      <c r="H879" s="93"/>
    </row>
    <row r="880" spans="4:8" ht="15.6">
      <c r="D880" s="93"/>
      <c r="E880" s="93"/>
      <c r="F880" s="93"/>
      <c r="G880" s="93"/>
      <c r="H880" s="93"/>
    </row>
    <row r="881" spans="4:8" ht="15.6">
      <c r="D881" s="93"/>
      <c r="E881" s="93"/>
      <c r="F881" s="93"/>
      <c r="G881" s="93"/>
      <c r="H881" s="93"/>
    </row>
    <row r="882" spans="4:8" ht="15.6">
      <c r="D882" s="93"/>
      <c r="E882" s="93"/>
      <c r="F882" s="93"/>
      <c r="G882" s="93"/>
      <c r="H882" s="93"/>
    </row>
    <row r="883" spans="4:8" ht="15.6">
      <c r="D883" s="93"/>
      <c r="E883" s="93"/>
      <c r="F883" s="93"/>
      <c r="G883" s="93"/>
      <c r="H883" s="93"/>
    </row>
    <row r="884" spans="4:8" ht="15.6">
      <c r="D884" s="93"/>
      <c r="E884" s="93"/>
      <c r="F884" s="93"/>
      <c r="G884" s="93"/>
      <c r="H884" s="93"/>
    </row>
    <row r="885" spans="4:8" ht="15.6">
      <c r="D885" s="93"/>
      <c r="E885" s="93"/>
      <c r="F885" s="93"/>
      <c r="G885" s="93"/>
      <c r="H885" s="93"/>
    </row>
    <row r="886" spans="4:8" ht="15.6">
      <c r="D886" s="93"/>
      <c r="E886" s="93"/>
      <c r="F886" s="93"/>
      <c r="G886" s="93"/>
      <c r="H886" s="93"/>
    </row>
    <row r="887" spans="4:8" ht="15.6">
      <c r="D887" s="93"/>
      <c r="E887" s="93"/>
      <c r="F887" s="93"/>
      <c r="G887" s="93"/>
      <c r="H887" s="93"/>
    </row>
    <row r="888" spans="4:8" ht="15.6">
      <c r="D888" s="93"/>
      <c r="E888" s="93"/>
      <c r="F888" s="93"/>
      <c r="G888" s="93"/>
      <c r="H888" s="93"/>
    </row>
    <row r="889" spans="4:8" ht="15.6">
      <c r="D889" s="93"/>
      <c r="E889" s="93"/>
      <c r="F889" s="93"/>
      <c r="G889" s="93"/>
      <c r="H889" s="93"/>
    </row>
    <row r="890" spans="4:8" ht="15.6">
      <c r="D890" s="93"/>
      <c r="E890" s="93"/>
      <c r="F890" s="93"/>
      <c r="G890" s="93"/>
      <c r="H890" s="93"/>
    </row>
    <row r="891" spans="4:8" ht="15.6">
      <c r="D891" s="93"/>
      <c r="E891" s="93"/>
      <c r="F891" s="93"/>
      <c r="G891" s="93"/>
      <c r="H891" s="93"/>
    </row>
    <row r="892" spans="4:8" ht="15.6">
      <c r="D892" s="93"/>
      <c r="E892" s="93"/>
      <c r="F892" s="93"/>
      <c r="G892" s="93"/>
      <c r="H892" s="93"/>
    </row>
    <row r="893" spans="4:8" ht="15.6">
      <c r="D893" s="93"/>
      <c r="E893" s="93"/>
      <c r="F893" s="93"/>
      <c r="G893" s="93"/>
      <c r="H893" s="93"/>
    </row>
    <row r="894" spans="4:8" ht="15.6">
      <c r="D894" s="93"/>
      <c r="E894" s="93"/>
      <c r="F894" s="93"/>
      <c r="G894" s="93"/>
      <c r="H894" s="93"/>
    </row>
    <row r="895" spans="4:8" ht="15.6">
      <c r="D895" s="93"/>
      <c r="E895" s="93"/>
      <c r="F895" s="93"/>
      <c r="G895" s="93"/>
      <c r="H895" s="93"/>
    </row>
    <row r="896" spans="4:8" ht="15.6">
      <c r="D896" s="93"/>
      <c r="E896" s="93"/>
      <c r="F896" s="93"/>
      <c r="G896" s="93"/>
      <c r="H896" s="93"/>
    </row>
    <row r="897" spans="4:8" ht="15.6">
      <c r="D897" s="93"/>
      <c r="E897" s="93"/>
      <c r="F897" s="93"/>
      <c r="G897" s="93"/>
      <c r="H897" s="93"/>
    </row>
    <row r="898" spans="4:8" ht="15.6">
      <c r="D898" s="93"/>
      <c r="E898" s="93"/>
      <c r="F898" s="93"/>
      <c r="G898" s="93"/>
      <c r="H898" s="93"/>
    </row>
    <row r="899" spans="4:8" ht="15.6">
      <c r="D899" s="93"/>
      <c r="E899" s="93"/>
      <c r="F899" s="93"/>
      <c r="G899" s="93"/>
      <c r="H899" s="93"/>
    </row>
    <row r="900" spans="4:8" ht="15.6">
      <c r="D900" s="93"/>
      <c r="E900" s="93"/>
      <c r="F900" s="93"/>
      <c r="G900" s="93"/>
      <c r="H900" s="93"/>
    </row>
    <row r="901" spans="4:8" ht="15.6">
      <c r="D901" s="93"/>
      <c r="E901" s="93"/>
      <c r="F901" s="93"/>
      <c r="G901" s="93"/>
      <c r="H901" s="93"/>
    </row>
    <row r="902" spans="4:8" ht="15.6">
      <c r="D902" s="93"/>
      <c r="E902" s="93"/>
      <c r="F902" s="93"/>
      <c r="G902" s="93"/>
      <c r="H902" s="93"/>
    </row>
    <row r="903" spans="4:8" ht="15.6">
      <c r="D903" s="93"/>
      <c r="E903" s="93"/>
      <c r="F903" s="93"/>
      <c r="G903" s="93"/>
      <c r="H903" s="93"/>
    </row>
    <row r="904" spans="4:8" ht="15.6">
      <c r="D904" s="93"/>
      <c r="E904" s="93"/>
      <c r="F904" s="93"/>
      <c r="G904" s="93"/>
      <c r="H904" s="93"/>
    </row>
    <row r="905" spans="4:8" ht="15.6">
      <c r="D905" s="93"/>
      <c r="E905" s="93"/>
      <c r="F905" s="93"/>
      <c r="G905" s="93"/>
      <c r="H905" s="93"/>
    </row>
    <row r="906" spans="4:8" ht="15.6">
      <c r="D906" s="93"/>
      <c r="E906" s="93"/>
      <c r="F906" s="93"/>
      <c r="G906" s="93"/>
      <c r="H906" s="93"/>
    </row>
    <row r="907" spans="4:8" ht="15.6">
      <c r="D907" s="93"/>
      <c r="E907" s="93"/>
      <c r="F907" s="93"/>
      <c r="G907" s="93"/>
      <c r="H907" s="93"/>
    </row>
    <row r="908" spans="4:8" ht="15.6">
      <c r="D908" s="93"/>
      <c r="E908" s="93"/>
      <c r="F908" s="93"/>
      <c r="G908" s="93"/>
      <c r="H908" s="93"/>
    </row>
    <row r="909" spans="4:8" ht="15.6">
      <c r="D909" s="93"/>
      <c r="E909" s="93"/>
      <c r="F909" s="93"/>
      <c r="G909" s="93"/>
      <c r="H909" s="93"/>
    </row>
    <row r="910" spans="4:8" ht="15.6">
      <c r="D910" s="93"/>
      <c r="E910" s="93"/>
      <c r="F910" s="93"/>
      <c r="G910" s="93"/>
      <c r="H910" s="93"/>
    </row>
    <row r="911" spans="4:8" ht="15.6">
      <c r="D911" s="93"/>
      <c r="E911" s="93"/>
      <c r="F911" s="93"/>
      <c r="G911" s="93"/>
      <c r="H911" s="93"/>
    </row>
    <row r="912" spans="4:8" ht="15.6">
      <c r="D912" s="93"/>
      <c r="E912" s="93"/>
      <c r="F912" s="93"/>
      <c r="G912" s="93"/>
      <c r="H912" s="93"/>
    </row>
    <row r="913" spans="4:8" ht="15.6">
      <c r="D913" s="93"/>
      <c r="E913" s="93"/>
      <c r="F913" s="93"/>
      <c r="G913" s="93"/>
      <c r="H913" s="93"/>
    </row>
    <row r="914" spans="4:8" ht="15.6">
      <c r="D914" s="93"/>
      <c r="E914" s="93"/>
      <c r="F914" s="93"/>
      <c r="G914" s="93"/>
      <c r="H914" s="93"/>
    </row>
    <row r="915" spans="4:8" ht="15.6">
      <c r="D915" s="93"/>
      <c r="E915" s="93"/>
      <c r="F915" s="93"/>
      <c r="G915" s="93"/>
      <c r="H915" s="93"/>
    </row>
    <row r="916" spans="4:8" ht="15.6">
      <c r="D916" s="93"/>
      <c r="E916" s="93"/>
      <c r="F916" s="93"/>
      <c r="G916" s="93"/>
      <c r="H916" s="93"/>
    </row>
    <row r="917" spans="4:8" ht="15.6">
      <c r="D917" s="93"/>
      <c r="E917" s="93"/>
      <c r="F917" s="93"/>
      <c r="G917" s="93"/>
      <c r="H917" s="93"/>
    </row>
    <row r="918" spans="4:8" ht="15.6">
      <c r="D918" s="93"/>
      <c r="E918" s="93"/>
      <c r="F918" s="93"/>
      <c r="G918" s="93"/>
      <c r="H918" s="93"/>
    </row>
    <row r="919" spans="4:8" ht="15.6">
      <c r="D919" s="93"/>
      <c r="E919" s="93"/>
      <c r="F919" s="93"/>
      <c r="G919" s="93"/>
      <c r="H919" s="93"/>
    </row>
    <row r="920" spans="4:8" ht="15.6">
      <c r="D920" s="93"/>
      <c r="E920" s="93"/>
      <c r="F920" s="93"/>
      <c r="G920" s="93"/>
      <c r="H920" s="93"/>
    </row>
    <row r="921" spans="4:8" ht="15.6">
      <c r="D921" s="93"/>
      <c r="E921" s="93"/>
      <c r="F921" s="93"/>
      <c r="G921" s="93"/>
      <c r="H921" s="93"/>
    </row>
    <row r="922" spans="4:8" ht="15.6">
      <c r="D922" s="93"/>
      <c r="E922" s="93"/>
      <c r="F922" s="93"/>
      <c r="G922" s="93"/>
      <c r="H922" s="93"/>
    </row>
    <row r="923" spans="4:8" ht="15.6">
      <c r="D923" s="93"/>
      <c r="E923" s="93"/>
      <c r="F923" s="93"/>
      <c r="G923" s="93"/>
      <c r="H923" s="93"/>
    </row>
    <row r="924" spans="4:8" ht="15.6">
      <c r="D924" s="93"/>
      <c r="E924" s="93"/>
      <c r="F924" s="93"/>
      <c r="G924" s="93"/>
      <c r="H924" s="93"/>
    </row>
    <row r="925" spans="4:8" ht="15.6">
      <c r="D925" s="93"/>
      <c r="E925" s="93"/>
      <c r="F925" s="93"/>
      <c r="G925" s="93"/>
      <c r="H925" s="93"/>
    </row>
    <row r="926" spans="4:8" ht="15.6">
      <c r="D926" s="93"/>
      <c r="E926" s="93"/>
      <c r="F926" s="93"/>
      <c r="G926" s="93"/>
      <c r="H926" s="93"/>
    </row>
    <row r="927" spans="4:8" ht="15.6">
      <c r="D927" s="93"/>
      <c r="E927" s="93"/>
      <c r="F927" s="93"/>
      <c r="G927" s="93"/>
      <c r="H927" s="93"/>
    </row>
    <row r="928" spans="4:8" ht="15.6">
      <c r="D928" s="93"/>
      <c r="E928" s="93"/>
      <c r="F928" s="93"/>
      <c r="G928" s="93"/>
      <c r="H928" s="93"/>
    </row>
    <row r="929" spans="4:8" ht="15.6">
      <c r="D929" s="93"/>
      <c r="E929" s="93"/>
      <c r="F929" s="93"/>
      <c r="G929" s="93"/>
      <c r="H929" s="93"/>
    </row>
    <row r="930" spans="4:8" ht="15.6">
      <c r="D930" s="93"/>
      <c r="E930" s="93"/>
      <c r="F930" s="93"/>
      <c r="G930" s="93"/>
      <c r="H930" s="93"/>
    </row>
    <row r="931" spans="4:8" ht="15.6">
      <c r="D931" s="93"/>
      <c r="E931" s="93"/>
      <c r="F931" s="93"/>
      <c r="G931" s="93"/>
      <c r="H931" s="93"/>
    </row>
    <row r="932" spans="4:8" ht="15.6">
      <c r="D932" s="93"/>
      <c r="E932" s="93"/>
      <c r="F932" s="93"/>
      <c r="G932" s="93"/>
      <c r="H932" s="93"/>
    </row>
    <row r="933" spans="4:8" ht="15.6">
      <c r="D933" s="93"/>
      <c r="E933" s="93"/>
      <c r="F933" s="93"/>
      <c r="G933" s="93"/>
      <c r="H933" s="93"/>
    </row>
    <row r="934" spans="4:8" ht="15.6">
      <c r="D934" s="93"/>
      <c r="E934" s="93"/>
      <c r="F934" s="93"/>
      <c r="G934" s="93"/>
      <c r="H934" s="93"/>
    </row>
    <row r="935" spans="4:8" ht="15.6">
      <c r="D935" s="93"/>
      <c r="E935" s="93"/>
      <c r="F935" s="93"/>
      <c r="G935" s="93"/>
      <c r="H935" s="93"/>
    </row>
    <row r="936" spans="4:8" ht="15.6">
      <c r="D936" s="93"/>
      <c r="E936" s="93"/>
      <c r="F936" s="93"/>
      <c r="G936" s="93"/>
      <c r="H936" s="93"/>
    </row>
    <row r="937" spans="4:8" ht="15.6">
      <c r="D937" s="93"/>
      <c r="E937" s="93"/>
      <c r="F937" s="93"/>
      <c r="G937" s="93"/>
      <c r="H937" s="93"/>
    </row>
    <row r="938" spans="4:8" ht="15.6">
      <c r="D938" s="93"/>
      <c r="E938" s="93"/>
      <c r="F938" s="93"/>
      <c r="G938" s="93"/>
      <c r="H938" s="93"/>
    </row>
    <row r="939" spans="4:8" ht="15.6">
      <c r="D939" s="93"/>
      <c r="E939" s="93"/>
      <c r="F939" s="93"/>
      <c r="G939" s="93"/>
      <c r="H939" s="93"/>
    </row>
    <row r="940" spans="4:8" ht="15.6">
      <c r="D940" s="93"/>
      <c r="E940" s="93"/>
      <c r="F940" s="93"/>
      <c r="G940" s="93"/>
      <c r="H940" s="93"/>
    </row>
    <row r="941" spans="4:8" ht="15.6">
      <c r="D941" s="93"/>
      <c r="E941" s="93"/>
      <c r="F941" s="93"/>
      <c r="G941" s="93"/>
      <c r="H941" s="93"/>
    </row>
    <row r="942" spans="4:8" ht="15.6">
      <c r="D942" s="93"/>
      <c r="E942" s="93"/>
      <c r="F942" s="93"/>
      <c r="G942" s="93"/>
      <c r="H942" s="93"/>
    </row>
    <row r="943" spans="4:8" ht="15.6">
      <c r="D943" s="93"/>
      <c r="E943" s="93"/>
      <c r="F943" s="93"/>
      <c r="G943" s="93"/>
      <c r="H943" s="93"/>
    </row>
    <row r="944" spans="4:8" ht="15.6">
      <c r="D944" s="93"/>
      <c r="E944" s="93"/>
      <c r="F944" s="93"/>
      <c r="G944" s="93"/>
      <c r="H944" s="93"/>
    </row>
    <row r="945" spans="4:8" ht="15.6">
      <c r="D945" s="93"/>
      <c r="E945" s="93"/>
      <c r="F945" s="93"/>
      <c r="G945" s="93"/>
      <c r="H945" s="93"/>
    </row>
    <row r="946" spans="4:8" ht="15.6">
      <c r="D946" s="93"/>
      <c r="E946" s="93"/>
      <c r="F946" s="93"/>
      <c r="G946" s="93"/>
      <c r="H946" s="93"/>
    </row>
    <row r="947" spans="4:8" ht="15.6">
      <c r="D947" s="93"/>
      <c r="E947" s="93"/>
      <c r="F947" s="93"/>
      <c r="G947" s="93"/>
      <c r="H947" s="93"/>
    </row>
    <row r="948" spans="4:8" ht="15.6">
      <c r="D948" s="93"/>
      <c r="E948" s="93"/>
      <c r="F948" s="93"/>
      <c r="G948" s="93"/>
      <c r="H948" s="93"/>
    </row>
    <row r="949" spans="4:8" ht="15.6">
      <c r="D949" s="93"/>
      <c r="E949" s="93"/>
      <c r="F949" s="93"/>
      <c r="G949" s="93"/>
      <c r="H949" s="93"/>
    </row>
    <row r="950" spans="4:8" ht="15.6">
      <c r="D950" s="93"/>
      <c r="E950" s="93"/>
      <c r="F950" s="93"/>
      <c r="G950" s="93"/>
      <c r="H950" s="93"/>
    </row>
    <row r="951" spans="4:8" ht="15.6">
      <c r="D951" s="93"/>
      <c r="E951" s="93"/>
      <c r="F951" s="93"/>
      <c r="G951" s="93"/>
      <c r="H951" s="93"/>
    </row>
    <row r="952" spans="4:8" ht="15.6">
      <c r="D952" s="93"/>
      <c r="E952" s="93"/>
      <c r="F952" s="93"/>
      <c r="G952" s="93"/>
      <c r="H952" s="93"/>
    </row>
    <row r="953" spans="4:8" ht="15.6">
      <c r="D953" s="93"/>
      <c r="E953" s="93"/>
      <c r="F953" s="93"/>
      <c r="G953" s="93"/>
      <c r="H953" s="93"/>
    </row>
    <row r="954" spans="4:8" ht="15.6">
      <c r="D954" s="93"/>
      <c r="E954" s="93"/>
      <c r="F954" s="93"/>
      <c r="G954" s="93"/>
      <c r="H954" s="93"/>
    </row>
    <row r="955" spans="4:8" ht="15.6">
      <c r="D955" s="93"/>
      <c r="E955" s="93"/>
      <c r="F955" s="93"/>
      <c r="G955" s="93"/>
      <c r="H955" s="93"/>
    </row>
    <row r="956" spans="4:8" ht="15.6">
      <c r="D956" s="93"/>
      <c r="E956" s="93"/>
      <c r="F956" s="93"/>
      <c r="G956" s="93"/>
      <c r="H956" s="93"/>
    </row>
    <row r="957" spans="4:8" ht="15.6">
      <c r="D957" s="93"/>
      <c r="E957" s="93"/>
      <c r="F957" s="93"/>
      <c r="G957" s="93"/>
      <c r="H957" s="93"/>
    </row>
    <row r="958" spans="4:8" ht="15.6">
      <c r="D958" s="93"/>
      <c r="E958" s="93"/>
      <c r="F958" s="93"/>
      <c r="G958" s="93"/>
      <c r="H958" s="93"/>
    </row>
    <row r="959" spans="4:8" ht="15.6">
      <c r="D959" s="93"/>
      <c r="E959" s="93"/>
      <c r="F959" s="93"/>
      <c r="G959" s="93"/>
      <c r="H959" s="93"/>
    </row>
  </sheetData>
  <mergeCells count="33">
    <mergeCell ref="I127:T127"/>
    <mergeCell ref="D128:G128"/>
    <mergeCell ref="D129:G129"/>
    <mergeCell ref="D130:G130"/>
    <mergeCell ref="D131:G131"/>
    <mergeCell ref="D27:H27"/>
    <mergeCell ref="D28:H28"/>
    <mergeCell ref="D29:H29"/>
    <mergeCell ref="D132:G132"/>
    <mergeCell ref="D133:G133"/>
    <mergeCell ref="D30:H30"/>
    <mergeCell ref="D127:G127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 xr:uid="{00000000-0002-0000-0200-000000000000}">
          <x14:formula1>
            <xm:f>Hoja3!$D$3:$D$32</xm:f>
          </x14:formula1>
          <xm:sqref>D16</xm:sqref>
        </x14:dataValidation>
        <x14:dataValidation type="list" allowBlank="1" showErrorMessage="1" xr:uid="{00000000-0002-0000-0200-000001000000}">
          <x14:formula1>
            <xm:f>Hoja3!$P$3:$P$6</xm:f>
          </x14:formula1>
          <xm:sqref>D128</xm:sqref>
        </x14:dataValidation>
        <x14:dataValidation type="list" allowBlank="1" showErrorMessage="1" xr:uid="{00000000-0002-0000-0200-000002000000}">
          <x14:formula1>
            <xm:f>Hoja3!$O$3:$O$7</xm:f>
          </x14:formula1>
          <xm:sqref>D127</xm:sqref>
        </x14:dataValidation>
        <x14:dataValidation type="list" allowBlank="1" showErrorMessage="1" xr:uid="{00000000-0002-0000-0200-000003000000}">
          <x14:formula1>
            <xm:f>Hoja3!$C$3:$C$32</xm:f>
          </x14:formula1>
          <xm:sqref>D14</xm:sqref>
        </x14:dataValidation>
        <x14:dataValidation type="list" allowBlank="1" showErrorMessage="1" xr:uid="{00000000-0002-0000-0200-000004000000}">
          <x14:formula1>
            <xm:f>Hoja3!$E$3:$E$6</xm:f>
          </x14:formula1>
          <xm:sqref>D17</xm:sqref>
        </x14:dataValidation>
        <x14:dataValidation type="list" allowBlank="1" showErrorMessage="1" xr:uid="{00000000-0002-0000-0200-000005000000}">
          <x14:formula1>
            <xm:f>Hoja3!$H$3:$H$5</xm:f>
          </x14:formula1>
          <xm:sqref>D21</xm:sqref>
        </x14:dataValidation>
        <x14:dataValidation type="list" allowBlank="1" showErrorMessage="1" xr:uid="{00000000-0002-0000-0200-000006000000}">
          <x14:formula1>
            <xm:f>Hoja3!$I$3:$I$32</xm:f>
          </x14:formula1>
          <xm:sqref>D22</xm:sqref>
        </x14:dataValidation>
        <x14:dataValidation type="list" allowBlank="1" showErrorMessage="1" xr:uid="{00000000-0002-0000-0200-000007000000}">
          <x14:formula1>
            <xm:f>Hoja3!$R$4:$R$99</xm:f>
          </x14:formula1>
          <xm:sqref>B53 B55 B58</xm:sqref>
        </x14:dataValidation>
        <x14:dataValidation type="list" allowBlank="1" showErrorMessage="1" xr:uid="{00000000-0002-0000-0200-000008000000}">
          <x14:formula1>
            <xm:f>Hoja3!$Q$3:$Q$5</xm:f>
          </x14:formula1>
          <xm:sqref>D131</xm:sqref>
        </x14:dataValidation>
        <x14:dataValidation type="list" allowBlank="1" showErrorMessage="1" xr:uid="{00000000-0002-0000-0200-000009000000}">
          <x14:formula1>
            <xm:f>Hoja3!$B$3:$B$25</xm:f>
          </x14:formula1>
          <xm:sqref>D15</xm:sqref>
        </x14:dataValidation>
        <x14:dataValidation type="list" allowBlank="1" showErrorMessage="1" xr:uid="{00000000-0002-0000-0200-00000A000000}">
          <x14:formula1>
            <xm:f>Hoja3!$F$3:$F$30</xm:f>
          </x14:formula1>
          <xm:sqref>D18</xm:sqref>
        </x14:dataValidation>
        <x14:dataValidation type="list" allowBlank="1" showErrorMessage="1" xr:uid="{00000000-0002-0000-0200-00000B000000}">
          <x14:formula1>
            <xm:f>Hoja3!$G$3:$G$113</xm:f>
          </x14:formula1>
          <xm:sqref>D20</xm:sqref>
        </x14:dataValidation>
        <x14:dataValidation type="list" allowBlank="1" showErrorMessage="1" xr:uid="{00000000-0002-0000-0200-00000C000000}">
          <x14:formula1>
            <xm:f>Hoja3!$R$3:$R$99</xm:f>
          </x14:formula1>
          <xm:sqref>B35 D129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59"/>
  <sheetViews>
    <sheetView workbookViewId="0"/>
  </sheetViews>
  <sheetFormatPr baseColWidth="10" defaultColWidth="14.44140625" defaultRowHeight="15" customHeight="1"/>
  <cols>
    <col min="1" max="1" width="7" customWidth="1"/>
    <col min="2" max="2" width="17.88671875" customWidth="1"/>
    <col min="3" max="3" width="51.33203125" customWidth="1"/>
    <col min="4" max="4" width="25.109375" customWidth="1"/>
    <col min="5" max="5" width="26.88671875" customWidth="1"/>
    <col min="6" max="6" width="22.5546875" customWidth="1"/>
    <col min="7" max="7" width="21.6640625" customWidth="1"/>
    <col min="8" max="8" width="21.109375" customWidth="1"/>
    <col min="9" max="9" width="29" customWidth="1"/>
    <col min="10" max="10" width="25.5546875" customWidth="1"/>
    <col min="11" max="11" width="29.88671875" customWidth="1"/>
    <col min="12" max="12" width="20.88671875" customWidth="1"/>
    <col min="13" max="13" width="21.33203125" customWidth="1"/>
    <col min="14" max="14" width="19.5546875" customWidth="1"/>
    <col min="15" max="15" width="19.44140625" customWidth="1"/>
    <col min="16" max="16" width="18.5546875" customWidth="1"/>
    <col min="17" max="17" width="23" customWidth="1"/>
    <col min="18" max="18" width="18.88671875" customWidth="1"/>
  </cols>
  <sheetData>
    <row r="1" spans="1:18" ht="15.6">
      <c r="A1" s="2"/>
      <c r="B1" s="3"/>
      <c r="C1" s="3"/>
      <c r="D1" s="4"/>
      <c r="E1" s="4"/>
      <c r="F1" s="4"/>
      <c r="G1" s="4"/>
      <c r="H1" s="4"/>
      <c r="I1" s="3"/>
      <c r="J1" s="5"/>
      <c r="K1" s="5"/>
      <c r="L1" s="3"/>
      <c r="M1" s="3"/>
      <c r="N1" s="5"/>
      <c r="O1" s="5"/>
      <c r="P1" s="5"/>
      <c r="Q1" s="3"/>
      <c r="R1" s="3"/>
    </row>
    <row r="2" spans="1:18" ht="15.6">
      <c r="A2" s="2"/>
      <c r="B2" s="3"/>
      <c r="C2" s="3"/>
      <c r="D2" s="4"/>
      <c r="E2" s="4"/>
      <c r="F2" s="4"/>
      <c r="G2" s="4"/>
      <c r="H2" s="4"/>
      <c r="I2" s="3"/>
      <c r="J2" s="5"/>
      <c r="K2" s="5"/>
      <c r="L2" s="3"/>
      <c r="M2" s="3"/>
      <c r="N2" s="5"/>
      <c r="O2" s="5"/>
      <c r="P2" s="5"/>
      <c r="Q2" s="3"/>
      <c r="R2" s="3"/>
    </row>
    <row r="3" spans="1:18" ht="15.6">
      <c r="A3" s="2"/>
      <c r="B3" s="3"/>
      <c r="C3" s="3"/>
      <c r="D3" s="4"/>
      <c r="E3" s="4"/>
      <c r="F3" s="4"/>
      <c r="G3" s="4"/>
      <c r="H3" s="4"/>
      <c r="I3" s="3"/>
      <c r="J3" s="5"/>
      <c r="K3" s="5"/>
      <c r="L3" s="3"/>
      <c r="M3" s="3"/>
      <c r="N3" s="5"/>
      <c r="O3" s="5"/>
      <c r="P3" s="5"/>
      <c r="Q3" s="3"/>
      <c r="R3" s="3"/>
    </row>
    <row r="4" spans="1:18" ht="15.6">
      <c r="A4" s="2"/>
      <c r="B4" s="3"/>
      <c r="C4" s="3"/>
      <c r="D4" s="200" t="s">
        <v>0</v>
      </c>
      <c r="E4" s="201"/>
      <c r="F4" s="201"/>
      <c r="G4" s="201"/>
      <c r="H4" s="201"/>
      <c r="I4" s="3"/>
      <c r="J4" s="5"/>
      <c r="K4" s="5"/>
      <c r="L4" s="3"/>
      <c r="M4" s="3"/>
      <c r="N4" s="5"/>
      <c r="O4" s="5"/>
      <c r="P4" s="5"/>
      <c r="Q4" s="3"/>
      <c r="R4" s="3"/>
    </row>
    <row r="5" spans="1:18" ht="15.6">
      <c r="A5" s="2"/>
      <c r="B5" s="3"/>
      <c r="C5" s="3"/>
      <c r="D5" s="200" t="s">
        <v>1</v>
      </c>
      <c r="E5" s="201"/>
      <c r="F5" s="201"/>
      <c r="G5" s="201"/>
      <c r="H5" s="201"/>
      <c r="I5" s="3"/>
      <c r="J5" s="5"/>
      <c r="K5" s="5"/>
      <c r="L5" s="3"/>
      <c r="M5" s="3"/>
      <c r="N5" s="5"/>
      <c r="O5" s="5"/>
      <c r="P5" s="5"/>
      <c r="Q5" s="3"/>
      <c r="R5" s="3"/>
    </row>
    <row r="6" spans="1:18" ht="15.6">
      <c r="A6" s="2"/>
      <c r="B6" s="3"/>
      <c r="C6" s="3"/>
      <c r="D6" s="200" t="s">
        <v>2</v>
      </c>
      <c r="E6" s="201"/>
      <c r="F6" s="201"/>
      <c r="G6" s="201"/>
      <c r="H6" s="201"/>
      <c r="I6" s="3"/>
      <c r="J6" s="5"/>
      <c r="K6" s="5"/>
      <c r="L6" s="3"/>
      <c r="M6" s="3"/>
      <c r="N6" s="5"/>
      <c r="O6" s="5"/>
      <c r="P6" s="5"/>
      <c r="Q6" s="3"/>
      <c r="R6" s="3"/>
    </row>
    <row r="7" spans="1:18" ht="15.6">
      <c r="A7" s="2"/>
      <c r="B7" s="3"/>
      <c r="C7" s="3"/>
      <c r="D7" s="200"/>
      <c r="E7" s="201"/>
      <c r="F7" s="201"/>
      <c r="G7" s="201"/>
      <c r="H7" s="201"/>
      <c r="I7" s="3"/>
      <c r="J7" s="5"/>
      <c r="K7" s="5"/>
      <c r="L7" s="3"/>
      <c r="M7" s="3"/>
      <c r="N7" s="5"/>
      <c r="O7" s="5"/>
      <c r="P7" s="5"/>
      <c r="Q7" s="3"/>
      <c r="R7" s="3"/>
    </row>
    <row r="8" spans="1:18" ht="15.6">
      <c r="A8" s="2"/>
      <c r="B8" s="3"/>
      <c r="C8" s="3"/>
      <c r="D8" s="6"/>
      <c r="E8" s="6"/>
      <c r="F8" s="6"/>
      <c r="G8" s="6"/>
      <c r="H8" s="6"/>
      <c r="I8" s="3"/>
      <c r="J8" s="5"/>
      <c r="K8" s="5"/>
      <c r="L8" s="3"/>
      <c r="M8" s="3"/>
      <c r="N8" s="5"/>
      <c r="O8" s="5"/>
      <c r="P8" s="5"/>
      <c r="Q8" s="3"/>
      <c r="R8" s="3"/>
    </row>
    <row r="9" spans="1:18" ht="15.6">
      <c r="A9" s="2"/>
      <c r="B9" s="3"/>
      <c r="C9" s="3"/>
      <c r="D9" s="4"/>
      <c r="E9" s="4"/>
      <c r="F9" s="4"/>
      <c r="G9" s="4"/>
      <c r="H9" s="4"/>
      <c r="I9" s="3"/>
      <c r="J9" s="5"/>
      <c r="K9" s="5"/>
      <c r="L9" s="3"/>
      <c r="M9" s="3"/>
      <c r="N9" s="5"/>
      <c r="O9" s="5"/>
      <c r="P9" s="5"/>
      <c r="Q9" s="3"/>
      <c r="R9" s="3"/>
    </row>
    <row r="10" spans="1:18" ht="15.6">
      <c r="A10" s="2"/>
      <c r="B10" s="3"/>
      <c r="C10" s="3"/>
      <c r="D10" s="4"/>
      <c r="E10" s="4"/>
      <c r="F10" s="4"/>
      <c r="G10" s="4"/>
      <c r="H10" s="4"/>
      <c r="I10" s="3"/>
      <c r="J10" s="5"/>
      <c r="K10" s="5"/>
      <c r="L10" s="3"/>
      <c r="M10" s="3"/>
      <c r="N10" s="5"/>
      <c r="O10" s="5"/>
      <c r="P10" s="5"/>
      <c r="Q10" s="3"/>
      <c r="R10" s="3"/>
    </row>
    <row r="11" spans="1:18" ht="15.6">
      <c r="A11" s="2"/>
      <c r="B11" s="3"/>
      <c r="C11" s="3"/>
      <c r="D11" s="4"/>
      <c r="E11" s="4"/>
      <c r="F11" s="4"/>
      <c r="G11" s="4"/>
      <c r="H11" s="4"/>
      <c r="I11" s="3"/>
      <c r="J11" s="5"/>
      <c r="K11" s="5"/>
      <c r="L11" s="3"/>
      <c r="M11" s="3"/>
      <c r="N11" s="5"/>
      <c r="O11" s="5"/>
      <c r="P11" s="5"/>
      <c r="Q11" s="3"/>
      <c r="R11" s="3"/>
    </row>
    <row r="12" spans="1:18" ht="15.6">
      <c r="A12" s="7"/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9"/>
      <c r="O12" s="9"/>
      <c r="P12" s="9"/>
      <c r="Q12" s="8"/>
      <c r="R12" s="8"/>
    </row>
    <row r="13" spans="1:18" ht="15.6">
      <c r="A13" s="7"/>
      <c r="B13" s="8"/>
      <c r="C13" s="11" t="s">
        <v>3</v>
      </c>
      <c r="D13" s="202" t="s">
        <v>4</v>
      </c>
      <c r="E13" s="203"/>
      <c r="F13" s="203"/>
      <c r="G13" s="203"/>
      <c r="H13" s="204"/>
      <c r="I13" s="12"/>
      <c r="J13" s="9"/>
      <c r="K13" s="9"/>
      <c r="L13" s="8"/>
      <c r="M13" s="8"/>
      <c r="N13" s="9"/>
      <c r="O13" s="9"/>
      <c r="P13" s="9"/>
      <c r="Q13" s="8"/>
      <c r="R13" s="8"/>
    </row>
    <row r="14" spans="1:18" ht="15.6">
      <c r="A14" s="7"/>
      <c r="B14" s="8"/>
      <c r="C14" s="11" t="s">
        <v>5</v>
      </c>
      <c r="D14" s="205" t="s">
        <v>6</v>
      </c>
      <c r="E14" s="203"/>
      <c r="F14" s="203"/>
      <c r="G14" s="203"/>
      <c r="H14" s="204"/>
      <c r="I14" s="13" t="s">
        <v>7</v>
      </c>
      <c r="J14" s="9"/>
      <c r="K14" s="9"/>
      <c r="L14" s="8"/>
      <c r="M14" s="8"/>
      <c r="N14" s="9"/>
      <c r="O14" s="9"/>
      <c r="P14" s="9"/>
      <c r="Q14" s="8"/>
      <c r="R14" s="8"/>
    </row>
    <row r="15" spans="1:18" ht="15.6">
      <c r="A15" s="7"/>
      <c r="B15" s="8"/>
      <c r="C15" s="11" t="s">
        <v>8</v>
      </c>
      <c r="D15" s="205" t="s">
        <v>9</v>
      </c>
      <c r="E15" s="203"/>
      <c r="F15" s="203"/>
      <c r="G15" s="203"/>
      <c r="H15" s="204"/>
      <c r="I15" s="13" t="s">
        <v>7</v>
      </c>
      <c r="J15" s="9"/>
      <c r="K15" s="9"/>
      <c r="L15" s="8"/>
      <c r="M15" s="8"/>
      <c r="N15" s="9"/>
      <c r="O15" s="9"/>
      <c r="P15" s="9"/>
      <c r="Q15" s="8"/>
      <c r="R15" s="8"/>
    </row>
    <row r="16" spans="1:18" ht="60">
      <c r="A16" s="7"/>
      <c r="B16" s="8"/>
      <c r="C16" s="11" t="s">
        <v>10</v>
      </c>
      <c r="D16" s="205" t="s">
        <v>11</v>
      </c>
      <c r="E16" s="203"/>
      <c r="F16" s="203"/>
      <c r="G16" s="203"/>
      <c r="H16" s="204"/>
      <c r="I16" s="14" t="s">
        <v>12</v>
      </c>
      <c r="J16" s="9"/>
      <c r="K16" s="9"/>
      <c r="L16" s="8"/>
      <c r="M16" s="8"/>
      <c r="N16" s="9"/>
      <c r="O16" s="9"/>
      <c r="P16" s="9"/>
      <c r="Q16" s="8"/>
      <c r="R16" s="8"/>
    </row>
    <row r="17" spans="1:18" ht="15.6">
      <c r="A17" s="7"/>
      <c r="B17" s="8"/>
      <c r="C17" s="11" t="s">
        <v>13</v>
      </c>
      <c r="D17" s="205" t="s">
        <v>14</v>
      </c>
      <c r="E17" s="203"/>
      <c r="F17" s="203"/>
      <c r="G17" s="203"/>
      <c r="H17" s="204"/>
      <c r="I17" s="13" t="s">
        <v>7</v>
      </c>
      <c r="J17" s="9"/>
      <c r="K17" s="9"/>
      <c r="L17" s="8"/>
      <c r="M17" s="8"/>
      <c r="N17" s="9"/>
      <c r="O17" s="9"/>
      <c r="P17" s="9"/>
      <c r="Q17" s="8"/>
      <c r="R17" s="8"/>
    </row>
    <row r="18" spans="1:18" ht="15.6">
      <c r="A18" s="15"/>
      <c r="B18" s="15"/>
      <c r="C18" s="11" t="s">
        <v>15</v>
      </c>
      <c r="D18" s="205" t="s">
        <v>16</v>
      </c>
      <c r="E18" s="203"/>
      <c r="F18" s="203"/>
      <c r="G18" s="203"/>
      <c r="H18" s="204"/>
      <c r="I18" s="13" t="s">
        <v>7</v>
      </c>
      <c r="J18" s="9"/>
      <c r="K18" s="9"/>
      <c r="L18" s="8"/>
      <c r="M18" s="8"/>
      <c r="N18" s="9"/>
      <c r="O18" s="9"/>
      <c r="P18" s="9"/>
      <c r="Q18" s="8"/>
      <c r="R18" s="8"/>
    </row>
    <row r="19" spans="1:18" ht="15.6" hidden="1">
      <c r="A19" s="16"/>
      <c r="B19" s="17"/>
      <c r="C19" s="11" t="s">
        <v>17</v>
      </c>
      <c r="D19" s="205"/>
      <c r="E19" s="203"/>
      <c r="F19" s="203"/>
      <c r="G19" s="203"/>
      <c r="H19" s="204"/>
      <c r="I19" s="12"/>
      <c r="J19" s="9"/>
      <c r="K19" s="9"/>
      <c r="L19" s="8"/>
      <c r="M19" s="8"/>
      <c r="N19" s="9"/>
      <c r="O19" s="9"/>
      <c r="P19" s="9"/>
      <c r="Q19" s="8"/>
      <c r="R19" s="8"/>
    </row>
    <row r="20" spans="1:18" ht="15.6">
      <c r="C20" s="11" t="s">
        <v>17</v>
      </c>
      <c r="D20" s="205" t="s">
        <v>18</v>
      </c>
      <c r="E20" s="203"/>
      <c r="F20" s="203"/>
      <c r="G20" s="203"/>
      <c r="H20" s="204"/>
      <c r="I20" s="13" t="s">
        <v>7</v>
      </c>
      <c r="J20" s="9"/>
      <c r="K20" s="9"/>
      <c r="L20" s="8"/>
      <c r="M20" s="8"/>
      <c r="N20" s="9"/>
      <c r="O20" s="9"/>
      <c r="P20" s="9"/>
      <c r="Q20" s="8"/>
      <c r="R20" s="8"/>
    </row>
    <row r="21" spans="1:18" ht="15.6">
      <c r="A21" s="18"/>
      <c r="B21" s="196" t="s">
        <v>19</v>
      </c>
      <c r="C21" s="11" t="s">
        <v>20</v>
      </c>
      <c r="D21" s="205" t="s">
        <v>21</v>
      </c>
      <c r="E21" s="203"/>
      <c r="F21" s="203"/>
      <c r="G21" s="203"/>
      <c r="H21" s="204"/>
      <c r="I21" s="13" t="s">
        <v>7</v>
      </c>
      <c r="K21" s="9"/>
      <c r="L21" s="8"/>
      <c r="M21" s="8"/>
      <c r="N21" s="9"/>
      <c r="O21" s="9"/>
      <c r="P21" s="9"/>
      <c r="Q21" s="8"/>
      <c r="R21" s="8"/>
    </row>
    <row r="22" spans="1:18" ht="15.6">
      <c r="A22" s="18"/>
      <c r="B22" s="197"/>
      <c r="C22" s="11" t="s">
        <v>22</v>
      </c>
      <c r="D22" s="205" t="s">
        <v>23</v>
      </c>
      <c r="E22" s="203"/>
      <c r="F22" s="203"/>
      <c r="G22" s="203"/>
      <c r="H22" s="204"/>
      <c r="I22" s="13" t="s">
        <v>7</v>
      </c>
      <c r="J22" s="9"/>
      <c r="K22" s="9"/>
      <c r="L22" s="8"/>
      <c r="M22" s="8"/>
      <c r="N22" s="9"/>
      <c r="O22" s="9"/>
      <c r="P22" s="9"/>
      <c r="Q22" s="8"/>
      <c r="R22" s="8"/>
    </row>
    <row r="23" spans="1:18" ht="15.6">
      <c r="A23" s="19"/>
      <c r="B23" s="198" t="s">
        <v>24</v>
      </c>
      <c r="C23" s="11" t="s">
        <v>25</v>
      </c>
      <c r="D23" s="205" t="s">
        <v>26</v>
      </c>
      <c r="E23" s="203"/>
      <c r="F23" s="203"/>
      <c r="G23" s="203"/>
      <c r="H23" s="204"/>
      <c r="I23" s="13" t="s">
        <v>7</v>
      </c>
      <c r="J23" s="9"/>
      <c r="K23" s="9"/>
      <c r="L23" s="8"/>
      <c r="M23" s="8"/>
      <c r="N23" s="9"/>
      <c r="O23" s="9"/>
      <c r="P23" s="9"/>
      <c r="Q23" s="8"/>
      <c r="R23" s="8"/>
    </row>
    <row r="24" spans="1:18" ht="31.2">
      <c r="A24" s="19"/>
      <c r="B24" s="199"/>
      <c r="C24" s="11" t="s">
        <v>27</v>
      </c>
      <c r="D24" s="205" t="s">
        <v>28</v>
      </c>
      <c r="E24" s="203"/>
      <c r="F24" s="203"/>
      <c r="G24" s="203"/>
      <c r="H24" s="204"/>
      <c r="I24" s="13" t="s">
        <v>7</v>
      </c>
      <c r="J24" s="9"/>
      <c r="K24" s="9"/>
      <c r="L24" s="8"/>
      <c r="M24" s="8"/>
      <c r="N24" s="9"/>
      <c r="O24" s="9"/>
      <c r="P24" s="9"/>
      <c r="Q24" s="8"/>
      <c r="R24" s="8"/>
    </row>
    <row r="25" spans="1:18" ht="15.6">
      <c r="A25" s="19"/>
      <c r="B25" s="198" t="s">
        <v>29</v>
      </c>
      <c r="C25" s="11" t="s">
        <v>30</v>
      </c>
      <c r="D25" s="205" t="s">
        <v>31</v>
      </c>
      <c r="E25" s="203"/>
      <c r="F25" s="203"/>
      <c r="G25" s="203"/>
      <c r="H25" s="204"/>
      <c r="I25" s="13" t="s">
        <v>7</v>
      </c>
      <c r="J25" s="9"/>
      <c r="K25" s="9"/>
      <c r="L25" s="8"/>
      <c r="M25" s="8"/>
      <c r="N25" s="9"/>
      <c r="O25" s="9"/>
      <c r="P25" s="9"/>
      <c r="Q25" s="8"/>
      <c r="R25" s="8"/>
    </row>
    <row r="26" spans="1:18" ht="15.6">
      <c r="A26" s="19"/>
      <c r="B26" s="197"/>
      <c r="C26" s="11" t="s">
        <v>32</v>
      </c>
      <c r="D26" s="205" t="s">
        <v>33</v>
      </c>
      <c r="E26" s="203"/>
      <c r="F26" s="203"/>
      <c r="G26" s="203"/>
      <c r="H26" s="204"/>
      <c r="I26" s="13" t="s">
        <v>7</v>
      </c>
      <c r="J26" s="9"/>
      <c r="K26" s="9"/>
      <c r="L26" s="8"/>
      <c r="M26" s="8"/>
      <c r="N26" s="9"/>
      <c r="O26" s="9"/>
      <c r="P26" s="9"/>
      <c r="Q26" s="8"/>
      <c r="R26" s="8"/>
    </row>
    <row r="27" spans="1:18" ht="15.6">
      <c r="A27" s="19"/>
      <c r="B27" s="197"/>
      <c r="C27" s="11" t="s">
        <v>34</v>
      </c>
      <c r="D27" s="205" t="s">
        <v>35</v>
      </c>
      <c r="E27" s="203"/>
      <c r="F27" s="203"/>
      <c r="G27" s="203"/>
      <c r="H27" s="204"/>
      <c r="I27" s="13" t="s">
        <v>7</v>
      </c>
      <c r="J27" s="9"/>
      <c r="K27" s="9"/>
      <c r="L27" s="8"/>
      <c r="M27" s="8"/>
      <c r="N27" s="9"/>
      <c r="O27" s="9"/>
      <c r="P27" s="9"/>
      <c r="Q27" s="8"/>
      <c r="R27" s="8"/>
    </row>
    <row r="28" spans="1:18" ht="15.6">
      <c r="A28" s="19"/>
      <c r="B28" s="197"/>
      <c r="C28" s="11" t="s">
        <v>36</v>
      </c>
      <c r="D28" s="205" t="s">
        <v>37</v>
      </c>
      <c r="E28" s="203"/>
      <c r="F28" s="203"/>
      <c r="G28" s="203"/>
      <c r="H28" s="204"/>
      <c r="I28" s="8"/>
      <c r="J28" s="9"/>
      <c r="K28" s="9"/>
      <c r="L28" s="8"/>
      <c r="M28" s="8"/>
      <c r="N28" s="9"/>
      <c r="O28" s="20"/>
      <c r="P28" s="20"/>
      <c r="Q28" s="8"/>
      <c r="R28" s="8"/>
    </row>
    <row r="29" spans="1:18" ht="31.2">
      <c r="A29" s="15"/>
      <c r="B29" s="15"/>
      <c r="C29" s="11" t="s">
        <v>38</v>
      </c>
      <c r="D29" s="214" t="s">
        <v>39</v>
      </c>
      <c r="E29" s="203"/>
      <c r="F29" s="203"/>
      <c r="G29" s="203"/>
      <c r="H29" s="203"/>
      <c r="I29" s="8"/>
      <c r="J29" s="9"/>
      <c r="K29" s="9"/>
      <c r="L29" s="8"/>
      <c r="M29" s="8"/>
      <c r="N29" s="9"/>
      <c r="O29" s="20"/>
      <c r="P29" s="20"/>
      <c r="Q29" s="8"/>
      <c r="R29" s="8"/>
    </row>
    <row r="30" spans="1:18" ht="15.6">
      <c r="A30" s="15"/>
      <c r="B30" s="15"/>
      <c r="C30" s="21" t="s">
        <v>40</v>
      </c>
      <c r="D30" s="215"/>
      <c r="E30" s="203"/>
      <c r="F30" s="203"/>
      <c r="G30" s="203"/>
      <c r="H30" s="204"/>
      <c r="I30" s="12"/>
      <c r="J30" s="9"/>
      <c r="K30" s="9"/>
      <c r="L30" s="8"/>
      <c r="M30" s="8"/>
      <c r="N30" s="9"/>
      <c r="O30" s="9"/>
      <c r="P30" s="9"/>
      <c r="Q30" s="8"/>
      <c r="R30" s="8"/>
    </row>
    <row r="31" spans="1:18" ht="15.6">
      <c r="A31" s="7"/>
      <c r="B31" s="8"/>
      <c r="C31" s="8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62.4">
      <c r="A32" s="25"/>
      <c r="B32" s="26" t="s">
        <v>42</v>
      </c>
      <c r="C32" s="27" t="s">
        <v>43</v>
      </c>
      <c r="D32" s="21" t="s">
        <v>44</v>
      </c>
      <c r="E32" s="21" t="s">
        <v>45</v>
      </c>
      <c r="F32" s="21" t="s">
        <v>46</v>
      </c>
      <c r="G32" s="21" t="s">
        <v>47</v>
      </c>
      <c r="H32" s="21" t="s">
        <v>48</v>
      </c>
      <c r="I32" s="21" t="s">
        <v>49</v>
      </c>
      <c r="J32" s="28" t="s">
        <v>50</v>
      </c>
      <c r="K32" s="28" t="s">
        <v>51</v>
      </c>
      <c r="L32" s="21" t="s">
        <v>52</v>
      </c>
      <c r="M32" s="21" t="s">
        <v>53</v>
      </c>
      <c r="N32" s="28" t="s">
        <v>54</v>
      </c>
      <c r="O32" s="28" t="s">
        <v>55</v>
      </c>
      <c r="P32" s="28" t="s">
        <v>56</v>
      </c>
      <c r="Q32" s="21" t="s">
        <v>57</v>
      </c>
      <c r="R32" s="21" t="s">
        <v>58</v>
      </c>
    </row>
    <row r="33" spans="1:18" ht="303.60000000000002">
      <c r="B33" s="8"/>
      <c r="C33" s="11" t="s">
        <v>74</v>
      </c>
      <c r="D33" s="32" t="s">
        <v>75</v>
      </c>
      <c r="E33" s="32" t="s">
        <v>76</v>
      </c>
      <c r="F33" s="32" t="s">
        <v>77</v>
      </c>
      <c r="G33" s="33" t="s">
        <v>78</v>
      </c>
      <c r="H33" s="33" t="s">
        <v>79</v>
      </c>
      <c r="I33" s="32" t="s">
        <v>80</v>
      </c>
      <c r="J33" s="34" t="s">
        <v>81</v>
      </c>
      <c r="K33" s="34" t="s">
        <v>82</v>
      </c>
      <c r="L33" s="33" t="s">
        <v>83</v>
      </c>
      <c r="M33" s="33" t="s">
        <v>84</v>
      </c>
      <c r="N33" s="35" t="s">
        <v>85</v>
      </c>
      <c r="O33" s="104">
        <v>44511</v>
      </c>
      <c r="P33" s="34" t="s">
        <v>376</v>
      </c>
      <c r="Q33" s="32" t="s">
        <v>86</v>
      </c>
      <c r="R33" s="32" t="s">
        <v>87</v>
      </c>
    </row>
    <row r="34" spans="1:18" ht="179.4">
      <c r="B34" s="39" t="s">
        <v>7</v>
      </c>
      <c r="C34" s="11" t="s">
        <v>88</v>
      </c>
      <c r="D34" s="32" t="s">
        <v>89</v>
      </c>
      <c r="E34" s="32" t="s">
        <v>90</v>
      </c>
      <c r="F34" s="32" t="s">
        <v>91</v>
      </c>
      <c r="G34" s="33" t="s">
        <v>92</v>
      </c>
      <c r="H34" s="33" t="s">
        <v>79</v>
      </c>
      <c r="I34" s="32" t="s">
        <v>93</v>
      </c>
      <c r="J34" s="40" t="s">
        <v>94</v>
      </c>
      <c r="K34" s="41" t="s">
        <v>95</v>
      </c>
      <c r="L34" s="33" t="s">
        <v>83</v>
      </c>
      <c r="M34" s="33" t="s">
        <v>84</v>
      </c>
      <c r="N34" s="35" t="s">
        <v>85</v>
      </c>
      <c r="O34" s="104">
        <v>1505977</v>
      </c>
      <c r="P34" s="37"/>
      <c r="Q34" s="32" t="s">
        <v>96</v>
      </c>
      <c r="R34" s="32" t="s">
        <v>97</v>
      </c>
    </row>
    <row r="35" spans="1:18" ht="179.4">
      <c r="B35" s="45" t="s">
        <v>98</v>
      </c>
      <c r="C35" s="46" t="s">
        <v>99</v>
      </c>
      <c r="D35" s="32" t="s">
        <v>100</v>
      </c>
      <c r="E35" s="32" t="s">
        <v>101</v>
      </c>
      <c r="F35" s="32" t="s">
        <v>102</v>
      </c>
      <c r="G35" s="32" t="s">
        <v>103</v>
      </c>
      <c r="H35" s="32" t="s">
        <v>79</v>
      </c>
      <c r="I35" s="32" t="s">
        <v>104</v>
      </c>
      <c r="J35" s="32" t="s">
        <v>105</v>
      </c>
      <c r="K35" s="47" t="s">
        <v>106</v>
      </c>
      <c r="L35" s="32" t="s">
        <v>107</v>
      </c>
      <c r="M35" s="32" t="s">
        <v>108</v>
      </c>
      <c r="N35" s="32" t="s">
        <v>85</v>
      </c>
      <c r="O35" s="106">
        <v>0.9</v>
      </c>
      <c r="P35" s="34" t="s">
        <v>376</v>
      </c>
      <c r="Q35" s="32" t="s">
        <v>86</v>
      </c>
      <c r="R35" s="32" t="s">
        <v>109</v>
      </c>
    </row>
    <row r="36" spans="1:18" ht="151.80000000000001">
      <c r="A36" s="50" t="s">
        <v>74</v>
      </c>
      <c r="B36" s="51"/>
      <c r="C36" s="52" t="s">
        <v>110</v>
      </c>
      <c r="D36" s="32" t="s">
        <v>111</v>
      </c>
      <c r="E36" s="53" t="s">
        <v>112</v>
      </c>
      <c r="F36" s="32" t="s">
        <v>113</v>
      </c>
      <c r="G36" s="54" t="s">
        <v>103</v>
      </c>
      <c r="H36" s="54" t="s">
        <v>114</v>
      </c>
      <c r="I36" s="53" t="s">
        <v>115</v>
      </c>
      <c r="J36" s="55" t="s">
        <v>116</v>
      </c>
      <c r="K36" s="34" t="s">
        <v>117</v>
      </c>
      <c r="L36" s="32" t="s">
        <v>107</v>
      </c>
      <c r="M36" s="56" t="s">
        <v>108</v>
      </c>
      <c r="N36" s="32">
        <v>517</v>
      </c>
      <c r="O36" s="32">
        <v>7450</v>
      </c>
      <c r="P36" s="107" t="s">
        <v>360</v>
      </c>
      <c r="Q36" s="33" t="s">
        <v>118</v>
      </c>
      <c r="R36" s="32" t="s">
        <v>119</v>
      </c>
    </row>
    <row r="37" spans="1:18" ht="110.4">
      <c r="A37" s="58" t="s">
        <v>88</v>
      </c>
      <c r="B37" s="51"/>
      <c r="C37" s="52" t="s">
        <v>120</v>
      </c>
      <c r="D37" s="32" t="s">
        <v>121</v>
      </c>
      <c r="E37" s="32" t="s">
        <v>122</v>
      </c>
      <c r="F37" s="32" t="s">
        <v>123</v>
      </c>
      <c r="G37" s="54" t="s">
        <v>103</v>
      </c>
      <c r="H37" s="54" t="s">
        <v>114</v>
      </c>
      <c r="I37" s="32" t="s">
        <v>124</v>
      </c>
      <c r="J37" s="55" t="s">
        <v>125</v>
      </c>
      <c r="K37" s="34" t="s">
        <v>126</v>
      </c>
      <c r="L37" s="32" t="s">
        <v>107</v>
      </c>
      <c r="M37" s="59" t="s">
        <v>108</v>
      </c>
      <c r="N37" s="32">
        <v>925</v>
      </c>
      <c r="O37" s="65">
        <v>640</v>
      </c>
      <c r="P37" s="107" t="s">
        <v>361</v>
      </c>
      <c r="Q37" s="32" t="s">
        <v>127</v>
      </c>
      <c r="R37" s="32" t="s">
        <v>128</v>
      </c>
    </row>
    <row r="38" spans="1:18" ht="110.4">
      <c r="A38" s="58" t="s">
        <v>129</v>
      </c>
      <c r="B38" s="51"/>
      <c r="C38" s="52" t="s">
        <v>130</v>
      </c>
      <c r="D38" s="32" t="s">
        <v>131</v>
      </c>
      <c r="E38" s="32" t="s">
        <v>132</v>
      </c>
      <c r="F38" s="32" t="s">
        <v>133</v>
      </c>
      <c r="G38" s="54" t="s">
        <v>103</v>
      </c>
      <c r="H38" s="54" t="s">
        <v>114</v>
      </c>
      <c r="I38" s="53" t="s">
        <v>134</v>
      </c>
      <c r="J38" s="60" t="s">
        <v>135</v>
      </c>
      <c r="K38" s="60" t="s">
        <v>136</v>
      </c>
      <c r="L38" s="32" t="s">
        <v>107</v>
      </c>
      <c r="M38" s="59" t="s">
        <v>108</v>
      </c>
      <c r="N38" s="32">
        <v>10405</v>
      </c>
      <c r="O38" s="63">
        <v>5000</v>
      </c>
      <c r="P38" s="107" t="s">
        <v>362</v>
      </c>
      <c r="Q38" s="32" t="s">
        <v>137</v>
      </c>
      <c r="R38" s="32" t="s">
        <v>138</v>
      </c>
    </row>
    <row r="39" spans="1:18" ht="193.2">
      <c r="A39" s="58" t="s">
        <v>74</v>
      </c>
      <c r="B39" s="51"/>
      <c r="C39" s="52" t="s">
        <v>139</v>
      </c>
      <c r="D39" s="32" t="s">
        <v>140</v>
      </c>
      <c r="E39" s="32" t="s">
        <v>141</v>
      </c>
      <c r="F39" s="32" t="s">
        <v>142</v>
      </c>
      <c r="G39" s="54" t="s">
        <v>103</v>
      </c>
      <c r="H39" s="54" t="s">
        <v>114</v>
      </c>
      <c r="I39" s="53" t="s">
        <v>143</v>
      </c>
      <c r="J39" s="62" t="s">
        <v>144</v>
      </c>
      <c r="K39" s="62" t="s">
        <v>145</v>
      </c>
      <c r="L39" s="32" t="s">
        <v>107</v>
      </c>
      <c r="M39" s="59" t="s">
        <v>108</v>
      </c>
      <c r="N39" s="63">
        <v>9826</v>
      </c>
      <c r="O39" s="63">
        <v>8791</v>
      </c>
      <c r="P39" s="34" t="s">
        <v>363</v>
      </c>
      <c r="Q39" s="53" t="s">
        <v>118</v>
      </c>
      <c r="R39" s="32" t="s">
        <v>146</v>
      </c>
    </row>
    <row r="40" spans="1:18" ht="96.6">
      <c r="A40" s="58" t="s">
        <v>88</v>
      </c>
      <c r="B40" s="51"/>
      <c r="C40" s="52" t="s">
        <v>147</v>
      </c>
      <c r="D40" s="32" t="s">
        <v>148</v>
      </c>
      <c r="E40" s="32" t="s">
        <v>149</v>
      </c>
      <c r="F40" s="32" t="s">
        <v>150</v>
      </c>
      <c r="G40" s="54" t="s">
        <v>103</v>
      </c>
      <c r="H40" s="32" t="s">
        <v>114</v>
      </c>
      <c r="I40" s="53" t="s">
        <v>151</v>
      </c>
      <c r="J40" s="60" t="s">
        <v>152</v>
      </c>
      <c r="K40" s="60" t="s">
        <v>153</v>
      </c>
      <c r="L40" s="32" t="s">
        <v>107</v>
      </c>
      <c r="M40" s="64" t="s">
        <v>108</v>
      </c>
      <c r="N40" s="65">
        <v>1378450</v>
      </c>
      <c r="O40" s="63">
        <v>1190350</v>
      </c>
      <c r="P40" s="34" t="s">
        <v>350</v>
      </c>
      <c r="Q40" s="33" t="s">
        <v>154</v>
      </c>
      <c r="R40" s="32" t="s">
        <v>155</v>
      </c>
    </row>
    <row r="41" spans="1:18" ht="110.4">
      <c r="A41" s="58" t="s">
        <v>88</v>
      </c>
      <c r="B41" s="51"/>
      <c r="C41" s="52" t="s">
        <v>156</v>
      </c>
      <c r="D41" s="32" t="s">
        <v>157</v>
      </c>
      <c r="E41" s="32" t="s">
        <v>158</v>
      </c>
      <c r="F41" s="32" t="s">
        <v>159</v>
      </c>
      <c r="G41" s="54" t="s">
        <v>103</v>
      </c>
      <c r="H41" s="32" t="s">
        <v>114</v>
      </c>
      <c r="I41" s="53" t="s">
        <v>160</v>
      </c>
      <c r="J41" s="60" t="s">
        <v>152</v>
      </c>
      <c r="K41" s="60" t="s">
        <v>161</v>
      </c>
      <c r="L41" s="32" t="s">
        <v>107</v>
      </c>
      <c r="M41" s="64" t="s">
        <v>108</v>
      </c>
      <c r="N41" s="63">
        <v>26296</v>
      </c>
      <c r="O41" s="63">
        <v>26292</v>
      </c>
      <c r="P41" s="34" t="s">
        <v>364</v>
      </c>
      <c r="Q41" s="33" t="s">
        <v>154</v>
      </c>
      <c r="R41" s="32" t="s">
        <v>162</v>
      </c>
    </row>
    <row r="42" spans="1:18" ht="151.80000000000001">
      <c r="A42" s="58" t="s">
        <v>88</v>
      </c>
      <c r="B42" s="51"/>
      <c r="C42" s="52" t="s">
        <v>163</v>
      </c>
      <c r="D42" s="32" t="s">
        <v>164</v>
      </c>
      <c r="E42" s="32" t="s">
        <v>165</v>
      </c>
      <c r="F42" s="32" t="s">
        <v>166</v>
      </c>
      <c r="G42" s="54" t="s">
        <v>103</v>
      </c>
      <c r="H42" s="32" t="s">
        <v>114</v>
      </c>
      <c r="I42" s="53" t="s">
        <v>151</v>
      </c>
      <c r="J42" s="60" t="s">
        <v>152</v>
      </c>
      <c r="K42" s="60" t="s">
        <v>153</v>
      </c>
      <c r="L42" s="32" t="s">
        <v>107</v>
      </c>
      <c r="M42" s="64" t="s">
        <v>108</v>
      </c>
      <c r="N42" s="65">
        <v>4560</v>
      </c>
      <c r="O42" s="63">
        <v>4020</v>
      </c>
      <c r="P42" s="34" t="s">
        <v>364</v>
      </c>
      <c r="Q42" s="33" t="s">
        <v>154</v>
      </c>
      <c r="R42" s="32" t="s">
        <v>167</v>
      </c>
    </row>
    <row r="43" spans="1:18" ht="96.6">
      <c r="A43" s="58" t="s">
        <v>129</v>
      </c>
      <c r="B43" s="51"/>
      <c r="C43" s="52" t="s">
        <v>168</v>
      </c>
      <c r="D43" s="32" t="s">
        <v>169</v>
      </c>
      <c r="E43" s="32" t="s">
        <v>170</v>
      </c>
      <c r="F43" s="32" t="s">
        <v>171</v>
      </c>
      <c r="G43" s="54" t="s">
        <v>103</v>
      </c>
      <c r="H43" s="32" t="s">
        <v>114</v>
      </c>
      <c r="I43" s="32" t="s">
        <v>172</v>
      </c>
      <c r="J43" s="60" t="s">
        <v>173</v>
      </c>
      <c r="K43" s="60" t="s">
        <v>174</v>
      </c>
      <c r="L43" s="32" t="s">
        <v>107</v>
      </c>
      <c r="M43" s="64" t="s">
        <v>108</v>
      </c>
      <c r="N43" s="65">
        <v>7997</v>
      </c>
      <c r="O43" s="63">
        <v>6000</v>
      </c>
      <c r="P43" s="34" t="s">
        <v>365</v>
      </c>
      <c r="Q43" s="32" t="s">
        <v>175</v>
      </c>
      <c r="R43" s="32" t="s">
        <v>176</v>
      </c>
    </row>
    <row r="44" spans="1:18" ht="124.2">
      <c r="A44" s="58" t="s">
        <v>74</v>
      </c>
      <c r="B44" s="51"/>
      <c r="C44" s="52" t="s">
        <v>177</v>
      </c>
      <c r="D44" s="32" t="s">
        <v>178</v>
      </c>
      <c r="E44" s="32" t="s">
        <v>179</v>
      </c>
      <c r="F44" s="32" t="s">
        <v>180</v>
      </c>
      <c r="G44" s="32" t="s">
        <v>103</v>
      </c>
      <c r="H44" s="32" t="s">
        <v>114</v>
      </c>
      <c r="I44" s="32" t="s">
        <v>181</v>
      </c>
      <c r="J44" s="32" t="s">
        <v>182</v>
      </c>
      <c r="K44" s="32">
        <v>4</v>
      </c>
      <c r="L44" s="32" t="s">
        <v>183</v>
      </c>
      <c r="M44" s="32" t="s">
        <v>184</v>
      </c>
      <c r="N44" s="32">
        <v>2676</v>
      </c>
      <c r="O44" s="32">
        <v>2550</v>
      </c>
      <c r="P44" s="32">
        <v>573</v>
      </c>
      <c r="Q44" s="32" t="s">
        <v>185</v>
      </c>
      <c r="R44" s="32" t="s">
        <v>186</v>
      </c>
    </row>
    <row r="45" spans="1:18" ht="124.2">
      <c r="A45" s="58" t="s">
        <v>88</v>
      </c>
      <c r="B45" s="51"/>
      <c r="C45" s="52" t="s">
        <v>187</v>
      </c>
      <c r="D45" s="32" t="s">
        <v>188</v>
      </c>
      <c r="E45" s="32" t="s">
        <v>189</v>
      </c>
      <c r="F45" s="32" t="s">
        <v>190</v>
      </c>
      <c r="G45" s="32" t="s">
        <v>103</v>
      </c>
      <c r="H45" s="32" t="s">
        <v>114</v>
      </c>
      <c r="I45" s="32" t="s">
        <v>191</v>
      </c>
      <c r="J45" s="32" t="s">
        <v>192</v>
      </c>
      <c r="K45" s="32" t="s">
        <v>193</v>
      </c>
      <c r="L45" s="32" t="s">
        <v>107</v>
      </c>
      <c r="M45" s="32" t="s">
        <v>108</v>
      </c>
      <c r="N45" s="32" t="s">
        <v>85</v>
      </c>
      <c r="O45" s="32">
        <v>15000</v>
      </c>
      <c r="P45" s="32" t="s">
        <v>366</v>
      </c>
      <c r="Q45" s="32" t="s">
        <v>185</v>
      </c>
      <c r="R45" s="32" t="s">
        <v>186</v>
      </c>
    </row>
    <row r="46" spans="1:18" ht="124.2">
      <c r="A46" s="58" t="s">
        <v>88</v>
      </c>
      <c r="B46" s="51"/>
      <c r="C46" s="52" t="s">
        <v>194</v>
      </c>
      <c r="D46" s="32" t="s">
        <v>195</v>
      </c>
      <c r="E46" s="32" t="s">
        <v>196</v>
      </c>
      <c r="F46" s="32" t="s">
        <v>197</v>
      </c>
      <c r="G46" s="54" t="s">
        <v>103</v>
      </c>
      <c r="H46" s="32" t="s">
        <v>114</v>
      </c>
      <c r="I46" s="53" t="s">
        <v>198</v>
      </c>
      <c r="J46" s="60" t="s">
        <v>199</v>
      </c>
      <c r="K46" s="60" t="s">
        <v>200</v>
      </c>
      <c r="L46" s="32" t="s">
        <v>107</v>
      </c>
      <c r="M46" s="64" t="s">
        <v>108</v>
      </c>
      <c r="N46" s="65">
        <v>28995</v>
      </c>
      <c r="O46" s="63">
        <v>29000</v>
      </c>
      <c r="P46" s="34" t="s">
        <v>367</v>
      </c>
      <c r="Q46" s="33" t="s">
        <v>201</v>
      </c>
      <c r="R46" s="32" t="s">
        <v>202</v>
      </c>
    </row>
    <row r="47" spans="1:18" ht="165.6">
      <c r="A47" s="58" t="s">
        <v>74</v>
      </c>
      <c r="B47" s="51"/>
      <c r="C47" s="52" t="s">
        <v>203</v>
      </c>
      <c r="D47" s="32" t="s">
        <v>204</v>
      </c>
      <c r="E47" s="32" t="s">
        <v>205</v>
      </c>
      <c r="F47" s="32" t="s">
        <v>206</v>
      </c>
      <c r="G47" s="54" t="s">
        <v>103</v>
      </c>
      <c r="H47" s="32" t="s">
        <v>114</v>
      </c>
      <c r="I47" s="32" t="s">
        <v>207</v>
      </c>
      <c r="J47" s="60" t="s">
        <v>208</v>
      </c>
      <c r="K47" s="60">
        <v>4</v>
      </c>
      <c r="L47" s="32" t="s">
        <v>183</v>
      </c>
      <c r="M47" s="64" t="s">
        <v>184</v>
      </c>
      <c r="N47" s="32" t="s">
        <v>85</v>
      </c>
      <c r="O47" s="65">
        <v>1500</v>
      </c>
      <c r="P47" s="34">
        <v>382.5</v>
      </c>
      <c r="Q47" s="33" t="s">
        <v>118</v>
      </c>
      <c r="R47" s="32" t="s">
        <v>209</v>
      </c>
    </row>
    <row r="48" spans="1:18" ht="165.6">
      <c r="A48" s="58" t="s">
        <v>88</v>
      </c>
      <c r="B48" s="51"/>
      <c r="C48" s="52" t="s">
        <v>210</v>
      </c>
      <c r="D48" s="32" t="s">
        <v>211</v>
      </c>
      <c r="E48" s="32" t="s">
        <v>212</v>
      </c>
      <c r="F48" s="32" t="s">
        <v>213</v>
      </c>
      <c r="G48" s="54" t="s">
        <v>103</v>
      </c>
      <c r="H48" s="32" t="s">
        <v>114</v>
      </c>
      <c r="I48" s="53" t="s">
        <v>214</v>
      </c>
      <c r="J48" s="60" t="s">
        <v>215</v>
      </c>
      <c r="K48" s="60" t="s">
        <v>216</v>
      </c>
      <c r="L48" s="32" t="s">
        <v>107</v>
      </c>
      <c r="M48" s="64" t="s">
        <v>108</v>
      </c>
      <c r="N48" s="65">
        <v>203457</v>
      </c>
      <c r="O48" s="65">
        <v>224400</v>
      </c>
      <c r="P48" s="34" t="s">
        <v>368</v>
      </c>
      <c r="Q48" s="33" t="s">
        <v>118</v>
      </c>
      <c r="R48" s="32" t="s">
        <v>209</v>
      </c>
    </row>
    <row r="49" spans="1:18" ht="82.8">
      <c r="A49" s="58" t="s">
        <v>74</v>
      </c>
      <c r="B49" s="51"/>
      <c r="C49" s="52" t="s">
        <v>217</v>
      </c>
      <c r="D49" s="66" t="s">
        <v>218</v>
      </c>
      <c r="E49" s="66" t="s">
        <v>219</v>
      </c>
      <c r="F49" s="66" t="s">
        <v>220</v>
      </c>
      <c r="G49" s="67" t="s">
        <v>103</v>
      </c>
      <c r="H49" s="66" t="s">
        <v>114</v>
      </c>
      <c r="I49" s="66" t="s">
        <v>221</v>
      </c>
      <c r="J49" s="68" t="s">
        <v>222</v>
      </c>
      <c r="K49" s="68">
        <v>4</v>
      </c>
      <c r="L49" s="32" t="s">
        <v>183</v>
      </c>
      <c r="M49" s="69" t="s">
        <v>184</v>
      </c>
      <c r="N49" s="70" t="s">
        <v>85</v>
      </c>
      <c r="O49" s="70">
        <v>4500</v>
      </c>
      <c r="P49" s="108">
        <v>1270.5</v>
      </c>
      <c r="Q49" s="32" t="s">
        <v>223</v>
      </c>
      <c r="R49" s="32" t="s">
        <v>224</v>
      </c>
    </row>
    <row r="50" spans="1:18" ht="96.6">
      <c r="A50" s="58" t="s">
        <v>88</v>
      </c>
      <c r="B50" s="51"/>
      <c r="C50" s="52" t="s">
        <v>225</v>
      </c>
      <c r="D50" s="32" t="s">
        <v>226</v>
      </c>
      <c r="E50" s="32" t="s">
        <v>227</v>
      </c>
      <c r="F50" s="32" t="s">
        <v>228</v>
      </c>
      <c r="G50" s="54" t="s">
        <v>103</v>
      </c>
      <c r="H50" s="32" t="s">
        <v>114</v>
      </c>
      <c r="I50" s="32" t="s">
        <v>229</v>
      </c>
      <c r="J50" s="60" t="s">
        <v>230</v>
      </c>
      <c r="K50" s="60">
        <v>4</v>
      </c>
      <c r="L50" s="32" t="s">
        <v>183</v>
      </c>
      <c r="M50" s="64" t="s">
        <v>184</v>
      </c>
      <c r="N50" s="37"/>
      <c r="O50" s="65">
        <v>780</v>
      </c>
      <c r="P50" s="34">
        <v>219</v>
      </c>
      <c r="Q50" s="32" t="s">
        <v>231</v>
      </c>
      <c r="R50" s="32" t="s">
        <v>232</v>
      </c>
    </row>
    <row r="51" spans="1:18" ht="96.6">
      <c r="A51" s="58" t="s">
        <v>74</v>
      </c>
      <c r="B51" s="51"/>
      <c r="C51" s="52" t="s">
        <v>233</v>
      </c>
      <c r="D51" s="32" t="s">
        <v>234</v>
      </c>
      <c r="E51" s="32" t="s">
        <v>235</v>
      </c>
      <c r="F51" s="32" t="s">
        <v>236</v>
      </c>
      <c r="G51" s="54" t="s">
        <v>103</v>
      </c>
      <c r="H51" s="32" t="s">
        <v>114</v>
      </c>
      <c r="I51" s="53" t="s">
        <v>237</v>
      </c>
      <c r="J51" s="60" t="s">
        <v>238</v>
      </c>
      <c r="K51" s="60" t="s">
        <v>239</v>
      </c>
      <c r="L51" s="32" t="s">
        <v>107</v>
      </c>
      <c r="M51" s="64" t="s">
        <v>108</v>
      </c>
      <c r="N51" s="65">
        <v>2037</v>
      </c>
      <c r="O51" s="65">
        <v>2030</v>
      </c>
      <c r="P51" s="34" t="s">
        <v>350</v>
      </c>
      <c r="Q51" s="33" t="s">
        <v>240</v>
      </c>
      <c r="R51" s="32" t="s">
        <v>241</v>
      </c>
    </row>
    <row r="52" spans="1:18" ht="96.6">
      <c r="A52" s="73" t="s">
        <v>88</v>
      </c>
      <c r="B52" s="51"/>
      <c r="C52" s="52" t="s">
        <v>242</v>
      </c>
      <c r="D52" s="32" t="s">
        <v>243</v>
      </c>
      <c r="E52" s="32" t="s">
        <v>244</v>
      </c>
      <c r="F52" s="32" t="s">
        <v>245</v>
      </c>
      <c r="G52" s="54" t="s">
        <v>103</v>
      </c>
      <c r="H52" s="32" t="s">
        <v>114</v>
      </c>
      <c r="I52" s="53" t="s">
        <v>246</v>
      </c>
      <c r="J52" s="60" t="s">
        <v>247</v>
      </c>
      <c r="K52" s="60" t="s">
        <v>248</v>
      </c>
      <c r="L52" s="32" t="s">
        <v>107</v>
      </c>
      <c r="M52" s="64" t="s">
        <v>108</v>
      </c>
      <c r="N52" s="32" t="s">
        <v>85</v>
      </c>
      <c r="O52" s="65">
        <v>1188</v>
      </c>
      <c r="P52" s="34" t="s">
        <v>364</v>
      </c>
      <c r="Q52" s="33" t="s">
        <v>249</v>
      </c>
      <c r="R52" s="32" t="s">
        <v>241</v>
      </c>
    </row>
    <row r="53" spans="1:18" ht="96.6">
      <c r="A53" s="24" t="s">
        <v>74</v>
      </c>
      <c r="B53" s="74" t="s">
        <v>98</v>
      </c>
      <c r="C53" s="75" t="s">
        <v>250</v>
      </c>
      <c r="D53" s="32" t="s">
        <v>251</v>
      </c>
      <c r="E53" s="32" t="s">
        <v>252</v>
      </c>
      <c r="F53" s="32" t="s">
        <v>113</v>
      </c>
      <c r="G53" s="32" t="s">
        <v>103</v>
      </c>
      <c r="H53" s="32" t="s">
        <v>79</v>
      </c>
      <c r="I53" s="32" t="s">
        <v>253</v>
      </c>
      <c r="J53" s="60" t="s">
        <v>254</v>
      </c>
      <c r="K53" s="60" t="s">
        <v>255</v>
      </c>
      <c r="L53" s="32" t="s">
        <v>107</v>
      </c>
      <c r="M53" s="32" t="s">
        <v>108</v>
      </c>
      <c r="N53" s="32">
        <v>4431</v>
      </c>
      <c r="O53" s="32">
        <v>5000</v>
      </c>
      <c r="P53" s="34" t="s">
        <v>369</v>
      </c>
      <c r="Q53" s="32" t="s">
        <v>256</v>
      </c>
      <c r="R53" s="32" t="s">
        <v>257</v>
      </c>
    </row>
    <row r="54" spans="1:18" ht="179.4">
      <c r="A54" s="51" t="s">
        <v>88</v>
      </c>
      <c r="B54" s="51"/>
      <c r="C54" s="76" t="s">
        <v>258</v>
      </c>
      <c r="D54" s="32" t="s">
        <v>259</v>
      </c>
      <c r="E54" s="32" t="s">
        <v>260</v>
      </c>
      <c r="F54" s="32" t="s">
        <v>261</v>
      </c>
      <c r="G54" s="32" t="s">
        <v>103</v>
      </c>
      <c r="H54" s="32" t="s">
        <v>114</v>
      </c>
      <c r="I54" s="32" t="s">
        <v>262</v>
      </c>
      <c r="J54" s="60" t="s">
        <v>263</v>
      </c>
      <c r="K54" s="60" t="s">
        <v>264</v>
      </c>
      <c r="L54" s="32" t="s">
        <v>107</v>
      </c>
      <c r="M54" s="32" t="s">
        <v>108</v>
      </c>
      <c r="N54" s="32">
        <v>17</v>
      </c>
      <c r="O54" s="32">
        <v>7</v>
      </c>
      <c r="P54" s="107" t="s">
        <v>370</v>
      </c>
      <c r="Q54" s="32" t="s">
        <v>265</v>
      </c>
      <c r="R54" s="32" t="s">
        <v>266</v>
      </c>
    </row>
    <row r="55" spans="1:18" ht="124.2">
      <c r="A55" s="24" t="s">
        <v>88</v>
      </c>
      <c r="B55" s="77" t="s">
        <v>98</v>
      </c>
      <c r="C55" s="46" t="s">
        <v>267</v>
      </c>
      <c r="D55" s="32" t="s">
        <v>268</v>
      </c>
      <c r="E55" s="32" t="s">
        <v>269</v>
      </c>
      <c r="F55" s="32" t="s">
        <v>270</v>
      </c>
      <c r="G55" s="32" t="s">
        <v>103</v>
      </c>
      <c r="H55" s="32" t="s">
        <v>79</v>
      </c>
      <c r="I55" s="32" t="s">
        <v>271</v>
      </c>
      <c r="J55" s="78" t="s">
        <v>272</v>
      </c>
      <c r="K55" s="79" t="s">
        <v>273</v>
      </c>
      <c r="L55" s="32" t="s">
        <v>107</v>
      </c>
      <c r="M55" s="32" t="s">
        <v>108</v>
      </c>
      <c r="N55" s="80" t="s">
        <v>85</v>
      </c>
      <c r="O55" s="32">
        <v>1100</v>
      </c>
      <c r="P55" s="34" t="s">
        <v>371</v>
      </c>
      <c r="Q55" s="32" t="s">
        <v>274</v>
      </c>
      <c r="R55" s="32" t="s">
        <v>275</v>
      </c>
    </row>
    <row r="56" spans="1:18" ht="138">
      <c r="A56" s="50" t="s">
        <v>74</v>
      </c>
      <c r="B56" s="81"/>
      <c r="C56" s="52" t="s">
        <v>276</v>
      </c>
      <c r="D56" s="32" t="s">
        <v>277</v>
      </c>
      <c r="E56" s="32" t="s">
        <v>278</v>
      </c>
      <c r="F56" s="32" t="s">
        <v>279</v>
      </c>
      <c r="G56" s="32" t="s">
        <v>103</v>
      </c>
      <c r="H56" s="32" t="s">
        <v>114</v>
      </c>
      <c r="I56" s="32" t="s">
        <v>280</v>
      </c>
      <c r="J56" s="60" t="s">
        <v>281</v>
      </c>
      <c r="K56" s="60" t="s">
        <v>282</v>
      </c>
      <c r="L56" s="32" t="s">
        <v>107</v>
      </c>
      <c r="M56" s="32" t="s">
        <v>108</v>
      </c>
      <c r="N56" s="80" t="s">
        <v>85</v>
      </c>
      <c r="O56" s="32">
        <v>700</v>
      </c>
      <c r="P56" s="34" t="s">
        <v>372</v>
      </c>
      <c r="Q56" s="32" t="s">
        <v>283</v>
      </c>
      <c r="R56" s="32" t="s">
        <v>284</v>
      </c>
    </row>
    <row r="57" spans="1:18" ht="96.6">
      <c r="A57" s="73" t="s">
        <v>88</v>
      </c>
      <c r="B57" s="81"/>
      <c r="C57" s="52" t="s">
        <v>285</v>
      </c>
      <c r="D57" s="32" t="s">
        <v>286</v>
      </c>
      <c r="E57" s="32" t="s">
        <v>287</v>
      </c>
      <c r="F57" s="32" t="s">
        <v>288</v>
      </c>
      <c r="G57" s="32" t="s">
        <v>103</v>
      </c>
      <c r="H57" s="32" t="s">
        <v>114</v>
      </c>
      <c r="I57" s="32" t="s">
        <v>289</v>
      </c>
      <c r="J57" s="60" t="s">
        <v>290</v>
      </c>
      <c r="K57" s="60" t="s">
        <v>291</v>
      </c>
      <c r="L57" s="32" t="s">
        <v>107</v>
      </c>
      <c r="M57" s="32" t="s">
        <v>108</v>
      </c>
      <c r="N57" s="80" t="s">
        <v>85</v>
      </c>
      <c r="O57" s="32">
        <v>400</v>
      </c>
      <c r="P57" s="109" t="s">
        <v>373</v>
      </c>
      <c r="Q57" s="32" t="s">
        <v>292</v>
      </c>
      <c r="R57" s="32" t="s">
        <v>293</v>
      </c>
    </row>
    <row r="58" spans="1:18" ht="124.2">
      <c r="B58" s="74" t="s">
        <v>294</v>
      </c>
      <c r="C58" s="46" t="s">
        <v>295</v>
      </c>
      <c r="D58" s="32" t="s">
        <v>296</v>
      </c>
      <c r="E58" s="32" t="s">
        <v>297</v>
      </c>
      <c r="F58" s="32" t="s">
        <v>298</v>
      </c>
      <c r="G58" s="32" t="s">
        <v>103</v>
      </c>
      <c r="H58" s="32" t="s">
        <v>79</v>
      </c>
      <c r="I58" s="32" t="s">
        <v>299</v>
      </c>
      <c r="J58" s="60" t="s">
        <v>300</v>
      </c>
      <c r="K58" s="60" t="s">
        <v>301</v>
      </c>
      <c r="L58" s="32" t="s">
        <v>107</v>
      </c>
      <c r="M58" s="32" t="s">
        <v>108</v>
      </c>
      <c r="N58" s="83">
        <v>12</v>
      </c>
      <c r="O58" s="32">
        <v>12</v>
      </c>
      <c r="P58" s="109" t="s">
        <v>364</v>
      </c>
      <c r="Q58" s="32" t="s">
        <v>302</v>
      </c>
      <c r="R58" s="32" t="s">
        <v>303</v>
      </c>
    </row>
    <row r="59" spans="1:18" ht="110.4">
      <c r="A59" s="51" t="s">
        <v>74</v>
      </c>
      <c r="B59" s="51"/>
      <c r="C59" s="52" t="s">
        <v>304</v>
      </c>
      <c r="D59" s="32" t="s">
        <v>305</v>
      </c>
      <c r="E59" s="32" t="s">
        <v>306</v>
      </c>
      <c r="F59" s="33" t="s">
        <v>307</v>
      </c>
      <c r="G59" s="32" t="s">
        <v>103</v>
      </c>
      <c r="H59" s="32" t="s">
        <v>114</v>
      </c>
      <c r="I59" s="32" t="s">
        <v>374</v>
      </c>
      <c r="J59" s="60" t="s">
        <v>309</v>
      </c>
      <c r="K59" s="60">
        <v>4</v>
      </c>
      <c r="L59" s="32" t="s">
        <v>183</v>
      </c>
      <c r="M59" s="32" t="s">
        <v>184</v>
      </c>
      <c r="N59" s="80" t="s">
        <v>85</v>
      </c>
      <c r="O59" s="32">
        <v>990</v>
      </c>
      <c r="P59" s="34">
        <v>60.8</v>
      </c>
      <c r="Q59" s="32" t="s">
        <v>310</v>
      </c>
      <c r="R59" s="32" t="s">
        <v>311</v>
      </c>
    </row>
    <row r="60" spans="1:18" ht="152.4">
      <c r="A60" s="51" t="s">
        <v>88</v>
      </c>
      <c r="B60" s="51"/>
      <c r="C60" s="52" t="s">
        <v>312</v>
      </c>
      <c r="D60" s="84" t="s">
        <v>313</v>
      </c>
      <c r="E60" s="85" t="s">
        <v>314</v>
      </c>
      <c r="F60" s="86" t="s">
        <v>315</v>
      </c>
      <c r="G60" s="85" t="s">
        <v>103</v>
      </c>
      <c r="H60" s="85" t="s">
        <v>114</v>
      </c>
      <c r="I60" s="86" t="s">
        <v>316</v>
      </c>
      <c r="J60" s="87" t="s">
        <v>317</v>
      </c>
      <c r="K60" s="88" t="s">
        <v>318</v>
      </c>
      <c r="L60" s="86" t="s">
        <v>107</v>
      </c>
      <c r="M60" s="86" t="s">
        <v>108</v>
      </c>
      <c r="N60" s="89" t="s">
        <v>85</v>
      </c>
      <c r="O60" s="86">
        <v>1800</v>
      </c>
      <c r="P60" s="110" t="s">
        <v>375</v>
      </c>
      <c r="Q60" s="85" t="s">
        <v>319</v>
      </c>
      <c r="R60" s="85" t="s">
        <v>311</v>
      </c>
    </row>
    <row r="61" spans="1:18" ht="15.6">
      <c r="A61" s="91"/>
      <c r="B61" s="92"/>
    </row>
    <row r="62" spans="1:18" ht="15.6">
      <c r="D62" s="93"/>
      <c r="E62" s="93"/>
      <c r="F62" s="93"/>
      <c r="G62" s="93"/>
      <c r="H62" s="93"/>
    </row>
    <row r="63" spans="1:18" ht="15.6">
      <c r="D63" s="93"/>
      <c r="E63" s="93"/>
      <c r="F63" s="93"/>
      <c r="G63" s="93"/>
      <c r="H63" s="93"/>
    </row>
    <row r="64" spans="1:18" ht="15.6">
      <c r="D64" s="93"/>
      <c r="E64" s="93"/>
      <c r="F64" s="93"/>
      <c r="G64" s="93"/>
      <c r="H64" s="93"/>
    </row>
    <row r="65" spans="4:8" ht="15.6">
      <c r="D65" s="93"/>
      <c r="E65" s="93"/>
      <c r="F65" s="93"/>
      <c r="G65" s="93"/>
      <c r="H65" s="93"/>
    </row>
    <row r="66" spans="4:8" ht="15.6">
      <c r="D66" s="93"/>
      <c r="E66" s="93"/>
      <c r="F66" s="93"/>
      <c r="G66" s="93"/>
      <c r="H66" s="93"/>
    </row>
    <row r="67" spans="4:8" ht="15.6">
      <c r="D67" s="93"/>
      <c r="E67" s="93"/>
      <c r="F67" s="93"/>
      <c r="G67" s="93"/>
      <c r="H67" s="93"/>
    </row>
    <row r="68" spans="4:8" ht="15.6">
      <c r="D68" s="93"/>
      <c r="E68" s="93"/>
      <c r="F68" s="93"/>
      <c r="G68" s="93"/>
      <c r="H68" s="93"/>
    </row>
    <row r="69" spans="4:8" ht="15.6">
      <c r="D69" s="93"/>
      <c r="E69" s="93"/>
      <c r="F69" s="93"/>
      <c r="G69" s="93"/>
      <c r="H69" s="93"/>
    </row>
    <row r="70" spans="4:8" ht="15.6">
      <c r="D70" s="93"/>
      <c r="E70" s="93"/>
      <c r="F70" s="93"/>
      <c r="G70" s="93"/>
      <c r="H70" s="93"/>
    </row>
    <row r="71" spans="4:8" ht="15.6">
      <c r="D71" s="93"/>
      <c r="E71" s="93"/>
      <c r="F71" s="93"/>
      <c r="G71" s="93"/>
      <c r="H71" s="93"/>
    </row>
    <row r="72" spans="4:8" ht="15.6">
      <c r="D72" s="93"/>
      <c r="E72" s="93"/>
      <c r="F72" s="93"/>
      <c r="G72" s="93"/>
      <c r="H72" s="93"/>
    </row>
    <row r="73" spans="4:8" ht="15.6">
      <c r="D73" s="93"/>
      <c r="E73" s="93"/>
      <c r="F73" s="93"/>
      <c r="G73" s="93"/>
      <c r="H73" s="93"/>
    </row>
    <row r="74" spans="4:8" ht="15.6">
      <c r="D74" s="93"/>
      <c r="E74" s="93"/>
      <c r="F74" s="93"/>
      <c r="G74" s="93"/>
      <c r="H74" s="93"/>
    </row>
    <row r="75" spans="4:8" ht="15.6">
      <c r="D75" s="93"/>
      <c r="E75" s="93"/>
      <c r="F75" s="93"/>
      <c r="G75" s="93"/>
      <c r="H75" s="93"/>
    </row>
    <row r="76" spans="4:8" ht="15.6">
      <c r="D76" s="93"/>
      <c r="E76" s="93"/>
      <c r="F76" s="93"/>
      <c r="G76" s="93"/>
      <c r="H76" s="93"/>
    </row>
    <row r="77" spans="4:8" ht="15.6">
      <c r="D77" s="93"/>
      <c r="E77" s="93"/>
      <c r="F77" s="93"/>
      <c r="G77" s="93"/>
      <c r="H77" s="93"/>
    </row>
    <row r="78" spans="4:8" ht="15.6">
      <c r="D78" s="93"/>
      <c r="E78" s="93"/>
      <c r="F78" s="93"/>
      <c r="G78" s="93"/>
      <c r="H78" s="93"/>
    </row>
    <row r="79" spans="4:8" ht="15.6">
      <c r="D79" s="93"/>
      <c r="E79" s="93"/>
      <c r="F79" s="93"/>
      <c r="G79" s="93"/>
      <c r="H79" s="93"/>
    </row>
    <row r="80" spans="4:8" ht="15.6">
      <c r="D80" s="93"/>
      <c r="E80" s="93"/>
      <c r="F80" s="93"/>
      <c r="G80" s="93"/>
      <c r="H80" s="93"/>
    </row>
    <row r="81" spans="4:8" ht="15.6">
      <c r="D81" s="93"/>
      <c r="E81" s="93"/>
      <c r="F81" s="93"/>
      <c r="G81" s="93"/>
      <c r="H81" s="93"/>
    </row>
    <row r="82" spans="4:8" ht="15.6">
      <c r="D82" s="93"/>
      <c r="E82" s="93"/>
      <c r="F82" s="93"/>
      <c r="G82" s="93"/>
      <c r="H82" s="93"/>
    </row>
    <row r="83" spans="4:8" ht="15.6">
      <c r="D83" s="93"/>
      <c r="E83" s="93"/>
      <c r="F83" s="93"/>
      <c r="G83" s="93"/>
      <c r="H83" s="93"/>
    </row>
    <row r="84" spans="4:8" ht="15.6">
      <c r="D84" s="93"/>
      <c r="E84" s="93"/>
      <c r="F84" s="93"/>
      <c r="G84" s="93"/>
      <c r="H84" s="93"/>
    </row>
    <row r="85" spans="4:8" ht="15.6">
      <c r="D85" s="93"/>
      <c r="E85" s="93"/>
      <c r="F85" s="93"/>
      <c r="G85" s="93"/>
      <c r="H85" s="93"/>
    </row>
    <row r="86" spans="4:8" ht="15.6">
      <c r="D86" s="93"/>
      <c r="E86" s="93"/>
      <c r="F86" s="93"/>
      <c r="G86" s="93"/>
      <c r="H86" s="93"/>
    </row>
    <row r="87" spans="4:8" ht="15.6">
      <c r="D87" s="93"/>
      <c r="E87" s="93"/>
      <c r="F87" s="93"/>
      <c r="G87" s="93"/>
      <c r="H87" s="93"/>
    </row>
    <row r="88" spans="4:8" ht="15.6">
      <c r="D88" s="93"/>
      <c r="E88" s="93"/>
      <c r="F88" s="93"/>
      <c r="G88" s="93"/>
      <c r="H88" s="93"/>
    </row>
    <row r="89" spans="4:8" ht="15.6">
      <c r="D89" s="93"/>
      <c r="E89" s="93"/>
      <c r="F89" s="93"/>
      <c r="G89" s="93"/>
      <c r="H89" s="93"/>
    </row>
    <row r="90" spans="4:8" ht="15.6">
      <c r="D90" s="93"/>
      <c r="E90" s="93"/>
      <c r="F90" s="93"/>
      <c r="G90" s="93"/>
      <c r="H90" s="93"/>
    </row>
    <row r="91" spans="4:8" ht="15.6">
      <c r="D91" s="93"/>
      <c r="E91" s="93"/>
      <c r="F91" s="93"/>
      <c r="G91" s="93"/>
      <c r="H91" s="93"/>
    </row>
    <row r="92" spans="4:8" ht="15.6">
      <c r="D92" s="93"/>
      <c r="E92" s="93"/>
      <c r="F92" s="93"/>
      <c r="G92" s="93"/>
      <c r="H92" s="93"/>
    </row>
    <row r="93" spans="4:8" ht="15.6">
      <c r="D93" s="93"/>
      <c r="E93" s="93"/>
      <c r="F93" s="93"/>
      <c r="G93" s="93"/>
      <c r="H93" s="93"/>
    </row>
    <row r="94" spans="4:8" ht="15.6">
      <c r="D94" s="93"/>
      <c r="E94" s="93"/>
      <c r="F94" s="93"/>
      <c r="G94" s="93"/>
      <c r="H94" s="93"/>
    </row>
    <row r="95" spans="4:8" ht="15.6">
      <c r="D95" s="93"/>
      <c r="E95" s="93"/>
      <c r="F95" s="93"/>
      <c r="G95" s="93"/>
      <c r="H95" s="93"/>
    </row>
    <row r="96" spans="4:8" ht="15.6">
      <c r="D96" s="93"/>
      <c r="E96" s="93"/>
      <c r="F96" s="93"/>
      <c r="G96" s="93"/>
      <c r="H96" s="93"/>
    </row>
    <row r="97" spans="4:8" ht="15.6">
      <c r="D97" s="93"/>
      <c r="E97" s="93"/>
      <c r="F97" s="93"/>
      <c r="G97" s="93"/>
      <c r="H97" s="93"/>
    </row>
    <row r="98" spans="4:8" ht="15.6">
      <c r="D98" s="93"/>
      <c r="E98" s="93"/>
      <c r="F98" s="93"/>
      <c r="G98" s="93"/>
      <c r="H98" s="93"/>
    </row>
    <row r="99" spans="4:8" ht="15.6">
      <c r="D99" s="93"/>
      <c r="E99" s="93"/>
      <c r="F99" s="93"/>
      <c r="G99" s="93"/>
      <c r="H99" s="93"/>
    </row>
    <row r="100" spans="4:8" ht="15.6">
      <c r="D100" s="93"/>
      <c r="E100" s="93"/>
      <c r="F100" s="93"/>
      <c r="G100" s="93"/>
      <c r="H100" s="93"/>
    </row>
    <row r="101" spans="4:8" ht="15.6">
      <c r="D101" s="93"/>
      <c r="E101" s="93"/>
      <c r="F101" s="93"/>
      <c r="G101" s="93"/>
      <c r="H101" s="93"/>
    </row>
    <row r="102" spans="4:8" ht="15.6">
      <c r="D102" s="93"/>
      <c r="E102" s="93"/>
      <c r="F102" s="93"/>
      <c r="G102" s="93"/>
      <c r="H102" s="93"/>
    </row>
    <row r="103" spans="4:8" ht="15.6">
      <c r="D103" s="93"/>
      <c r="E103" s="93"/>
      <c r="F103" s="93"/>
      <c r="G103" s="93"/>
      <c r="H103" s="93"/>
    </row>
    <row r="104" spans="4:8" ht="15.6">
      <c r="D104" s="93"/>
      <c r="E104" s="93"/>
      <c r="F104" s="93"/>
      <c r="G104" s="93"/>
      <c r="H104" s="93"/>
    </row>
    <row r="105" spans="4:8" ht="15.6">
      <c r="D105" s="93"/>
      <c r="E105" s="93"/>
      <c r="F105" s="93"/>
      <c r="G105" s="93"/>
      <c r="H105" s="93"/>
    </row>
    <row r="106" spans="4:8" ht="15.6">
      <c r="D106" s="93"/>
      <c r="E106" s="93"/>
      <c r="F106" s="93"/>
      <c r="G106" s="93"/>
      <c r="H106" s="93"/>
    </row>
    <row r="107" spans="4:8" ht="15.6">
      <c r="D107" s="93"/>
      <c r="E107" s="93"/>
      <c r="F107" s="93"/>
      <c r="G107" s="93"/>
      <c r="H107" s="93"/>
    </row>
    <row r="108" spans="4:8" ht="15.6">
      <c r="D108" s="93"/>
      <c r="E108" s="93"/>
      <c r="F108" s="93"/>
      <c r="G108" s="93"/>
      <c r="H108" s="93"/>
    </row>
    <row r="109" spans="4:8" ht="15.6">
      <c r="D109" s="93"/>
      <c r="E109" s="93"/>
      <c r="F109" s="93"/>
      <c r="G109" s="93"/>
      <c r="H109" s="93"/>
    </row>
    <row r="110" spans="4:8" ht="15.6">
      <c r="D110" s="93"/>
      <c r="E110" s="93"/>
      <c r="F110" s="93"/>
      <c r="G110" s="93"/>
      <c r="H110" s="93"/>
    </row>
    <row r="111" spans="4:8" ht="15.6">
      <c r="D111" s="93"/>
      <c r="E111" s="93"/>
      <c r="F111" s="93"/>
      <c r="G111" s="93"/>
      <c r="H111" s="93"/>
    </row>
    <row r="112" spans="4:8" ht="15.6">
      <c r="D112" s="93"/>
      <c r="E112" s="93"/>
      <c r="F112" s="93"/>
      <c r="G112" s="93"/>
      <c r="H112" s="93"/>
    </row>
    <row r="113" spans="3:18" ht="15.6">
      <c r="D113" s="93"/>
      <c r="E113" s="93"/>
      <c r="F113" s="93"/>
      <c r="G113" s="93"/>
      <c r="H113" s="93"/>
    </row>
    <row r="114" spans="3:18" ht="15.6">
      <c r="D114" s="93"/>
      <c r="E114" s="93"/>
      <c r="F114" s="93"/>
      <c r="G114" s="93"/>
      <c r="H114" s="93"/>
    </row>
    <row r="115" spans="3:18" ht="15.6">
      <c r="D115" s="93"/>
      <c r="E115" s="93"/>
      <c r="F115" s="93"/>
      <c r="G115" s="93"/>
      <c r="H115" s="93"/>
    </row>
    <row r="116" spans="3:18" ht="15.6">
      <c r="D116" s="93"/>
      <c r="E116" s="93"/>
      <c r="F116" s="93"/>
      <c r="G116" s="93"/>
      <c r="H116" s="93"/>
    </row>
    <row r="117" spans="3:18" ht="15.6">
      <c r="D117" s="93"/>
      <c r="E117" s="93"/>
      <c r="F117" s="93"/>
      <c r="G117" s="93"/>
      <c r="H117" s="93"/>
    </row>
    <row r="118" spans="3:18" ht="15.6">
      <c r="D118" s="93"/>
      <c r="E118" s="93"/>
      <c r="F118" s="93"/>
      <c r="G118" s="93"/>
      <c r="H118" s="93"/>
    </row>
    <row r="119" spans="3:18" ht="15.6">
      <c r="D119" s="93"/>
      <c r="E119" s="93"/>
      <c r="F119" s="93"/>
      <c r="G119" s="93"/>
      <c r="H119" s="93"/>
    </row>
    <row r="120" spans="3:18" ht="15.6">
      <c r="D120" s="93"/>
      <c r="E120" s="93"/>
      <c r="F120" s="93"/>
      <c r="G120" s="93"/>
      <c r="H120" s="93"/>
    </row>
    <row r="121" spans="3:18" ht="15.6">
      <c r="D121" s="93"/>
      <c r="E121" s="93"/>
      <c r="F121" s="93"/>
      <c r="G121" s="93"/>
      <c r="H121" s="93"/>
    </row>
    <row r="122" spans="3:18" ht="15.6">
      <c r="D122" s="93"/>
      <c r="E122" s="93"/>
      <c r="F122" s="93"/>
      <c r="G122" s="93"/>
      <c r="H122" s="93"/>
    </row>
    <row r="123" spans="3:18" ht="15.6">
      <c r="D123" s="93"/>
      <c r="E123" s="93"/>
      <c r="F123" s="93"/>
      <c r="G123" s="93"/>
      <c r="H123" s="93"/>
    </row>
    <row r="124" spans="3:18" ht="15.6">
      <c r="D124" s="93"/>
      <c r="E124" s="93"/>
      <c r="F124" s="93"/>
      <c r="G124" s="93"/>
      <c r="H124" s="93"/>
    </row>
    <row r="125" spans="3:18" ht="15.6">
      <c r="D125" s="93"/>
      <c r="E125" s="93"/>
      <c r="F125" s="93"/>
      <c r="G125" s="93"/>
      <c r="H125" s="93"/>
    </row>
    <row r="126" spans="3:18" ht="15.6">
      <c r="D126" s="93"/>
      <c r="E126" s="93"/>
      <c r="F126" s="93"/>
      <c r="G126" s="93"/>
      <c r="H126" s="93"/>
    </row>
    <row r="127" spans="3:18" ht="15.6">
      <c r="C127" s="94" t="s">
        <v>320</v>
      </c>
      <c r="D127" s="208"/>
      <c r="E127" s="209"/>
      <c r="F127" s="209"/>
      <c r="G127" s="210"/>
      <c r="H127" s="13" t="s">
        <v>7</v>
      </c>
      <c r="I127" s="213" t="s">
        <v>321</v>
      </c>
      <c r="J127" s="203"/>
      <c r="K127" s="203"/>
      <c r="L127" s="203"/>
      <c r="M127" s="203"/>
      <c r="N127" s="203"/>
      <c r="O127" s="203"/>
      <c r="P127" s="203"/>
      <c r="Q127" s="203"/>
      <c r="R127" s="204"/>
    </row>
    <row r="128" spans="3:18" ht="15.6">
      <c r="C128" s="11" t="s">
        <v>322</v>
      </c>
      <c r="D128" s="206"/>
      <c r="E128" s="203"/>
      <c r="F128" s="203"/>
      <c r="G128" s="204"/>
      <c r="H128" s="13" t="s">
        <v>7</v>
      </c>
      <c r="I128" s="95" t="s">
        <v>323</v>
      </c>
      <c r="J128" s="96" t="s">
        <v>324</v>
      </c>
      <c r="K128" s="96" t="s">
        <v>325</v>
      </c>
      <c r="L128" s="96" t="s">
        <v>326</v>
      </c>
      <c r="M128" s="96" t="s">
        <v>327</v>
      </c>
      <c r="N128" s="96" t="s">
        <v>328</v>
      </c>
      <c r="O128" s="96" t="s">
        <v>329</v>
      </c>
      <c r="P128" s="96" t="s">
        <v>330</v>
      </c>
      <c r="Q128" s="96" t="s">
        <v>331</v>
      </c>
      <c r="R128" s="96" t="s">
        <v>332</v>
      </c>
    </row>
    <row r="129" spans="3:18" ht="15.6">
      <c r="C129" s="11" t="s">
        <v>335</v>
      </c>
      <c r="D129" s="206"/>
      <c r="E129" s="203"/>
      <c r="F129" s="203"/>
      <c r="G129" s="204"/>
      <c r="H129" s="13" t="s">
        <v>7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38"/>
    </row>
    <row r="130" spans="3:18" ht="15.6">
      <c r="C130" s="52" t="s">
        <v>336</v>
      </c>
      <c r="D130" s="211"/>
      <c r="E130" s="203"/>
      <c r="F130" s="203"/>
      <c r="G130" s="204"/>
      <c r="H130" s="93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3:18" ht="15.6">
      <c r="C131" s="11" t="s">
        <v>337</v>
      </c>
      <c r="D131" s="212"/>
      <c r="E131" s="203"/>
      <c r="F131" s="203"/>
      <c r="G131" s="204"/>
      <c r="H131" s="13" t="s">
        <v>7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3:18" ht="15.6">
      <c r="C132" s="11" t="s">
        <v>338</v>
      </c>
      <c r="D132" s="206"/>
      <c r="E132" s="203"/>
      <c r="F132" s="203"/>
      <c r="G132" s="204"/>
      <c r="H132" s="93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3:18" ht="31.2">
      <c r="C133" s="11" t="s">
        <v>339</v>
      </c>
      <c r="D133" s="207"/>
      <c r="E133" s="203"/>
      <c r="F133" s="203"/>
      <c r="G133" s="204"/>
      <c r="H133" s="93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3:18" ht="15.6">
      <c r="D134" s="93"/>
      <c r="E134" s="93"/>
      <c r="F134" s="93"/>
      <c r="G134" s="93"/>
      <c r="H134" s="93"/>
    </row>
    <row r="135" spans="3:18" ht="15.6">
      <c r="D135" s="93"/>
      <c r="E135" s="93"/>
      <c r="F135" s="93"/>
      <c r="G135" s="93"/>
      <c r="H135" s="93"/>
    </row>
    <row r="136" spans="3:18" ht="15.6">
      <c r="D136" s="93"/>
      <c r="E136" s="93"/>
      <c r="F136" s="93"/>
      <c r="G136" s="93"/>
      <c r="H136" s="93"/>
    </row>
    <row r="137" spans="3:18" ht="15.6">
      <c r="D137" s="93"/>
      <c r="E137" s="93"/>
      <c r="F137" s="93"/>
      <c r="G137" s="93"/>
      <c r="H137" s="93"/>
    </row>
    <row r="138" spans="3:18" ht="15.6">
      <c r="D138" s="93"/>
      <c r="E138" s="93"/>
      <c r="F138" s="93"/>
      <c r="G138" s="93"/>
      <c r="H138" s="93"/>
    </row>
    <row r="139" spans="3:18" ht="15.6">
      <c r="D139" s="93"/>
      <c r="E139" s="93"/>
      <c r="F139" s="93"/>
      <c r="G139" s="93"/>
      <c r="H139" s="93"/>
    </row>
    <row r="140" spans="3:18" ht="15.6">
      <c r="D140" s="93"/>
      <c r="E140" s="93"/>
      <c r="F140" s="93"/>
      <c r="G140" s="93"/>
      <c r="H140" s="93"/>
    </row>
    <row r="141" spans="3:18" ht="15.6">
      <c r="D141" s="93"/>
      <c r="E141" s="93"/>
      <c r="F141" s="93"/>
      <c r="G141" s="93"/>
      <c r="H141" s="93"/>
    </row>
    <row r="142" spans="3:18" ht="15.6">
      <c r="D142" s="93"/>
      <c r="E142" s="93"/>
      <c r="F142" s="93"/>
      <c r="G142" s="93"/>
      <c r="H142" s="93"/>
    </row>
    <row r="143" spans="3:18" ht="15.6">
      <c r="D143" s="93"/>
      <c r="E143" s="93"/>
      <c r="F143" s="93"/>
      <c r="G143" s="93"/>
      <c r="H143" s="93"/>
    </row>
    <row r="144" spans="3:18" ht="15.6">
      <c r="D144" s="93"/>
      <c r="E144" s="93"/>
      <c r="F144" s="93"/>
      <c r="G144" s="93"/>
      <c r="H144" s="93"/>
    </row>
    <row r="145" spans="4:8" ht="15.6">
      <c r="D145" s="93"/>
      <c r="E145" s="93"/>
      <c r="F145" s="93"/>
      <c r="G145" s="93"/>
      <c r="H145" s="93"/>
    </row>
    <row r="146" spans="4:8" ht="15.6">
      <c r="D146" s="93"/>
      <c r="E146" s="93"/>
      <c r="F146" s="93"/>
      <c r="G146" s="93"/>
      <c r="H146" s="93"/>
    </row>
    <row r="147" spans="4:8" ht="15.6">
      <c r="D147" s="93"/>
      <c r="E147" s="93"/>
      <c r="F147" s="93"/>
      <c r="G147" s="93"/>
      <c r="H147" s="93"/>
    </row>
    <row r="148" spans="4:8" ht="15.6">
      <c r="D148" s="93"/>
      <c r="E148" s="93"/>
      <c r="F148" s="93"/>
      <c r="G148" s="93"/>
      <c r="H148" s="93"/>
    </row>
    <row r="149" spans="4:8" ht="15.6">
      <c r="D149" s="93"/>
      <c r="E149" s="93"/>
      <c r="F149" s="93"/>
      <c r="G149" s="93"/>
      <c r="H149" s="93"/>
    </row>
    <row r="150" spans="4:8" ht="15.6">
      <c r="D150" s="93"/>
      <c r="E150" s="93"/>
      <c r="F150" s="93"/>
      <c r="G150" s="93"/>
      <c r="H150" s="93"/>
    </row>
    <row r="151" spans="4:8" ht="15.6">
      <c r="D151" s="93"/>
      <c r="E151" s="93"/>
      <c r="F151" s="93"/>
      <c r="G151" s="93"/>
      <c r="H151" s="93"/>
    </row>
    <row r="152" spans="4:8" ht="15.6">
      <c r="D152" s="93"/>
      <c r="E152" s="93"/>
      <c r="F152" s="93"/>
      <c r="G152" s="93"/>
      <c r="H152" s="93"/>
    </row>
    <row r="153" spans="4:8" ht="15.6">
      <c r="D153" s="93"/>
      <c r="E153" s="93"/>
      <c r="F153" s="93"/>
      <c r="G153" s="93"/>
      <c r="H153" s="93"/>
    </row>
    <row r="154" spans="4:8" ht="15.6">
      <c r="D154" s="93"/>
      <c r="E154" s="93"/>
      <c r="F154" s="93"/>
      <c r="G154" s="93"/>
      <c r="H154" s="93"/>
    </row>
    <row r="155" spans="4:8" ht="15.6">
      <c r="D155" s="93"/>
      <c r="E155" s="93"/>
      <c r="F155" s="93"/>
      <c r="G155" s="93"/>
      <c r="H155" s="93"/>
    </row>
    <row r="156" spans="4:8" ht="15.6">
      <c r="D156" s="93"/>
      <c r="E156" s="93"/>
      <c r="F156" s="93"/>
      <c r="G156" s="93"/>
      <c r="H156" s="93"/>
    </row>
    <row r="157" spans="4:8" ht="15.6">
      <c r="D157" s="93"/>
      <c r="E157" s="93"/>
      <c r="F157" s="93"/>
      <c r="G157" s="93"/>
      <c r="H157" s="93"/>
    </row>
    <row r="158" spans="4:8" ht="15.6">
      <c r="D158" s="93"/>
      <c r="E158" s="93"/>
      <c r="F158" s="93"/>
      <c r="G158" s="93"/>
      <c r="H158" s="93"/>
    </row>
    <row r="159" spans="4:8" ht="15.6">
      <c r="D159" s="93"/>
      <c r="E159" s="93"/>
      <c r="F159" s="93"/>
      <c r="G159" s="93"/>
      <c r="H159" s="93"/>
    </row>
    <row r="160" spans="4:8" ht="15.6">
      <c r="D160" s="93"/>
      <c r="E160" s="93"/>
      <c r="F160" s="93"/>
      <c r="G160" s="93"/>
      <c r="H160" s="93"/>
    </row>
    <row r="161" spans="4:8" ht="15.6">
      <c r="D161" s="93"/>
      <c r="E161" s="93"/>
      <c r="F161" s="93"/>
      <c r="G161" s="93"/>
      <c r="H161" s="93"/>
    </row>
    <row r="162" spans="4:8" ht="15.6">
      <c r="D162" s="93"/>
      <c r="E162" s="93"/>
      <c r="F162" s="93"/>
      <c r="G162" s="93"/>
      <c r="H162" s="93"/>
    </row>
    <row r="163" spans="4:8" ht="15.6">
      <c r="D163" s="93"/>
      <c r="E163" s="93"/>
      <c r="F163" s="93"/>
      <c r="G163" s="93"/>
      <c r="H163" s="93"/>
    </row>
    <row r="164" spans="4:8" ht="15.6">
      <c r="D164" s="93"/>
      <c r="E164" s="93"/>
      <c r="F164" s="93"/>
      <c r="G164" s="93"/>
      <c r="H164" s="93"/>
    </row>
    <row r="165" spans="4:8" ht="15.6">
      <c r="D165" s="93"/>
      <c r="E165" s="93"/>
      <c r="F165" s="93"/>
      <c r="G165" s="93"/>
      <c r="H165" s="93"/>
    </row>
    <row r="166" spans="4:8" ht="15.6">
      <c r="D166" s="93"/>
      <c r="E166" s="93"/>
      <c r="F166" s="93"/>
      <c r="G166" s="93"/>
      <c r="H166" s="93"/>
    </row>
    <row r="167" spans="4:8" ht="15.6">
      <c r="D167" s="93"/>
      <c r="E167" s="93"/>
      <c r="F167" s="93"/>
      <c r="G167" s="93"/>
      <c r="H167" s="93"/>
    </row>
    <row r="168" spans="4:8" ht="15.6">
      <c r="D168" s="93"/>
      <c r="E168" s="93"/>
      <c r="F168" s="93"/>
      <c r="G168" s="93"/>
      <c r="H168" s="93"/>
    </row>
    <row r="169" spans="4:8" ht="15.6">
      <c r="D169" s="93"/>
      <c r="E169" s="93"/>
      <c r="F169" s="93"/>
      <c r="G169" s="93"/>
      <c r="H169" s="93"/>
    </row>
    <row r="170" spans="4:8" ht="15.6">
      <c r="D170" s="93"/>
      <c r="E170" s="93"/>
      <c r="F170" s="93"/>
      <c r="G170" s="93"/>
      <c r="H170" s="93"/>
    </row>
    <row r="171" spans="4:8" ht="15.6">
      <c r="D171" s="93"/>
      <c r="E171" s="93"/>
      <c r="F171" s="93"/>
      <c r="G171" s="93"/>
      <c r="H171" s="93"/>
    </row>
    <row r="172" spans="4:8" ht="15.6">
      <c r="D172" s="93"/>
      <c r="E172" s="93"/>
      <c r="F172" s="93"/>
      <c r="G172" s="93"/>
      <c r="H172" s="93"/>
    </row>
    <row r="173" spans="4:8" ht="15.6">
      <c r="D173" s="93"/>
      <c r="E173" s="93"/>
      <c r="F173" s="93"/>
      <c r="G173" s="93"/>
      <c r="H173" s="93"/>
    </row>
    <row r="174" spans="4:8" ht="15.6">
      <c r="D174" s="93"/>
      <c r="E174" s="93"/>
      <c r="F174" s="93"/>
      <c r="G174" s="93"/>
      <c r="H174" s="93"/>
    </row>
    <row r="175" spans="4:8" ht="15.6">
      <c r="D175" s="93"/>
      <c r="E175" s="93"/>
      <c r="F175" s="93"/>
      <c r="G175" s="93"/>
      <c r="H175" s="93"/>
    </row>
    <row r="176" spans="4:8" ht="15.6">
      <c r="D176" s="93"/>
      <c r="E176" s="93"/>
      <c r="F176" s="93"/>
      <c r="G176" s="93"/>
      <c r="H176" s="93"/>
    </row>
    <row r="177" spans="4:8" ht="15.6">
      <c r="D177" s="93"/>
      <c r="E177" s="93"/>
      <c r="F177" s="93"/>
      <c r="G177" s="93"/>
      <c r="H177" s="93"/>
    </row>
    <row r="178" spans="4:8" ht="15.6">
      <c r="D178" s="93"/>
      <c r="E178" s="93"/>
      <c r="F178" s="93"/>
      <c r="G178" s="93"/>
      <c r="H178" s="93"/>
    </row>
    <row r="179" spans="4:8" ht="15.6">
      <c r="D179" s="93"/>
      <c r="E179" s="93"/>
      <c r="F179" s="93"/>
      <c r="G179" s="93"/>
      <c r="H179" s="93"/>
    </row>
    <row r="180" spans="4:8" ht="15.6">
      <c r="D180" s="93"/>
      <c r="E180" s="93"/>
      <c r="F180" s="93"/>
      <c r="G180" s="93"/>
      <c r="H180" s="93"/>
    </row>
    <row r="181" spans="4:8" ht="15.6">
      <c r="D181" s="93"/>
      <c r="E181" s="93"/>
      <c r="F181" s="93"/>
      <c r="G181" s="93"/>
      <c r="H181" s="93"/>
    </row>
    <row r="182" spans="4:8" ht="15.6">
      <c r="D182" s="93"/>
      <c r="E182" s="93"/>
      <c r="F182" s="93"/>
      <c r="G182" s="93"/>
      <c r="H182" s="93"/>
    </row>
    <row r="183" spans="4:8" ht="15.6">
      <c r="D183" s="93"/>
      <c r="E183" s="93"/>
      <c r="F183" s="93"/>
      <c r="G183" s="93"/>
      <c r="H183" s="93"/>
    </row>
    <row r="184" spans="4:8" ht="15.6">
      <c r="D184" s="93"/>
      <c r="E184" s="93"/>
      <c r="F184" s="93"/>
      <c r="G184" s="93"/>
      <c r="H184" s="93"/>
    </row>
    <row r="185" spans="4:8" ht="15.6">
      <c r="D185" s="93"/>
      <c r="E185" s="93"/>
      <c r="F185" s="93"/>
      <c r="G185" s="93"/>
      <c r="H185" s="93"/>
    </row>
    <row r="186" spans="4:8" ht="15.6">
      <c r="D186" s="93"/>
      <c r="E186" s="93"/>
      <c r="F186" s="93"/>
      <c r="G186" s="93"/>
      <c r="H186" s="93"/>
    </row>
    <row r="187" spans="4:8" ht="15.6">
      <c r="D187" s="93"/>
      <c r="E187" s="93"/>
      <c r="F187" s="93"/>
      <c r="G187" s="93"/>
      <c r="H187" s="93"/>
    </row>
    <row r="188" spans="4:8" ht="15.6">
      <c r="D188" s="93"/>
      <c r="E188" s="93"/>
      <c r="F188" s="93"/>
      <c r="G188" s="93"/>
      <c r="H188" s="93"/>
    </row>
    <row r="189" spans="4:8" ht="15.6">
      <c r="D189" s="93"/>
      <c r="E189" s="93"/>
      <c r="F189" s="93"/>
      <c r="G189" s="93"/>
      <c r="H189" s="93"/>
    </row>
    <row r="190" spans="4:8" ht="15.6">
      <c r="D190" s="93"/>
      <c r="E190" s="93"/>
      <c r="F190" s="93"/>
      <c r="G190" s="93"/>
      <c r="H190" s="93"/>
    </row>
    <row r="191" spans="4:8" ht="15.6">
      <c r="D191" s="93"/>
      <c r="E191" s="93"/>
      <c r="F191" s="93"/>
      <c r="G191" s="93"/>
      <c r="H191" s="93"/>
    </row>
    <row r="192" spans="4:8" ht="15.6">
      <c r="D192" s="93"/>
      <c r="E192" s="93"/>
      <c r="F192" s="93"/>
      <c r="G192" s="93"/>
      <c r="H192" s="93"/>
    </row>
    <row r="193" spans="4:8" ht="15.6">
      <c r="D193" s="93"/>
      <c r="E193" s="93"/>
      <c r="F193" s="93"/>
      <c r="G193" s="93"/>
      <c r="H193" s="93"/>
    </row>
    <row r="194" spans="4:8" ht="15.6">
      <c r="D194" s="93"/>
      <c r="E194" s="93"/>
      <c r="F194" s="93"/>
      <c r="G194" s="93"/>
      <c r="H194" s="93"/>
    </row>
    <row r="195" spans="4:8" ht="15.6">
      <c r="D195" s="93"/>
      <c r="E195" s="93"/>
      <c r="F195" s="93"/>
      <c r="G195" s="93"/>
      <c r="H195" s="93"/>
    </row>
    <row r="196" spans="4:8" ht="15.6">
      <c r="D196" s="93"/>
      <c r="E196" s="93"/>
      <c r="F196" s="93"/>
      <c r="G196" s="93"/>
      <c r="H196" s="93"/>
    </row>
    <row r="197" spans="4:8" ht="15.6">
      <c r="D197" s="93"/>
      <c r="E197" s="93"/>
      <c r="F197" s="93"/>
      <c r="G197" s="93"/>
      <c r="H197" s="93"/>
    </row>
    <row r="198" spans="4:8" ht="15.6">
      <c r="D198" s="93"/>
      <c r="E198" s="93"/>
      <c r="F198" s="93"/>
      <c r="G198" s="93"/>
      <c r="H198" s="93"/>
    </row>
    <row r="199" spans="4:8" ht="15.6">
      <c r="D199" s="93"/>
      <c r="E199" s="93"/>
      <c r="F199" s="93"/>
      <c r="G199" s="93"/>
      <c r="H199" s="93"/>
    </row>
    <row r="200" spans="4:8" ht="15.6">
      <c r="D200" s="93"/>
      <c r="E200" s="93"/>
      <c r="F200" s="93"/>
      <c r="G200" s="93"/>
      <c r="H200" s="93"/>
    </row>
    <row r="201" spans="4:8" ht="15.6">
      <c r="D201" s="93"/>
      <c r="E201" s="93"/>
      <c r="F201" s="93"/>
      <c r="G201" s="93"/>
      <c r="H201" s="93"/>
    </row>
    <row r="202" spans="4:8" ht="15.6">
      <c r="D202" s="93"/>
      <c r="E202" s="93"/>
      <c r="F202" s="93"/>
      <c r="G202" s="93"/>
      <c r="H202" s="93"/>
    </row>
    <row r="203" spans="4:8" ht="15.6">
      <c r="D203" s="93"/>
      <c r="E203" s="93"/>
      <c r="F203" s="93"/>
      <c r="G203" s="93"/>
      <c r="H203" s="93"/>
    </row>
    <row r="204" spans="4:8" ht="15.6">
      <c r="D204" s="93"/>
      <c r="E204" s="93"/>
      <c r="F204" s="93"/>
      <c r="G204" s="93"/>
      <c r="H204" s="93"/>
    </row>
    <row r="205" spans="4:8" ht="15.6">
      <c r="D205" s="93"/>
      <c r="E205" s="93"/>
      <c r="F205" s="93"/>
      <c r="G205" s="93"/>
      <c r="H205" s="93"/>
    </row>
    <row r="206" spans="4:8" ht="15.6">
      <c r="D206" s="93"/>
      <c r="E206" s="93"/>
      <c r="F206" s="93"/>
      <c r="G206" s="93"/>
      <c r="H206" s="93"/>
    </row>
    <row r="207" spans="4:8" ht="15.6">
      <c r="D207" s="93"/>
      <c r="E207" s="93"/>
      <c r="F207" s="93"/>
      <c r="G207" s="93"/>
      <c r="H207" s="93"/>
    </row>
    <row r="208" spans="4:8" ht="15.6">
      <c r="D208" s="93"/>
      <c r="E208" s="93"/>
      <c r="F208" s="93"/>
      <c r="G208" s="93"/>
      <c r="H208" s="93"/>
    </row>
    <row r="209" spans="4:8" ht="15.6">
      <c r="D209" s="93"/>
      <c r="E209" s="93"/>
      <c r="F209" s="93"/>
      <c r="G209" s="93"/>
      <c r="H209" s="93"/>
    </row>
    <row r="210" spans="4:8" ht="15.6">
      <c r="D210" s="93"/>
      <c r="E210" s="93"/>
      <c r="F210" s="93"/>
      <c r="G210" s="93"/>
      <c r="H210" s="93"/>
    </row>
    <row r="211" spans="4:8" ht="15.6">
      <c r="D211" s="93"/>
      <c r="E211" s="93"/>
      <c r="F211" s="93"/>
      <c r="G211" s="93"/>
      <c r="H211" s="93"/>
    </row>
    <row r="212" spans="4:8" ht="15.6">
      <c r="D212" s="93"/>
      <c r="E212" s="93"/>
      <c r="F212" s="93"/>
      <c r="G212" s="93"/>
      <c r="H212" s="93"/>
    </row>
    <row r="213" spans="4:8" ht="15.6">
      <c r="D213" s="93"/>
      <c r="E213" s="93"/>
      <c r="F213" s="93"/>
      <c r="G213" s="93"/>
      <c r="H213" s="93"/>
    </row>
    <row r="214" spans="4:8" ht="15.6">
      <c r="D214" s="93"/>
      <c r="E214" s="93"/>
      <c r="F214" s="93"/>
      <c r="G214" s="93"/>
      <c r="H214" s="93"/>
    </row>
    <row r="215" spans="4:8" ht="15.6">
      <c r="D215" s="93"/>
      <c r="E215" s="93"/>
      <c r="F215" s="93"/>
      <c r="G215" s="93"/>
      <c r="H215" s="93"/>
    </row>
    <row r="216" spans="4:8" ht="15.6">
      <c r="D216" s="93"/>
      <c r="E216" s="93"/>
      <c r="F216" s="93"/>
      <c r="G216" s="93"/>
      <c r="H216" s="93"/>
    </row>
    <row r="217" spans="4:8" ht="15.6">
      <c r="D217" s="93"/>
      <c r="E217" s="93"/>
      <c r="F217" s="93"/>
      <c r="G217" s="93"/>
      <c r="H217" s="93"/>
    </row>
    <row r="218" spans="4:8" ht="15.6">
      <c r="D218" s="93"/>
      <c r="E218" s="93"/>
      <c r="F218" s="93"/>
      <c r="G218" s="93"/>
      <c r="H218" s="93"/>
    </row>
    <row r="219" spans="4:8" ht="15.6">
      <c r="D219" s="93"/>
      <c r="E219" s="93"/>
      <c r="F219" s="93"/>
      <c r="G219" s="93"/>
      <c r="H219" s="93"/>
    </row>
    <row r="220" spans="4:8" ht="15.6">
      <c r="D220" s="93"/>
      <c r="E220" s="93"/>
      <c r="F220" s="93"/>
      <c r="G220" s="93"/>
      <c r="H220" s="93"/>
    </row>
    <row r="221" spans="4:8" ht="15.6">
      <c r="D221" s="93"/>
      <c r="E221" s="93"/>
      <c r="F221" s="93"/>
      <c r="G221" s="93"/>
      <c r="H221" s="93"/>
    </row>
    <row r="222" spans="4:8" ht="15.6">
      <c r="D222" s="93"/>
      <c r="E222" s="93"/>
      <c r="F222" s="93"/>
      <c r="G222" s="93"/>
      <c r="H222" s="93"/>
    </row>
    <row r="223" spans="4:8" ht="15.6">
      <c r="D223" s="93"/>
      <c r="E223" s="93"/>
      <c r="F223" s="93"/>
      <c r="G223" s="93"/>
      <c r="H223" s="93"/>
    </row>
    <row r="224" spans="4:8" ht="15.6">
      <c r="D224" s="93"/>
      <c r="E224" s="93"/>
      <c r="F224" s="93"/>
      <c r="G224" s="93"/>
      <c r="H224" s="93"/>
    </row>
    <row r="225" spans="4:8" ht="15.6">
      <c r="D225" s="93"/>
      <c r="E225" s="93"/>
      <c r="F225" s="93"/>
      <c r="G225" s="93"/>
      <c r="H225" s="93"/>
    </row>
    <row r="226" spans="4:8" ht="15.6">
      <c r="D226" s="93"/>
      <c r="E226" s="93"/>
      <c r="F226" s="93"/>
      <c r="G226" s="93"/>
      <c r="H226" s="93"/>
    </row>
    <row r="227" spans="4:8" ht="15.6">
      <c r="D227" s="93"/>
      <c r="E227" s="93"/>
      <c r="F227" s="93"/>
      <c r="G227" s="93"/>
      <c r="H227" s="93"/>
    </row>
    <row r="228" spans="4:8" ht="15.6">
      <c r="D228" s="93"/>
      <c r="E228" s="93"/>
      <c r="F228" s="93"/>
      <c r="G228" s="93"/>
      <c r="H228" s="93"/>
    </row>
    <row r="229" spans="4:8" ht="15.6">
      <c r="D229" s="93"/>
      <c r="E229" s="93"/>
      <c r="F229" s="93"/>
      <c r="G229" s="93"/>
      <c r="H229" s="93"/>
    </row>
    <row r="230" spans="4:8" ht="15.6">
      <c r="D230" s="93"/>
      <c r="E230" s="93"/>
      <c r="F230" s="93"/>
      <c r="G230" s="93"/>
      <c r="H230" s="93"/>
    </row>
    <row r="231" spans="4:8" ht="15.6">
      <c r="D231" s="93"/>
      <c r="E231" s="93"/>
      <c r="F231" s="93"/>
      <c r="G231" s="93"/>
      <c r="H231" s="93"/>
    </row>
    <row r="232" spans="4:8" ht="15.6">
      <c r="D232" s="93"/>
      <c r="E232" s="93"/>
      <c r="F232" s="93"/>
      <c r="G232" s="93"/>
      <c r="H232" s="93"/>
    </row>
    <row r="233" spans="4:8" ht="15.6">
      <c r="D233" s="93"/>
      <c r="E233" s="93"/>
      <c r="F233" s="93"/>
      <c r="G233" s="93"/>
      <c r="H233" s="93"/>
    </row>
    <row r="234" spans="4:8" ht="15.6">
      <c r="D234" s="93"/>
      <c r="E234" s="93"/>
      <c r="F234" s="93"/>
      <c r="G234" s="93"/>
      <c r="H234" s="93"/>
    </row>
    <row r="235" spans="4:8" ht="15.6">
      <c r="D235" s="93"/>
      <c r="E235" s="93"/>
      <c r="F235" s="93"/>
      <c r="G235" s="93"/>
      <c r="H235" s="93"/>
    </row>
    <row r="236" spans="4:8" ht="15.6">
      <c r="D236" s="93"/>
      <c r="E236" s="93"/>
      <c r="F236" s="93"/>
      <c r="G236" s="93"/>
      <c r="H236" s="93"/>
    </row>
    <row r="237" spans="4:8" ht="15.6">
      <c r="D237" s="93"/>
      <c r="E237" s="93"/>
      <c r="F237" s="93"/>
      <c r="G237" s="93"/>
      <c r="H237" s="93"/>
    </row>
    <row r="238" spans="4:8" ht="15.6">
      <c r="D238" s="93"/>
      <c r="E238" s="93"/>
      <c r="F238" s="93"/>
      <c r="G238" s="93"/>
      <c r="H238" s="93"/>
    </row>
    <row r="239" spans="4:8" ht="15.6">
      <c r="D239" s="93"/>
      <c r="E239" s="93"/>
      <c r="F239" s="93"/>
      <c r="G239" s="93"/>
      <c r="H239" s="93"/>
    </row>
    <row r="240" spans="4:8" ht="15.6">
      <c r="D240" s="93"/>
      <c r="E240" s="93"/>
      <c r="F240" s="93"/>
      <c r="G240" s="93"/>
      <c r="H240" s="93"/>
    </row>
    <row r="241" spans="4:8" ht="15.6">
      <c r="D241" s="93"/>
      <c r="E241" s="93"/>
      <c r="F241" s="93"/>
      <c r="G241" s="93"/>
      <c r="H241" s="93"/>
    </row>
    <row r="242" spans="4:8" ht="15.6">
      <c r="D242" s="93"/>
      <c r="E242" s="93"/>
      <c r="F242" s="93"/>
      <c r="G242" s="93"/>
      <c r="H242" s="93"/>
    </row>
    <row r="243" spans="4:8" ht="15.6">
      <c r="D243" s="93"/>
      <c r="E243" s="93"/>
      <c r="F243" s="93"/>
      <c r="G243" s="93"/>
      <c r="H243" s="93"/>
    </row>
    <row r="244" spans="4:8" ht="15.6">
      <c r="D244" s="93"/>
      <c r="E244" s="93"/>
      <c r="F244" s="93"/>
      <c r="G244" s="93"/>
      <c r="H244" s="93"/>
    </row>
    <row r="245" spans="4:8" ht="15.6">
      <c r="D245" s="93"/>
      <c r="E245" s="93"/>
      <c r="F245" s="93"/>
      <c r="G245" s="93"/>
      <c r="H245" s="93"/>
    </row>
    <row r="246" spans="4:8" ht="15.6">
      <c r="D246" s="93"/>
      <c r="E246" s="93"/>
      <c r="F246" s="93"/>
      <c r="G246" s="93"/>
      <c r="H246" s="93"/>
    </row>
    <row r="247" spans="4:8" ht="15.6">
      <c r="D247" s="93"/>
      <c r="E247" s="93"/>
      <c r="F247" s="93"/>
      <c r="G247" s="93"/>
      <c r="H247" s="93"/>
    </row>
    <row r="248" spans="4:8" ht="15.6">
      <c r="D248" s="93"/>
      <c r="E248" s="93"/>
      <c r="F248" s="93"/>
      <c r="G248" s="93"/>
      <c r="H248" s="93"/>
    </row>
    <row r="249" spans="4:8" ht="15.6">
      <c r="D249" s="93"/>
      <c r="E249" s="93"/>
      <c r="F249" s="93"/>
      <c r="G249" s="93"/>
      <c r="H249" s="93"/>
    </row>
    <row r="250" spans="4:8" ht="15.6">
      <c r="D250" s="93"/>
      <c r="E250" s="93"/>
      <c r="F250" s="93"/>
      <c r="G250" s="93"/>
      <c r="H250" s="93"/>
    </row>
    <row r="251" spans="4:8" ht="15.6">
      <c r="D251" s="93"/>
      <c r="E251" s="93"/>
      <c r="F251" s="93"/>
      <c r="G251" s="93"/>
      <c r="H251" s="93"/>
    </row>
    <row r="252" spans="4:8" ht="15.6">
      <c r="D252" s="93"/>
      <c r="E252" s="93"/>
      <c r="F252" s="93"/>
      <c r="G252" s="93"/>
      <c r="H252" s="93"/>
    </row>
    <row r="253" spans="4:8" ht="15.6">
      <c r="D253" s="93"/>
      <c r="E253" s="93"/>
      <c r="F253" s="93"/>
      <c r="G253" s="93"/>
      <c r="H253" s="93"/>
    </row>
    <row r="254" spans="4:8" ht="15.6">
      <c r="D254" s="93"/>
      <c r="E254" s="93"/>
      <c r="F254" s="93"/>
      <c r="G254" s="93"/>
      <c r="H254" s="93"/>
    </row>
    <row r="255" spans="4:8" ht="15.6">
      <c r="D255" s="93"/>
      <c r="E255" s="93"/>
      <c r="F255" s="93"/>
      <c r="G255" s="93"/>
      <c r="H255" s="93"/>
    </row>
    <row r="256" spans="4:8" ht="15.6">
      <c r="D256" s="93"/>
      <c r="E256" s="93"/>
      <c r="F256" s="93"/>
      <c r="G256" s="93"/>
      <c r="H256" s="93"/>
    </row>
    <row r="257" spans="4:8" ht="15.6">
      <c r="D257" s="93"/>
      <c r="E257" s="93"/>
      <c r="F257" s="93"/>
      <c r="G257" s="93"/>
      <c r="H257" s="93"/>
    </row>
    <row r="258" spans="4:8" ht="15.6">
      <c r="D258" s="93"/>
      <c r="E258" s="93"/>
      <c r="F258" s="93"/>
      <c r="G258" s="93"/>
      <c r="H258" s="93"/>
    </row>
    <row r="259" spans="4:8" ht="15.6">
      <c r="D259" s="93"/>
      <c r="E259" s="93"/>
      <c r="F259" s="93"/>
      <c r="G259" s="93"/>
      <c r="H259" s="93"/>
    </row>
    <row r="260" spans="4:8" ht="15.6">
      <c r="D260" s="93"/>
      <c r="E260" s="93"/>
      <c r="F260" s="93"/>
      <c r="G260" s="93"/>
      <c r="H260" s="93"/>
    </row>
    <row r="261" spans="4:8" ht="15.6">
      <c r="D261" s="93"/>
      <c r="E261" s="93"/>
      <c r="F261" s="93"/>
      <c r="G261" s="93"/>
      <c r="H261" s="93"/>
    </row>
    <row r="262" spans="4:8" ht="15.6">
      <c r="D262" s="93"/>
      <c r="E262" s="93"/>
      <c r="F262" s="93"/>
      <c r="G262" s="93"/>
      <c r="H262" s="93"/>
    </row>
    <row r="263" spans="4:8" ht="15.6">
      <c r="D263" s="93"/>
      <c r="E263" s="93"/>
      <c r="F263" s="93"/>
      <c r="G263" s="93"/>
      <c r="H263" s="93"/>
    </row>
    <row r="264" spans="4:8" ht="15.6">
      <c r="D264" s="93"/>
      <c r="E264" s="93"/>
      <c r="F264" s="93"/>
      <c r="G264" s="93"/>
      <c r="H264" s="93"/>
    </row>
    <row r="265" spans="4:8" ht="15.6">
      <c r="D265" s="93"/>
      <c r="E265" s="93"/>
      <c r="F265" s="93"/>
      <c r="G265" s="93"/>
      <c r="H265" s="93"/>
    </row>
    <row r="266" spans="4:8" ht="15.6">
      <c r="D266" s="93"/>
      <c r="E266" s="93"/>
      <c r="F266" s="93"/>
      <c r="G266" s="93"/>
      <c r="H266" s="93"/>
    </row>
    <row r="267" spans="4:8" ht="15.6">
      <c r="D267" s="93"/>
      <c r="E267" s="93"/>
      <c r="F267" s="93"/>
      <c r="G267" s="93"/>
      <c r="H267" s="93"/>
    </row>
    <row r="268" spans="4:8" ht="15.6">
      <c r="D268" s="93"/>
      <c r="E268" s="93"/>
      <c r="F268" s="93"/>
      <c r="G268" s="93"/>
      <c r="H268" s="93"/>
    </row>
    <row r="269" spans="4:8" ht="15.6">
      <c r="D269" s="93"/>
      <c r="E269" s="93"/>
      <c r="F269" s="93"/>
      <c r="G269" s="93"/>
      <c r="H269" s="93"/>
    </row>
    <row r="270" spans="4:8" ht="15.6">
      <c r="D270" s="93"/>
      <c r="E270" s="93"/>
      <c r="F270" s="93"/>
      <c r="G270" s="93"/>
      <c r="H270" s="93"/>
    </row>
    <row r="271" spans="4:8" ht="15.6">
      <c r="D271" s="93"/>
      <c r="E271" s="93"/>
      <c r="F271" s="93"/>
      <c r="G271" s="93"/>
      <c r="H271" s="93"/>
    </row>
    <row r="272" spans="4:8" ht="15.6">
      <c r="D272" s="93"/>
      <c r="E272" s="93"/>
      <c r="F272" s="93"/>
      <c r="G272" s="93"/>
      <c r="H272" s="93"/>
    </row>
    <row r="273" spans="4:8" ht="15.6">
      <c r="D273" s="93"/>
      <c r="E273" s="93"/>
      <c r="F273" s="93"/>
      <c r="G273" s="93"/>
      <c r="H273" s="93"/>
    </row>
    <row r="274" spans="4:8" ht="15.6">
      <c r="D274" s="93"/>
      <c r="E274" s="93"/>
      <c r="F274" s="93"/>
      <c r="G274" s="93"/>
      <c r="H274" s="93"/>
    </row>
    <row r="275" spans="4:8" ht="15.6">
      <c r="D275" s="93"/>
      <c r="E275" s="93"/>
      <c r="F275" s="93"/>
      <c r="G275" s="93"/>
      <c r="H275" s="93"/>
    </row>
    <row r="276" spans="4:8" ht="15.6">
      <c r="D276" s="93"/>
      <c r="E276" s="93"/>
      <c r="F276" s="93"/>
      <c r="G276" s="93"/>
      <c r="H276" s="93"/>
    </row>
    <row r="277" spans="4:8" ht="15.6">
      <c r="D277" s="93"/>
      <c r="E277" s="93"/>
      <c r="F277" s="93"/>
      <c r="G277" s="93"/>
      <c r="H277" s="93"/>
    </row>
    <row r="278" spans="4:8" ht="15.6">
      <c r="D278" s="93"/>
      <c r="E278" s="93"/>
      <c r="F278" s="93"/>
      <c r="G278" s="93"/>
      <c r="H278" s="93"/>
    </row>
    <row r="279" spans="4:8" ht="15.6">
      <c r="D279" s="93"/>
      <c r="E279" s="93"/>
      <c r="F279" s="93"/>
      <c r="G279" s="93"/>
      <c r="H279" s="93"/>
    </row>
    <row r="280" spans="4:8" ht="15.6">
      <c r="D280" s="93"/>
      <c r="E280" s="93"/>
      <c r="F280" s="93"/>
      <c r="G280" s="93"/>
      <c r="H280" s="93"/>
    </row>
    <row r="281" spans="4:8" ht="15.6">
      <c r="D281" s="93"/>
      <c r="E281" s="93"/>
      <c r="F281" s="93"/>
      <c r="G281" s="93"/>
      <c r="H281" s="93"/>
    </row>
    <row r="282" spans="4:8" ht="15.6">
      <c r="D282" s="93"/>
      <c r="E282" s="93"/>
      <c r="F282" s="93"/>
      <c r="G282" s="93"/>
      <c r="H282" s="93"/>
    </row>
    <row r="283" spans="4:8" ht="15.6">
      <c r="D283" s="93"/>
      <c r="E283" s="93"/>
      <c r="F283" s="93"/>
      <c r="G283" s="93"/>
      <c r="H283" s="93"/>
    </row>
    <row r="284" spans="4:8" ht="15.6">
      <c r="D284" s="93"/>
      <c r="E284" s="93"/>
      <c r="F284" s="93"/>
      <c r="G284" s="93"/>
      <c r="H284" s="93"/>
    </row>
    <row r="285" spans="4:8" ht="15.6">
      <c r="D285" s="93"/>
      <c r="E285" s="93"/>
      <c r="F285" s="93"/>
      <c r="G285" s="93"/>
      <c r="H285" s="93"/>
    </row>
    <row r="286" spans="4:8" ht="15.6">
      <c r="D286" s="93"/>
      <c r="E286" s="93"/>
      <c r="F286" s="93"/>
      <c r="G286" s="93"/>
      <c r="H286" s="93"/>
    </row>
    <row r="287" spans="4:8" ht="15.6">
      <c r="D287" s="93"/>
      <c r="E287" s="93"/>
      <c r="F287" s="93"/>
      <c r="G287" s="93"/>
      <c r="H287" s="93"/>
    </row>
    <row r="288" spans="4:8" ht="15.6">
      <c r="D288" s="93"/>
      <c r="E288" s="93"/>
      <c r="F288" s="93"/>
      <c r="G288" s="93"/>
      <c r="H288" s="93"/>
    </row>
    <row r="289" spans="4:8" ht="15.6">
      <c r="D289" s="93"/>
      <c r="E289" s="93"/>
      <c r="F289" s="93"/>
      <c r="G289" s="93"/>
      <c r="H289" s="93"/>
    </row>
    <row r="290" spans="4:8" ht="15.6">
      <c r="D290" s="93"/>
      <c r="E290" s="93"/>
      <c r="F290" s="93"/>
      <c r="G290" s="93"/>
      <c r="H290" s="93"/>
    </row>
    <row r="291" spans="4:8" ht="15.6">
      <c r="D291" s="93"/>
      <c r="E291" s="93"/>
      <c r="F291" s="93"/>
      <c r="G291" s="93"/>
      <c r="H291" s="93"/>
    </row>
    <row r="292" spans="4:8" ht="15.6">
      <c r="D292" s="93"/>
      <c r="E292" s="93"/>
      <c r="F292" s="93"/>
      <c r="G292" s="93"/>
      <c r="H292" s="93"/>
    </row>
    <row r="293" spans="4:8" ht="15.6">
      <c r="D293" s="93"/>
      <c r="E293" s="93"/>
      <c r="F293" s="93"/>
      <c r="G293" s="93"/>
      <c r="H293" s="93"/>
    </row>
    <row r="294" spans="4:8" ht="15.6">
      <c r="D294" s="93"/>
      <c r="E294" s="93"/>
      <c r="F294" s="93"/>
      <c r="G294" s="93"/>
      <c r="H294" s="93"/>
    </row>
    <row r="295" spans="4:8" ht="15.6">
      <c r="D295" s="93"/>
      <c r="E295" s="93"/>
      <c r="F295" s="93"/>
      <c r="G295" s="93"/>
      <c r="H295" s="93"/>
    </row>
    <row r="296" spans="4:8" ht="15.6">
      <c r="D296" s="93"/>
      <c r="E296" s="93"/>
      <c r="F296" s="93"/>
      <c r="G296" s="93"/>
      <c r="H296" s="93"/>
    </row>
    <row r="297" spans="4:8" ht="15.6">
      <c r="D297" s="93"/>
      <c r="E297" s="93"/>
      <c r="F297" s="93"/>
      <c r="G297" s="93"/>
      <c r="H297" s="93"/>
    </row>
    <row r="298" spans="4:8" ht="15.6">
      <c r="D298" s="93"/>
      <c r="E298" s="93"/>
      <c r="F298" s="93"/>
      <c r="G298" s="93"/>
      <c r="H298" s="93"/>
    </row>
    <row r="299" spans="4:8" ht="15.6">
      <c r="D299" s="93"/>
      <c r="E299" s="93"/>
      <c r="F299" s="93"/>
      <c r="G299" s="93"/>
      <c r="H299" s="93"/>
    </row>
    <row r="300" spans="4:8" ht="15.6">
      <c r="D300" s="93"/>
      <c r="E300" s="93"/>
      <c r="F300" s="93"/>
      <c r="G300" s="93"/>
      <c r="H300" s="93"/>
    </row>
    <row r="301" spans="4:8" ht="15.6">
      <c r="D301" s="93"/>
      <c r="E301" s="93"/>
      <c r="F301" s="93"/>
      <c r="G301" s="93"/>
      <c r="H301" s="93"/>
    </row>
    <row r="302" spans="4:8" ht="15.6">
      <c r="D302" s="93"/>
      <c r="E302" s="93"/>
      <c r="F302" s="93"/>
      <c r="G302" s="93"/>
      <c r="H302" s="93"/>
    </row>
    <row r="303" spans="4:8" ht="15.6">
      <c r="D303" s="93"/>
      <c r="E303" s="93"/>
      <c r="F303" s="93"/>
      <c r="G303" s="93"/>
      <c r="H303" s="93"/>
    </row>
    <row r="304" spans="4:8" ht="15.6">
      <c r="D304" s="93"/>
      <c r="E304" s="93"/>
      <c r="F304" s="93"/>
      <c r="G304" s="93"/>
      <c r="H304" s="93"/>
    </row>
    <row r="305" spans="4:8" ht="15.6">
      <c r="D305" s="93"/>
      <c r="E305" s="93"/>
      <c r="F305" s="93"/>
      <c r="G305" s="93"/>
      <c r="H305" s="93"/>
    </row>
    <row r="306" spans="4:8" ht="15.6">
      <c r="D306" s="93"/>
      <c r="E306" s="93"/>
      <c r="F306" s="93"/>
      <c r="G306" s="93"/>
      <c r="H306" s="93"/>
    </row>
    <row r="307" spans="4:8" ht="15.6">
      <c r="D307" s="93"/>
      <c r="E307" s="93"/>
      <c r="F307" s="93"/>
      <c r="G307" s="93"/>
      <c r="H307" s="93"/>
    </row>
    <row r="308" spans="4:8" ht="15.6">
      <c r="D308" s="93"/>
      <c r="E308" s="93"/>
      <c r="F308" s="93"/>
      <c r="G308" s="93"/>
      <c r="H308" s="93"/>
    </row>
    <row r="309" spans="4:8" ht="15.6">
      <c r="D309" s="93"/>
      <c r="E309" s="93"/>
      <c r="F309" s="93"/>
      <c r="G309" s="93"/>
      <c r="H309" s="93"/>
    </row>
    <row r="310" spans="4:8" ht="15.6">
      <c r="D310" s="93"/>
      <c r="E310" s="93"/>
      <c r="F310" s="93"/>
      <c r="G310" s="93"/>
      <c r="H310" s="93"/>
    </row>
    <row r="311" spans="4:8" ht="15.6">
      <c r="D311" s="93"/>
      <c r="E311" s="93"/>
      <c r="F311" s="93"/>
      <c r="G311" s="93"/>
      <c r="H311" s="93"/>
    </row>
    <row r="312" spans="4:8" ht="15.6">
      <c r="D312" s="93"/>
      <c r="E312" s="93"/>
      <c r="F312" s="93"/>
      <c r="G312" s="93"/>
      <c r="H312" s="93"/>
    </row>
    <row r="313" spans="4:8" ht="15.6">
      <c r="D313" s="93"/>
      <c r="E313" s="93"/>
      <c r="F313" s="93"/>
      <c r="G313" s="93"/>
      <c r="H313" s="93"/>
    </row>
    <row r="314" spans="4:8" ht="15.6">
      <c r="D314" s="93"/>
      <c r="E314" s="93"/>
      <c r="F314" s="93"/>
      <c r="G314" s="93"/>
      <c r="H314" s="93"/>
    </row>
    <row r="315" spans="4:8" ht="15.6">
      <c r="D315" s="93"/>
      <c r="E315" s="93"/>
      <c r="F315" s="93"/>
      <c r="G315" s="93"/>
      <c r="H315" s="93"/>
    </row>
    <row r="316" spans="4:8" ht="15.6">
      <c r="D316" s="93"/>
      <c r="E316" s="93"/>
      <c r="F316" s="93"/>
      <c r="G316" s="93"/>
      <c r="H316" s="93"/>
    </row>
    <row r="317" spans="4:8" ht="15.6">
      <c r="D317" s="93"/>
      <c r="E317" s="93"/>
      <c r="F317" s="93"/>
      <c r="G317" s="93"/>
      <c r="H317" s="93"/>
    </row>
    <row r="318" spans="4:8" ht="15.6">
      <c r="D318" s="93"/>
      <c r="E318" s="93"/>
      <c r="F318" s="93"/>
      <c r="G318" s="93"/>
      <c r="H318" s="93"/>
    </row>
    <row r="319" spans="4:8" ht="15.6">
      <c r="D319" s="93"/>
      <c r="E319" s="93"/>
      <c r="F319" s="93"/>
      <c r="G319" s="93"/>
      <c r="H319" s="93"/>
    </row>
    <row r="320" spans="4:8" ht="15.6">
      <c r="D320" s="93"/>
      <c r="E320" s="93"/>
      <c r="F320" s="93"/>
      <c r="G320" s="93"/>
      <c r="H320" s="93"/>
    </row>
    <row r="321" spans="4:8" ht="15.6">
      <c r="D321" s="93"/>
      <c r="E321" s="93"/>
      <c r="F321" s="93"/>
      <c r="G321" s="93"/>
      <c r="H321" s="93"/>
    </row>
    <row r="322" spans="4:8" ht="15.6">
      <c r="D322" s="93"/>
      <c r="E322" s="93"/>
      <c r="F322" s="93"/>
      <c r="G322" s="93"/>
      <c r="H322" s="93"/>
    </row>
    <row r="323" spans="4:8" ht="15.6">
      <c r="D323" s="93"/>
      <c r="E323" s="93"/>
      <c r="F323" s="93"/>
      <c r="G323" s="93"/>
      <c r="H323" s="93"/>
    </row>
    <row r="324" spans="4:8" ht="15.6">
      <c r="D324" s="93"/>
      <c r="E324" s="93"/>
      <c r="F324" s="93"/>
      <c r="G324" s="93"/>
      <c r="H324" s="93"/>
    </row>
    <row r="325" spans="4:8" ht="15.6">
      <c r="D325" s="93"/>
      <c r="E325" s="93"/>
      <c r="F325" s="93"/>
      <c r="G325" s="93"/>
      <c r="H325" s="93"/>
    </row>
    <row r="326" spans="4:8" ht="15.6">
      <c r="D326" s="93"/>
      <c r="E326" s="93"/>
      <c r="F326" s="93"/>
      <c r="G326" s="93"/>
      <c r="H326" s="93"/>
    </row>
    <row r="327" spans="4:8" ht="15.6">
      <c r="D327" s="93"/>
      <c r="E327" s="93"/>
      <c r="F327" s="93"/>
      <c r="G327" s="93"/>
      <c r="H327" s="93"/>
    </row>
    <row r="328" spans="4:8" ht="15.6">
      <c r="D328" s="93"/>
      <c r="E328" s="93"/>
      <c r="F328" s="93"/>
      <c r="G328" s="93"/>
      <c r="H328" s="93"/>
    </row>
    <row r="329" spans="4:8" ht="15.6">
      <c r="D329" s="93"/>
      <c r="E329" s="93"/>
      <c r="F329" s="93"/>
      <c r="G329" s="93"/>
      <c r="H329" s="93"/>
    </row>
    <row r="330" spans="4:8" ht="15.6">
      <c r="D330" s="93"/>
      <c r="E330" s="93"/>
      <c r="F330" s="93"/>
      <c r="G330" s="93"/>
      <c r="H330" s="93"/>
    </row>
    <row r="331" spans="4:8" ht="15.6">
      <c r="D331" s="93"/>
      <c r="E331" s="93"/>
      <c r="F331" s="93"/>
      <c r="G331" s="93"/>
      <c r="H331" s="93"/>
    </row>
    <row r="332" spans="4:8" ht="15.6">
      <c r="D332" s="93"/>
      <c r="E332" s="93"/>
      <c r="F332" s="93"/>
      <c r="G332" s="93"/>
      <c r="H332" s="93"/>
    </row>
    <row r="333" spans="4:8" ht="15.6">
      <c r="D333" s="93"/>
      <c r="E333" s="93"/>
      <c r="F333" s="93"/>
      <c r="G333" s="93"/>
      <c r="H333" s="93"/>
    </row>
    <row r="334" spans="4:8" ht="15.6">
      <c r="D334" s="93"/>
      <c r="E334" s="93"/>
      <c r="F334" s="93"/>
      <c r="G334" s="93"/>
      <c r="H334" s="93"/>
    </row>
    <row r="335" spans="4:8" ht="15.6">
      <c r="D335" s="93"/>
      <c r="E335" s="93"/>
      <c r="F335" s="93"/>
      <c r="G335" s="93"/>
      <c r="H335" s="93"/>
    </row>
    <row r="336" spans="4:8" ht="15.6">
      <c r="D336" s="93"/>
      <c r="E336" s="93"/>
      <c r="F336" s="93"/>
      <c r="G336" s="93"/>
      <c r="H336" s="93"/>
    </row>
    <row r="337" spans="4:8" ht="15.6">
      <c r="D337" s="93"/>
      <c r="E337" s="93"/>
      <c r="F337" s="93"/>
      <c r="G337" s="93"/>
      <c r="H337" s="93"/>
    </row>
    <row r="338" spans="4:8" ht="15.6">
      <c r="D338" s="93"/>
      <c r="E338" s="93"/>
      <c r="F338" s="93"/>
      <c r="G338" s="93"/>
      <c r="H338" s="93"/>
    </row>
    <row r="339" spans="4:8" ht="15.6">
      <c r="D339" s="93"/>
      <c r="E339" s="93"/>
      <c r="F339" s="93"/>
      <c r="G339" s="93"/>
      <c r="H339" s="93"/>
    </row>
    <row r="340" spans="4:8" ht="15.6">
      <c r="D340" s="93"/>
      <c r="E340" s="93"/>
      <c r="F340" s="93"/>
      <c r="G340" s="93"/>
      <c r="H340" s="93"/>
    </row>
    <row r="341" spans="4:8" ht="15.6">
      <c r="D341" s="93"/>
      <c r="E341" s="93"/>
      <c r="F341" s="93"/>
      <c r="G341" s="93"/>
      <c r="H341" s="93"/>
    </row>
    <row r="342" spans="4:8" ht="15.6">
      <c r="D342" s="93"/>
      <c r="E342" s="93"/>
      <c r="F342" s="93"/>
      <c r="G342" s="93"/>
      <c r="H342" s="93"/>
    </row>
    <row r="343" spans="4:8" ht="15.6">
      <c r="D343" s="93"/>
      <c r="E343" s="93"/>
      <c r="F343" s="93"/>
      <c r="G343" s="93"/>
      <c r="H343" s="93"/>
    </row>
    <row r="344" spans="4:8" ht="15.6">
      <c r="D344" s="93"/>
      <c r="E344" s="93"/>
      <c r="F344" s="93"/>
      <c r="G344" s="93"/>
      <c r="H344" s="93"/>
    </row>
    <row r="345" spans="4:8" ht="15.6">
      <c r="D345" s="93"/>
      <c r="E345" s="93"/>
      <c r="F345" s="93"/>
      <c r="G345" s="93"/>
      <c r="H345" s="93"/>
    </row>
    <row r="346" spans="4:8" ht="15.6">
      <c r="D346" s="93"/>
      <c r="E346" s="93"/>
      <c r="F346" s="93"/>
      <c r="G346" s="93"/>
      <c r="H346" s="93"/>
    </row>
    <row r="347" spans="4:8" ht="15.6">
      <c r="D347" s="93"/>
      <c r="E347" s="93"/>
      <c r="F347" s="93"/>
      <c r="G347" s="93"/>
      <c r="H347" s="93"/>
    </row>
    <row r="348" spans="4:8" ht="15.6">
      <c r="D348" s="93"/>
      <c r="E348" s="93"/>
      <c r="F348" s="93"/>
      <c r="G348" s="93"/>
      <c r="H348" s="93"/>
    </row>
    <row r="349" spans="4:8" ht="15.6">
      <c r="D349" s="93"/>
      <c r="E349" s="93"/>
      <c r="F349" s="93"/>
      <c r="G349" s="93"/>
      <c r="H349" s="93"/>
    </row>
    <row r="350" spans="4:8" ht="15.6">
      <c r="D350" s="93"/>
      <c r="E350" s="93"/>
      <c r="F350" s="93"/>
      <c r="G350" s="93"/>
      <c r="H350" s="93"/>
    </row>
    <row r="351" spans="4:8" ht="15.6">
      <c r="D351" s="93"/>
      <c r="E351" s="93"/>
      <c r="F351" s="93"/>
      <c r="G351" s="93"/>
      <c r="H351" s="93"/>
    </row>
    <row r="352" spans="4:8" ht="15.6">
      <c r="D352" s="93"/>
      <c r="E352" s="93"/>
      <c r="F352" s="93"/>
      <c r="G352" s="93"/>
      <c r="H352" s="93"/>
    </row>
    <row r="353" spans="4:8" ht="15.6">
      <c r="D353" s="93"/>
      <c r="E353" s="93"/>
      <c r="F353" s="93"/>
      <c r="G353" s="93"/>
      <c r="H353" s="93"/>
    </row>
    <row r="354" spans="4:8" ht="15.6">
      <c r="D354" s="93"/>
      <c r="E354" s="93"/>
      <c r="F354" s="93"/>
      <c r="G354" s="93"/>
      <c r="H354" s="93"/>
    </row>
    <row r="355" spans="4:8" ht="15.6">
      <c r="D355" s="93"/>
      <c r="E355" s="93"/>
      <c r="F355" s="93"/>
      <c r="G355" s="93"/>
      <c r="H355" s="93"/>
    </row>
    <row r="356" spans="4:8" ht="15.6">
      <c r="D356" s="93"/>
      <c r="E356" s="93"/>
      <c r="F356" s="93"/>
      <c r="G356" s="93"/>
      <c r="H356" s="93"/>
    </row>
    <row r="357" spans="4:8" ht="15.6">
      <c r="D357" s="93"/>
      <c r="E357" s="93"/>
      <c r="F357" s="93"/>
      <c r="G357" s="93"/>
      <c r="H357" s="93"/>
    </row>
    <row r="358" spans="4:8" ht="15.6">
      <c r="D358" s="93"/>
      <c r="E358" s="93"/>
      <c r="F358" s="93"/>
      <c r="G358" s="93"/>
      <c r="H358" s="93"/>
    </row>
    <row r="359" spans="4:8" ht="15.6">
      <c r="D359" s="93"/>
      <c r="E359" s="93"/>
      <c r="F359" s="93"/>
      <c r="G359" s="93"/>
      <c r="H359" s="93"/>
    </row>
    <row r="360" spans="4:8" ht="15.6">
      <c r="D360" s="93"/>
      <c r="E360" s="93"/>
      <c r="F360" s="93"/>
      <c r="G360" s="93"/>
      <c r="H360" s="93"/>
    </row>
    <row r="361" spans="4:8" ht="15.6">
      <c r="D361" s="93"/>
      <c r="E361" s="93"/>
      <c r="F361" s="93"/>
      <c r="G361" s="93"/>
      <c r="H361" s="93"/>
    </row>
    <row r="362" spans="4:8" ht="15.6">
      <c r="D362" s="93"/>
      <c r="E362" s="93"/>
      <c r="F362" s="93"/>
      <c r="G362" s="93"/>
      <c r="H362" s="93"/>
    </row>
    <row r="363" spans="4:8" ht="15.6">
      <c r="D363" s="93"/>
      <c r="E363" s="93"/>
      <c r="F363" s="93"/>
      <c r="G363" s="93"/>
      <c r="H363" s="93"/>
    </row>
    <row r="364" spans="4:8" ht="15.6">
      <c r="D364" s="93"/>
      <c r="E364" s="93"/>
      <c r="F364" s="93"/>
      <c r="G364" s="93"/>
      <c r="H364" s="93"/>
    </row>
    <row r="365" spans="4:8" ht="15.6">
      <c r="D365" s="93"/>
      <c r="E365" s="93"/>
      <c r="F365" s="93"/>
      <c r="G365" s="93"/>
      <c r="H365" s="93"/>
    </row>
    <row r="366" spans="4:8" ht="15.6">
      <c r="D366" s="93"/>
      <c r="E366" s="93"/>
      <c r="F366" s="93"/>
      <c r="G366" s="93"/>
      <c r="H366" s="93"/>
    </row>
    <row r="367" spans="4:8" ht="15.6">
      <c r="D367" s="93"/>
      <c r="E367" s="93"/>
      <c r="F367" s="93"/>
      <c r="G367" s="93"/>
      <c r="H367" s="93"/>
    </row>
    <row r="368" spans="4:8" ht="15.6">
      <c r="D368" s="93"/>
      <c r="E368" s="93"/>
      <c r="F368" s="93"/>
      <c r="G368" s="93"/>
      <c r="H368" s="93"/>
    </row>
    <row r="369" spans="4:8" ht="15.6">
      <c r="D369" s="93"/>
      <c r="E369" s="93"/>
      <c r="F369" s="93"/>
      <c r="G369" s="93"/>
      <c r="H369" s="93"/>
    </row>
    <row r="370" spans="4:8" ht="15.6">
      <c r="D370" s="93"/>
      <c r="E370" s="93"/>
      <c r="F370" s="93"/>
      <c r="G370" s="93"/>
      <c r="H370" s="93"/>
    </row>
    <row r="371" spans="4:8" ht="15.6">
      <c r="D371" s="93"/>
      <c r="E371" s="93"/>
      <c r="F371" s="93"/>
      <c r="G371" s="93"/>
      <c r="H371" s="93"/>
    </row>
    <row r="372" spans="4:8" ht="15.6">
      <c r="D372" s="93"/>
      <c r="E372" s="93"/>
      <c r="F372" s="93"/>
      <c r="G372" s="93"/>
      <c r="H372" s="93"/>
    </row>
    <row r="373" spans="4:8" ht="15.6">
      <c r="D373" s="93"/>
      <c r="E373" s="93"/>
      <c r="F373" s="93"/>
      <c r="G373" s="93"/>
      <c r="H373" s="93"/>
    </row>
    <row r="374" spans="4:8" ht="15.6">
      <c r="D374" s="93"/>
      <c r="E374" s="93"/>
      <c r="F374" s="93"/>
      <c r="G374" s="93"/>
      <c r="H374" s="93"/>
    </row>
    <row r="375" spans="4:8" ht="15.6">
      <c r="D375" s="93"/>
      <c r="E375" s="93"/>
      <c r="F375" s="93"/>
      <c r="G375" s="93"/>
      <c r="H375" s="93"/>
    </row>
    <row r="376" spans="4:8" ht="15.6">
      <c r="D376" s="93"/>
      <c r="E376" s="93"/>
      <c r="F376" s="93"/>
      <c r="G376" s="93"/>
      <c r="H376" s="93"/>
    </row>
    <row r="377" spans="4:8" ht="15.6">
      <c r="D377" s="93"/>
      <c r="E377" s="93"/>
      <c r="F377" s="93"/>
      <c r="G377" s="93"/>
      <c r="H377" s="93"/>
    </row>
    <row r="378" spans="4:8" ht="15.6">
      <c r="D378" s="93"/>
      <c r="E378" s="93"/>
      <c r="F378" s="93"/>
      <c r="G378" s="93"/>
      <c r="H378" s="93"/>
    </row>
    <row r="379" spans="4:8" ht="15.6">
      <c r="D379" s="93"/>
      <c r="E379" s="93"/>
      <c r="F379" s="93"/>
      <c r="G379" s="93"/>
      <c r="H379" s="93"/>
    </row>
    <row r="380" spans="4:8" ht="15.6">
      <c r="D380" s="93"/>
      <c r="E380" s="93"/>
      <c r="F380" s="93"/>
      <c r="G380" s="93"/>
      <c r="H380" s="93"/>
    </row>
    <row r="381" spans="4:8" ht="15.6">
      <c r="D381" s="93"/>
      <c r="E381" s="93"/>
      <c r="F381" s="93"/>
      <c r="G381" s="93"/>
      <c r="H381" s="93"/>
    </row>
    <row r="382" spans="4:8" ht="15.6">
      <c r="D382" s="93"/>
      <c r="E382" s="93"/>
      <c r="F382" s="93"/>
      <c r="G382" s="93"/>
      <c r="H382" s="93"/>
    </row>
    <row r="383" spans="4:8" ht="15.6">
      <c r="D383" s="93"/>
      <c r="E383" s="93"/>
      <c r="F383" s="93"/>
      <c r="G383" s="93"/>
      <c r="H383" s="93"/>
    </row>
    <row r="384" spans="4:8" ht="15.6">
      <c r="D384" s="93"/>
      <c r="E384" s="93"/>
      <c r="F384" s="93"/>
      <c r="G384" s="93"/>
      <c r="H384" s="93"/>
    </row>
    <row r="385" spans="4:8" ht="15.6">
      <c r="D385" s="93"/>
      <c r="E385" s="93"/>
      <c r="F385" s="93"/>
      <c r="G385" s="93"/>
      <c r="H385" s="93"/>
    </row>
    <row r="386" spans="4:8" ht="15.6">
      <c r="D386" s="93"/>
      <c r="E386" s="93"/>
      <c r="F386" s="93"/>
      <c r="G386" s="93"/>
      <c r="H386" s="93"/>
    </row>
    <row r="387" spans="4:8" ht="15.6">
      <c r="D387" s="93"/>
      <c r="E387" s="93"/>
      <c r="F387" s="93"/>
      <c r="G387" s="93"/>
      <c r="H387" s="93"/>
    </row>
    <row r="388" spans="4:8" ht="15.6">
      <c r="D388" s="93"/>
      <c r="E388" s="93"/>
      <c r="F388" s="93"/>
      <c r="G388" s="93"/>
      <c r="H388" s="93"/>
    </row>
    <row r="389" spans="4:8" ht="15.6">
      <c r="D389" s="93"/>
      <c r="E389" s="93"/>
      <c r="F389" s="93"/>
      <c r="G389" s="93"/>
      <c r="H389" s="93"/>
    </row>
    <row r="390" spans="4:8" ht="15.6">
      <c r="D390" s="93"/>
      <c r="E390" s="93"/>
      <c r="F390" s="93"/>
      <c r="G390" s="93"/>
      <c r="H390" s="93"/>
    </row>
    <row r="391" spans="4:8" ht="15.6">
      <c r="D391" s="93"/>
      <c r="E391" s="93"/>
      <c r="F391" s="93"/>
      <c r="G391" s="93"/>
      <c r="H391" s="93"/>
    </row>
    <row r="392" spans="4:8" ht="15.6">
      <c r="D392" s="93"/>
      <c r="E392" s="93"/>
      <c r="F392" s="93"/>
      <c r="G392" s="93"/>
      <c r="H392" s="93"/>
    </row>
    <row r="393" spans="4:8" ht="15.6">
      <c r="D393" s="93"/>
      <c r="E393" s="93"/>
      <c r="F393" s="93"/>
      <c r="G393" s="93"/>
      <c r="H393" s="93"/>
    </row>
    <row r="394" spans="4:8" ht="15.6">
      <c r="D394" s="93"/>
      <c r="E394" s="93"/>
      <c r="F394" s="93"/>
      <c r="G394" s="93"/>
      <c r="H394" s="93"/>
    </row>
    <row r="395" spans="4:8" ht="15.6">
      <c r="D395" s="93"/>
      <c r="E395" s="93"/>
      <c r="F395" s="93"/>
      <c r="G395" s="93"/>
      <c r="H395" s="93"/>
    </row>
    <row r="396" spans="4:8" ht="15.6">
      <c r="D396" s="93"/>
      <c r="E396" s="93"/>
      <c r="F396" s="93"/>
      <c r="G396" s="93"/>
      <c r="H396" s="93"/>
    </row>
    <row r="397" spans="4:8" ht="15.6">
      <c r="D397" s="93"/>
      <c r="E397" s="93"/>
      <c r="F397" s="93"/>
      <c r="G397" s="93"/>
      <c r="H397" s="93"/>
    </row>
    <row r="398" spans="4:8" ht="15.6">
      <c r="D398" s="93"/>
      <c r="E398" s="93"/>
      <c r="F398" s="93"/>
      <c r="G398" s="93"/>
      <c r="H398" s="93"/>
    </row>
    <row r="399" spans="4:8" ht="15.6">
      <c r="D399" s="93"/>
      <c r="E399" s="93"/>
      <c r="F399" s="93"/>
      <c r="G399" s="93"/>
      <c r="H399" s="93"/>
    </row>
    <row r="400" spans="4:8" ht="15.6">
      <c r="D400" s="93"/>
      <c r="E400" s="93"/>
      <c r="F400" s="93"/>
      <c r="G400" s="93"/>
      <c r="H400" s="93"/>
    </row>
    <row r="401" spans="4:8" ht="15.6">
      <c r="D401" s="93"/>
      <c r="E401" s="93"/>
      <c r="F401" s="93"/>
      <c r="G401" s="93"/>
      <c r="H401" s="93"/>
    </row>
    <row r="402" spans="4:8" ht="15.6">
      <c r="D402" s="93"/>
      <c r="E402" s="93"/>
      <c r="F402" s="93"/>
      <c r="G402" s="93"/>
      <c r="H402" s="93"/>
    </row>
    <row r="403" spans="4:8" ht="15.6">
      <c r="D403" s="93"/>
      <c r="E403" s="93"/>
      <c r="F403" s="93"/>
      <c r="G403" s="93"/>
      <c r="H403" s="93"/>
    </row>
    <row r="404" spans="4:8" ht="15.6">
      <c r="D404" s="93"/>
      <c r="E404" s="93"/>
      <c r="F404" s="93"/>
      <c r="G404" s="93"/>
      <c r="H404" s="93"/>
    </row>
    <row r="405" spans="4:8" ht="15.6">
      <c r="D405" s="93"/>
      <c r="E405" s="93"/>
      <c r="F405" s="93"/>
      <c r="G405" s="93"/>
      <c r="H405" s="93"/>
    </row>
    <row r="406" spans="4:8" ht="15.6">
      <c r="D406" s="93"/>
      <c r="E406" s="93"/>
      <c r="F406" s="93"/>
      <c r="G406" s="93"/>
      <c r="H406" s="93"/>
    </row>
    <row r="407" spans="4:8" ht="15.6">
      <c r="D407" s="93"/>
      <c r="E407" s="93"/>
      <c r="F407" s="93"/>
      <c r="G407" s="93"/>
      <c r="H407" s="93"/>
    </row>
    <row r="408" spans="4:8" ht="15.6">
      <c r="D408" s="93"/>
      <c r="E408" s="93"/>
      <c r="F408" s="93"/>
      <c r="G408" s="93"/>
      <c r="H408" s="93"/>
    </row>
    <row r="409" spans="4:8" ht="15.6">
      <c r="D409" s="93"/>
      <c r="E409" s="93"/>
      <c r="F409" s="93"/>
      <c r="G409" s="93"/>
      <c r="H409" s="93"/>
    </row>
    <row r="410" spans="4:8" ht="15.6">
      <c r="D410" s="93"/>
      <c r="E410" s="93"/>
      <c r="F410" s="93"/>
      <c r="G410" s="93"/>
      <c r="H410" s="93"/>
    </row>
    <row r="411" spans="4:8" ht="15.6">
      <c r="D411" s="93"/>
      <c r="E411" s="93"/>
      <c r="F411" s="93"/>
      <c r="G411" s="93"/>
      <c r="H411" s="93"/>
    </row>
    <row r="412" spans="4:8" ht="15.6">
      <c r="D412" s="93"/>
      <c r="E412" s="93"/>
      <c r="F412" s="93"/>
      <c r="G412" s="93"/>
      <c r="H412" s="93"/>
    </row>
    <row r="413" spans="4:8" ht="15.6">
      <c r="D413" s="93"/>
      <c r="E413" s="93"/>
      <c r="F413" s="93"/>
      <c r="G413" s="93"/>
      <c r="H413" s="93"/>
    </row>
    <row r="414" spans="4:8" ht="15.6">
      <c r="D414" s="93"/>
      <c r="E414" s="93"/>
      <c r="F414" s="93"/>
      <c r="G414" s="93"/>
      <c r="H414" s="93"/>
    </row>
    <row r="415" spans="4:8" ht="15.6">
      <c r="D415" s="93"/>
      <c r="E415" s="93"/>
      <c r="F415" s="93"/>
      <c r="G415" s="93"/>
      <c r="H415" s="93"/>
    </row>
    <row r="416" spans="4:8" ht="15.6">
      <c r="D416" s="93"/>
      <c r="E416" s="93"/>
      <c r="F416" s="93"/>
      <c r="G416" s="93"/>
      <c r="H416" s="93"/>
    </row>
    <row r="417" spans="4:8" ht="15.6">
      <c r="D417" s="93"/>
      <c r="E417" s="93"/>
      <c r="F417" s="93"/>
      <c r="G417" s="93"/>
      <c r="H417" s="93"/>
    </row>
    <row r="418" spans="4:8" ht="15.6">
      <c r="D418" s="93"/>
      <c r="E418" s="93"/>
      <c r="F418" s="93"/>
      <c r="G418" s="93"/>
      <c r="H418" s="93"/>
    </row>
    <row r="419" spans="4:8" ht="15.6">
      <c r="D419" s="93"/>
      <c r="E419" s="93"/>
      <c r="F419" s="93"/>
      <c r="G419" s="93"/>
      <c r="H419" s="93"/>
    </row>
    <row r="420" spans="4:8" ht="15.6">
      <c r="D420" s="93"/>
      <c r="E420" s="93"/>
      <c r="F420" s="93"/>
      <c r="G420" s="93"/>
      <c r="H420" s="93"/>
    </row>
    <row r="421" spans="4:8" ht="15.6">
      <c r="D421" s="93"/>
      <c r="E421" s="93"/>
      <c r="F421" s="93"/>
      <c r="G421" s="93"/>
      <c r="H421" s="93"/>
    </row>
    <row r="422" spans="4:8" ht="15.6">
      <c r="D422" s="93"/>
      <c r="E422" s="93"/>
      <c r="F422" s="93"/>
      <c r="G422" s="93"/>
      <c r="H422" s="93"/>
    </row>
    <row r="423" spans="4:8" ht="15.6">
      <c r="D423" s="93"/>
      <c r="E423" s="93"/>
      <c r="F423" s="93"/>
      <c r="G423" s="93"/>
      <c r="H423" s="93"/>
    </row>
    <row r="424" spans="4:8" ht="15.6">
      <c r="D424" s="93"/>
      <c r="E424" s="93"/>
      <c r="F424" s="93"/>
      <c r="G424" s="93"/>
      <c r="H424" s="93"/>
    </row>
    <row r="425" spans="4:8" ht="15.6">
      <c r="D425" s="93"/>
      <c r="E425" s="93"/>
      <c r="F425" s="93"/>
      <c r="G425" s="93"/>
      <c r="H425" s="93"/>
    </row>
    <row r="426" spans="4:8" ht="15.6">
      <c r="D426" s="93"/>
      <c r="E426" s="93"/>
      <c r="F426" s="93"/>
      <c r="G426" s="93"/>
      <c r="H426" s="93"/>
    </row>
    <row r="427" spans="4:8" ht="15.6">
      <c r="D427" s="93"/>
      <c r="E427" s="93"/>
      <c r="F427" s="93"/>
      <c r="G427" s="93"/>
      <c r="H427" s="93"/>
    </row>
    <row r="428" spans="4:8" ht="15.6">
      <c r="D428" s="93"/>
      <c r="E428" s="93"/>
      <c r="F428" s="93"/>
      <c r="G428" s="93"/>
      <c r="H428" s="93"/>
    </row>
    <row r="429" spans="4:8" ht="15.6">
      <c r="D429" s="93"/>
      <c r="E429" s="93"/>
      <c r="F429" s="93"/>
      <c r="G429" s="93"/>
      <c r="H429" s="93"/>
    </row>
    <row r="430" spans="4:8" ht="15.6">
      <c r="D430" s="93"/>
      <c r="E430" s="93"/>
      <c r="F430" s="93"/>
      <c r="G430" s="93"/>
      <c r="H430" s="93"/>
    </row>
    <row r="431" spans="4:8" ht="15.6">
      <c r="D431" s="93"/>
      <c r="E431" s="93"/>
      <c r="F431" s="93"/>
      <c r="G431" s="93"/>
      <c r="H431" s="93"/>
    </row>
    <row r="432" spans="4:8" ht="15.6">
      <c r="D432" s="93"/>
      <c r="E432" s="93"/>
      <c r="F432" s="93"/>
      <c r="G432" s="93"/>
      <c r="H432" s="93"/>
    </row>
    <row r="433" spans="4:8" ht="15.6">
      <c r="D433" s="93"/>
      <c r="E433" s="93"/>
      <c r="F433" s="93"/>
      <c r="G433" s="93"/>
      <c r="H433" s="93"/>
    </row>
    <row r="434" spans="4:8" ht="15.6">
      <c r="D434" s="93"/>
      <c r="E434" s="93"/>
      <c r="F434" s="93"/>
      <c r="G434" s="93"/>
      <c r="H434" s="93"/>
    </row>
    <row r="435" spans="4:8" ht="15.6">
      <c r="D435" s="93"/>
      <c r="E435" s="93"/>
      <c r="F435" s="93"/>
      <c r="G435" s="93"/>
      <c r="H435" s="93"/>
    </row>
    <row r="436" spans="4:8" ht="15.6">
      <c r="D436" s="93"/>
      <c r="E436" s="93"/>
      <c r="F436" s="93"/>
      <c r="G436" s="93"/>
      <c r="H436" s="93"/>
    </row>
    <row r="437" spans="4:8" ht="15.6">
      <c r="D437" s="93"/>
      <c r="E437" s="93"/>
      <c r="F437" s="93"/>
      <c r="G437" s="93"/>
      <c r="H437" s="93"/>
    </row>
    <row r="438" spans="4:8" ht="15.6">
      <c r="D438" s="93"/>
      <c r="E438" s="93"/>
      <c r="F438" s="93"/>
      <c r="G438" s="93"/>
      <c r="H438" s="93"/>
    </row>
    <row r="439" spans="4:8" ht="15.6">
      <c r="D439" s="93"/>
      <c r="E439" s="93"/>
      <c r="F439" s="93"/>
      <c r="G439" s="93"/>
      <c r="H439" s="93"/>
    </row>
    <row r="440" spans="4:8" ht="15.6">
      <c r="D440" s="93"/>
      <c r="E440" s="93"/>
      <c r="F440" s="93"/>
      <c r="G440" s="93"/>
      <c r="H440" s="93"/>
    </row>
    <row r="441" spans="4:8" ht="15.6">
      <c r="D441" s="93"/>
      <c r="E441" s="93"/>
      <c r="F441" s="93"/>
      <c r="G441" s="93"/>
      <c r="H441" s="93"/>
    </row>
    <row r="442" spans="4:8" ht="15.6">
      <c r="D442" s="93"/>
      <c r="E442" s="93"/>
      <c r="F442" s="93"/>
      <c r="G442" s="93"/>
      <c r="H442" s="93"/>
    </row>
    <row r="443" spans="4:8" ht="15.6">
      <c r="D443" s="93"/>
      <c r="E443" s="93"/>
      <c r="F443" s="93"/>
      <c r="G443" s="93"/>
      <c r="H443" s="93"/>
    </row>
    <row r="444" spans="4:8" ht="15.6">
      <c r="D444" s="93"/>
      <c r="E444" s="93"/>
      <c r="F444" s="93"/>
      <c r="G444" s="93"/>
      <c r="H444" s="93"/>
    </row>
    <row r="445" spans="4:8" ht="15.6">
      <c r="D445" s="93"/>
      <c r="E445" s="93"/>
      <c r="F445" s="93"/>
      <c r="G445" s="93"/>
      <c r="H445" s="93"/>
    </row>
    <row r="446" spans="4:8" ht="15.6">
      <c r="D446" s="93"/>
      <c r="E446" s="93"/>
      <c r="F446" s="93"/>
      <c r="G446" s="93"/>
      <c r="H446" s="93"/>
    </row>
    <row r="447" spans="4:8" ht="15.6">
      <c r="D447" s="93"/>
      <c r="E447" s="93"/>
      <c r="F447" s="93"/>
      <c r="G447" s="93"/>
      <c r="H447" s="93"/>
    </row>
    <row r="448" spans="4:8" ht="15.6">
      <c r="D448" s="93"/>
      <c r="E448" s="93"/>
      <c r="F448" s="93"/>
      <c r="G448" s="93"/>
      <c r="H448" s="93"/>
    </row>
    <row r="449" spans="4:8" ht="15.6">
      <c r="D449" s="93"/>
      <c r="E449" s="93"/>
      <c r="F449" s="93"/>
      <c r="G449" s="93"/>
      <c r="H449" s="93"/>
    </row>
    <row r="450" spans="4:8" ht="15.6">
      <c r="D450" s="93"/>
      <c r="E450" s="93"/>
      <c r="F450" s="93"/>
      <c r="G450" s="93"/>
      <c r="H450" s="93"/>
    </row>
    <row r="451" spans="4:8" ht="15.6">
      <c r="D451" s="93"/>
      <c r="E451" s="93"/>
      <c r="F451" s="93"/>
      <c r="G451" s="93"/>
      <c r="H451" s="93"/>
    </row>
    <row r="452" spans="4:8" ht="15.6">
      <c r="D452" s="93"/>
      <c r="E452" s="93"/>
      <c r="F452" s="93"/>
      <c r="G452" s="93"/>
      <c r="H452" s="93"/>
    </row>
    <row r="453" spans="4:8" ht="15.6">
      <c r="D453" s="93"/>
      <c r="E453" s="93"/>
      <c r="F453" s="93"/>
      <c r="G453" s="93"/>
      <c r="H453" s="93"/>
    </row>
    <row r="454" spans="4:8" ht="15.6">
      <c r="D454" s="93"/>
      <c r="E454" s="93"/>
      <c r="F454" s="93"/>
      <c r="G454" s="93"/>
      <c r="H454" s="93"/>
    </row>
    <row r="455" spans="4:8" ht="15.6">
      <c r="D455" s="93"/>
      <c r="E455" s="93"/>
      <c r="F455" s="93"/>
      <c r="G455" s="93"/>
      <c r="H455" s="93"/>
    </row>
    <row r="456" spans="4:8" ht="15.6">
      <c r="D456" s="93"/>
      <c r="E456" s="93"/>
      <c r="F456" s="93"/>
      <c r="G456" s="93"/>
      <c r="H456" s="93"/>
    </row>
    <row r="457" spans="4:8" ht="15.6">
      <c r="D457" s="93"/>
      <c r="E457" s="93"/>
      <c r="F457" s="93"/>
      <c r="G457" s="93"/>
      <c r="H457" s="93"/>
    </row>
    <row r="458" spans="4:8" ht="15.6">
      <c r="D458" s="93"/>
      <c r="E458" s="93"/>
      <c r="F458" s="93"/>
      <c r="G458" s="93"/>
      <c r="H458" s="93"/>
    </row>
    <row r="459" spans="4:8" ht="15.6">
      <c r="D459" s="93"/>
      <c r="E459" s="93"/>
      <c r="F459" s="93"/>
      <c r="G459" s="93"/>
      <c r="H459" s="93"/>
    </row>
    <row r="460" spans="4:8" ht="15.6">
      <c r="D460" s="93"/>
      <c r="E460" s="93"/>
      <c r="F460" s="93"/>
      <c r="G460" s="93"/>
      <c r="H460" s="93"/>
    </row>
    <row r="461" spans="4:8" ht="15.6">
      <c r="D461" s="93"/>
      <c r="E461" s="93"/>
      <c r="F461" s="93"/>
      <c r="G461" s="93"/>
      <c r="H461" s="93"/>
    </row>
    <row r="462" spans="4:8" ht="15.6">
      <c r="D462" s="93"/>
      <c r="E462" s="93"/>
      <c r="F462" s="93"/>
      <c r="G462" s="93"/>
      <c r="H462" s="93"/>
    </row>
    <row r="463" spans="4:8" ht="15.6">
      <c r="D463" s="93"/>
      <c r="E463" s="93"/>
      <c r="F463" s="93"/>
      <c r="G463" s="93"/>
      <c r="H463" s="93"/>
    </row>
    <row r="464" spans="4:8" ht="15.6">
      <c r="D464" s="93"/>
      <c r="E464" s="93"/>
      <c r="F464" s="93"/>
      <c r="G464" s="93"/>
      <c r="H464" s="93"/>
    </row>
    <row r="465" spans="4:8" ht="15.6">
      <c r="D465" s="93"/>
      <c r="E465" s="93"/>
      <c r="F465" s="93"/>
      <c r="G465" s="93"/>
      <c r="H465" s="93"/>
    </row>
    <row r="466" spans="4:8" ht="15.6">
      <c r="D466" s="93"/>
      <c r="E466" s="93"/>
      <c r="F466" s="93"/>
      <c r="G466" s="93"/>
      <c r="H466" s="93"/>
    </row>
    <row r="467" spans="4:8" ht="15.6">
      <c r="D467" s="93"/>
      <c r="E467" s="93"/>
      <c r="F467" s="93"/>
      <c r="G467" s="93"/>
      <c r="H467" s="93"/>
    </row>
    <row r="468" spans="4:8" ht="15.6">
      <c r="D468" s="93"/>
      <c r="E468" s="93"/>
      <c r="F468" s="93"/>
      <c r="G468" s="93"/>
      <c r="H468" s="93"/>
    </row>
    <row r="469" spans="4:8" ht="15.6">
      <c r="D469" s="93"/>
      <c r="E469" s="93"/>
      <c r="F469" s="93"/>
      <c r="G469" s="93"/>
      <c r="H469" s="93"/>
    </row>
    <row r="470" spans="4:8" ht="15.6">
      <c r="D470" s="93"/>
      <c r="E470" s="93"/>
      <c r="F470" s="93"/>
      <c r="G470" s="93"/>
      <c r="H470" s="93"/>
    </row>
    <row r="471" spans="4:8" ht="15.6">
      <c r="D471" s="93"/>
      <c r="E471" s="93"/>
      <c r="F471" s="93"/>
      <c r="G471" s="93"/>
      <c r="H471" s="93"/>
    </row>
    <row r="472" spans="4:8" ht="15.6">
      <c r="D472" s="93"/>
      <c r="E472" s="93"/>
      <c r="F472" s="93"/>
      <c r="G472" s="93"/>
      <c r="H472" s="93"/>
    </row>
    <row r="473" spans="4:8" ht="15.6">
      <c r="D473" s="93"/>
      <c r="E473" s="93"/>
      <c r="F473" s="93"/>
      <c r="G473" s="93"/>
      <c r="H473" s="93"/>
    </row>
    <row r="474" spans="4:8" ht="15.6">
      <c r="D474" s="93"/>
      <c r="E474" s="93"/>
      <c r="F474" s="93"/>
      <c r="G474" s="93"/>
      <c r="H474" s="93"/>
    </row>
    <row r="475" spans="4:8" ht="15.6">
      <c r="D475" s="93"/>
      <c r="E475" s="93"/>
      <c r="F475" s="93"/>
      <c r="G475" s="93"/>
      <c r="H475" s="93"/>
    </row>
    <row r="476" spans="4:8" ht="15.6">
      <c r="D476" s="93"/>
      <c r="E476" s="93"/>
      <c r="F476" s="93"/>
      <c r="G476" s="93"/>
      <c r="H476" s="93"/>
    </row>
    <row r="477" spans="4:8" ht="15.6">
      <c r="D477" s="93"/>
      <c r="E477" s="93"/>
      <c r="F477" s="93"/>
      <c r="G477" s="93"/>
      <c r="H477" s="93"/>
    </row>
    <row r="478" spans="4:8" ht="15.6">
      <c r="D478" s="93"/>
      <c r="E478" s="93"/>
      <c r="F478" s="93"/>
      <c r="G478" s="93"/>
      <c r="H478" s="93"/>
    </row>
    <row r="479" spans="4:8" ht="15.6">
      <c r="D479" s="93"/>
      <c r="E479" s="93"/>
      <c r="F479" s="93"/>
      <c r="G479" s="93"/>
      <c r="H479" s="93"/>
    </row>
    <row r="480" spans="4:8" ht="15.6">
      <c r="D480" s="93"/>
      <c r="E480" s="93"/>
      <c r="F480" s="93"/>
      <c r="G480" s="93"/>
      <c r="H480" s="93"/>
    </row>
    <row r="481" spans="4:8" ht="15.6">
      <c r="D481" s="93"/>
      <c r="E481" s="93"/>
      <c r="F481" s="93"/>
      <c r="G481" s="93"/>
      <c r="H481" s="93"/>
    </row>
    <row r="482" spans="4:8" ht="15.6">
      <c r="D482" s="93"/>
      <c r="E482" s="93"/>
      <c r="F482" s="93"/>
      <c r="G482" s="93"/>
      <c r="H482" s="93"/>
    </row>
    <row r="483" spans="4:8" ht="15.6">
      <c r="D483" s="93"/>
      <c r="E483" s="93"/>
      <c r="F483" s="93"/>
      <c r="G483" s="93"/>
      <c r="H483" s="93"/>
    </row>
    <row r="484" spans="4:8" ht="15.6">
      <c r="D484" s="93"/>
      <c r="E484" s="93"/>
      <c r="F484" s="93"/>
      <c r="G484" s="93"/>
      <c r="H484" s="93"/>
    </row>
    <row r="485" spans="4:8" ht="15.6">
      <c r="D485" s="93"/>
      <c r="E485" s="93"/>
      <c r="F485" s="93"/>
      <c r="G485" s="93"/>
      <c r="H485" s="93"/>
    </row>
    <row r="486" spans="4:8" ht="15.6">
      <c r="D486" s="93"/>
      <c r="E486" s="93"/>
      <c r="F486" s="93"/>
      <c r="G486" s="93"/>
      <c r="H486" s="93"/>
    </row>
    <row r="487" spans="4:8" ht="15.6">
      <c r="D487" s="93"/>
      <c r="E487" s="93"/>
      <c r="F487" s="93"/>
      <c r="G487" s="93"/>
      <c r="H487" s="93"/>
    </row>
    <row r="488" spans="4:8" ht="15.6">
      <c r="D488" s="93"/>
      <c r="E488" s="93"/>
      <c r="F488" s="93"/>
      <c r="G488" s="93"/>
      <c r="H488" s="93"/>
    </row>
    <row r="489" spans="4:8" ht="15.6">
      <c r="D489" s="93"/>
      <c r="E489" s="93"/>
      <c r="F489" s="93"/>
      <c r="G489" s="93"/>
      <c r="H489" s="93"/>
    </row>
    <row r="490" spans="4:8" ht="15.6">
      <c r="D490" s="93"/>
      <c r="E490" s="93"/>
      <c r="F490" s="93"/>
      <c r="G490" s="93"/>
      <c r="H490" s="93"/>
    </row>
    <row r="491" spans="4:8" ht="15.6">
      <c r="D491" s="93"/>
      <c r="E491" s="93"/>
      <c r="F491" s="93"/>
      <c r="G491" s="93"/>
      <c r="H491" s="93"/>
    </row>
    <row r="492" spans="4:8" ht="15.6">
      <c r="D492" s="93"/>
      <c r="E492" s="93"/>
      <c r="F492" s="93"/>
      <c r="G492" s="93"/>
      <c r="H492" s="93"/>
    </row>
    <row r="493" spans="4:8" ht="15.6">
      <c r="D493" s="93"/>
      <c r="E493" s="93"/>
      <c r="F493" s="93"/>
      <c r="G493" s="93"/>
      <c r="H493" s="93"/>
    </row>
    <row r="494" spans="4:8" ht="15.6">
      <c r="D494" s="93"/>
      <c r="E494" s="93"/>
      <c r="F494" s="93"/>
      <c r="G494" s="93"/>
      <c r="H494" s="93"/>
    </row>
    <row r="495" spans="4:8" ht="15.6">
      <c r="D495" s="93"/>
      <c r="E495" s="93"/>
      <c r="F495" s="93"/>
      <c r="G495" s="93"/>
      <c r="H495" s="93"/>
    </row>
    <row r="496" spans="4:8" ht="15.6">
      <c r="D496" s="93"/>
      <c r="E496" s="93"/>
      <c r="F496" s="93"/>
      <c r="G496" s="93"/>
      <c r="H496" s="93"/>
    </row>
    <row r="497" spans="4:8" ht="15.6">
      <c r="D497" s="93"/>
      <c r="E497" s="93"/>
      <c r="F497" s="93"/>
      <c r="G497" s="93"/>
      <c r="H497" s="93"/>
    </row>
    <row r="498" spans="4:8" ht="15.6">
      <c r="D498" s="93"/>
      <c r="E498" s="93"/>
      <c r="F498" s="93"/>
      <c r="G498" s="93"/>
      <c r="H498" s="93"/>
    </row>
    <row r="499" spans="4:8" ht="15.6">
      <c r="D499" s="93"/>
      <c r="E499" s="93"/>
      <c r="F499" s="93"/>
      <c r="G499" s="93"/>
      <c r="H499" s="93"/>
    </row>
    <row r="500" spans="4:8" ht="15.6">
      <c r="D500" s="93"/>
      <c r="E500" s="93"/>
      <c r="F500" s="93"/>
      <c r="G500" s="93"/>
      <c r="H500" s="93"/>
    </row>
    <row r="501" spans="4:8" ht="15.6">
      <c r="D501" s="93"/>
      <c r="E501" s="93"/>
      <c r="F501" s="93"/>
      <c r="G501" s="93"/>
      <c r="H501" s="93"/>
    </row>
    <row r="502" spans="4:8" ht="15.6">
      <c r="D502" s="93"/>
      <c r="E502" s="93"/>
      <c r="F502" s="93"/>
      <c r="G502" s="93"/>
      <c r="H502" s="93"/>
    </row>
    <row r="503" spans="4:8" ht="15.6">
      <c r="D503" s="93"/>
      <c r="E503" s="93"/>
      <c r="F503" s="93"/>
      <c r="G503" s="93"/>
      <c r="H503" s="93"/>
    </row>
    <row r="504" spans="4:8" ht="15.6">
      <c r="D504" s="93"/>
      <c r="E504" s="93"/>
      <c r="F504" s="93"/>
      <c r="G504" s="93"/>
      <c r="H504" s="93"/>
    </row>
    <row r="505" spans="4:8" ht="15.6">
      <c r="D505" s="93"/>
      <c r="E505" s="93"/>
      <c r="F505" s="93"/>
      <c r="G505" s="93"/>
      <c r="H505" s="93"/>
    </row>
    <row r="506" spans="4:8" ht="15.6">
      <c r="D506" s="93"/>
      <c r="E506" s="93"/>
      <c r="F506" s="93"/>
      <c r="G506" s="93"/>
      <c r="H506" s="93"/>
    </row>
    <row r="507" spans="4:8" ht="15.6">
      <c r="D507" s="93"/>
      <c r="E507" s="93"/>
      <c r="F507" s="93"/>
      <c r="G507" s="93"/>
      <c r="H507" s="93"/>
    </row>
    <row r="508" spans="4:8" ht="15.6">
      <c r="D508" s="93"/>
      <c r="E508" s="93"/>
      <c r="F508" s="93"/>
      <c r="G508" s="93"/>
      <c r="H508" s="93"/>
    </row>
    <row r="509" spans="4:8" ht="15.6">
      <c r="D509" s="93"/>
      <c r="E509" s="93"/>
      <c r="F509" s="93"/>
      <c r="G509" s="93"/>
      <c r="H509" s="93"/>
    </row>
    <row r="510" spans="4:8" ht="15.6">
      <c r="D510" s="93"/>
      <c r="E510" s="93"/>
      <c r="F510" s="93"/>
      <c r="G510" s="93"/>
      <c r="H510" s="93"/>
    </row>
    <row r="511" spans="4:8" ht="15.6">
      <c r="D511" s="93"/>
      <c r="E511" s="93"/>
      <c r="F511" s="93"/>
      <c r="G511" s="93"/>
      <c r="H511" s="93"/>
    </row>
    <row r="512" spans="4:8" ht="15.6">
      <c r="D512" s="93"/>
      <c r="E512" s="93"/>
      <c r="F512" s="93"/>
      <c r="G512" s="93"/>
      <c r="H512" s="93"/>
    </row>
    <row r="513" spans="4:8" ht="15.6">
      <c r="D513" s="93"/>
      <c r="E513" s="93"/>
      <c r="F513" s="93"/>
      <c r="G513" s="93"/>
      <c r="H513" s="93"/>
    </row>
    <row r="514" spans="4:8" ht="15.6">
      <c r="D514" s="93"/>
      <c r="E514" s="93"/>
      <c r="F514" s="93"/>
      <c r="G514" s="93"/>
      <c r="H514" s="93"/>
    </row>
    <row r="515" spans="4:8" ht="15.6">
      <c r="D515" s="93"/>
      <c r="E515" s="93"/>
      <c r="F515" s="93"/>
      <c r="G515" s="93"/>
      <c r="H515" s="93"/>
    </row>
    <row r="516" spans="4:8" ht="15.6">
      <c r="D516" s="93"/>
      <c r="E516" s="93"/>
      <c r="F516" s="93"/>
      <c r="G516" s="93"/>
      <c r="H516" s="93"/>
    </row>
    <row r="517" spans="4:8" ht="15.6">
      <c r="D517" s="93"/>
      <c r="E517" s="93"/>
      <c r="F517" s="93"/>
      <c r="G517" s="93"/>
      <c r="H517" s="93"/>
    </row>
    <row r="518" spans="4:8" ht="15.6">
      <c r="D518" s="93"/>
      <c r="E518" s="93"/>
      <c r="F518" s="93"/>
      <c r="G518" s="93"/>
      <c r="H518" s="93"/>
    </row>
    <row r="519" spans="4:8" ht="15.6">
      <c r="D519" s="93"/>
      <c r="E519" s="93"/>
      <c r="F519" s="93"/>
      <c r="G519" s="93"/>
      <c r="H519" s="93"/>
    </row>
    <row r="520" spans="4:8" ht="15.6">
      <c r="D520" s="93"/>
      <c r="E520" s="93"/>
      <c r="F520" s="93"/>
      <c r="G520" s="93"/>
      <c r="H520" s="93"/>
    </row>
    <row r="521" spans="4:8" ht="15.6">
      <c r="D521" s="93"/>
      <c r="E521" s="93"/>
      <c r="F521" s="93"/>
      <c r="G521" s="93"/>
      <c r="H521" s="93"/>
    </row>
    <row r="522" spans="4:8" ht="15.6">
      <c r="D522" s="93"/>
      <c r="E522" s="93"/>
      <c r="F522" s="93"/>
      <c r="G522" s="93"/>
      <c r="H522" s="93"/>
    </row>
    <row r="523" spans="4:8" ht="15.6">
      <c r="D523" s="93"/>
      <c r="E523" s="93"/>
      <c r="F523" s="93"/>
      <c r="G523" s="93"/>
      <c r="H523" s="93"/>
    </row>
    <row r="524" spans="4:8" ht="15.6">
      <c r="D524" s="93"/>
      <c r="E524" s="93"/>
      <c r="F524" s="93"/>
      <c r="G524" s="93"/>
      <c r="H524" s="93"/>
    </row>
    <row r="525" spans="4:8" ht="15.6">
      <c r="D525" s="93"/>
      <c r="E525" s="93"/>
      <c r="F525" s="93"/>
      <c r="G525" s="93"/>
      <c r="H525" s="93"/>
    </row>
    <row r="526" spans="4:8" ht="15.6">
      <c r="D526" s="93"/>
      <c r="E526" s="93"/>
      <c r="F526" s="93"/>
      <c r="G526" s="93"/>
      <c r="H526" s="93"/>
    </row>
    <row r="527" spans="4:8" ht="15.6">
      <c r="D527" s="93"/>
      <c r="E527" s="93"/>
      <c r="F527" s="93"/>
      <c r="G527" s="93"/>
      <c r="H527" s="93"/>
    </row>
    <row r="528" spans="4:8" ht="15.6">
      <c r="D528" s="93"/>
      <c r="E528" s="93"/>
      <c r="F528" s="93"/>
      <c r="G528" s="93"/>
      <c r="H528" s="93"/>
    </row>
    <row r="529" spans="4:8" ht="15.6">
      <c r="D529" s="93"/>
      <c r="E529" s="93"/>
      <c r="F529" s="93"/>
      <c r="G529" s="93"/>
      <c r="H529" s="93"/>
    </row>
    <row r="530" spans="4:8" ht="15.6">
      <c r="D530" s="93"/>
      <c r="E530" s="93"/>
      <c r="F530" s="93"/>
      <c r="G530" s="93"/>
      <c r="H530" s="93"/>
    </row>
    <row r="531" spans="4:8" ht="15.6">
      <c r="D531" s="93"/>
      <c r="E531" s="93"/>
      <c r="F531" s="93"/>
      <c r="G531" s="93"/>
      <c r="H531" s="93"/>
    </row>
    <row r="532" spans="4:8" ht="15.6">
      <c r="D532" s="93"/>
      <c r="E532" s="93"/>
      <c r="F532" s="93"/>
      <c r="G532" s="93"/>
      <c r="H532" s="93"/>
    </row>
    <row r="533" spans="4:8" ht="15.6">
      <c r="D533" s="93"/>
      <c r="E533" s="93"/>
      <c r="F533" s="93"/>
      <c r="G533" s="93"/>
      <c r="H533" s="93"/>
    </row>
    <row r="534" spans="4:8" ht="15.6">
      <c r="D534" s="93"/>
      <c r="E534" s="93"/>
      <c r="F534" s="93"/>
      <c r="G534" s="93"/>
      <c r="H534" s="93"/>
    </row>
    <row r="535" spans="4:8" ht="15.6">
      <c r="D535" s="93"/>
      <c r="E535" s="93"/>
      <c r="F535" s="93"/>
      <c r="G535" s="93"/>
      <c r="H535" s="93"/>
    </row>
    <row r="536" spans="4:8" ht="15.6">
      <c r="D536" s="93"/>
      <c r="E536" s="93"/>
      <c r="F536" s="93"/>
      <c r="G536" s="93"/>
      <c r="H536" s="93"/>
    </row>
    <row r="537" spans="4:8" ht="15.6">
      <c r="D537" s="93"/>
      <c r="E537" s="93"/>
      <c r="F537" s="93"/>
      <c r="G537" s="93"/>
      <c r="H537" s="93"/>
    </row>
    <row r="538" spans="4:8" ht="15.6">
      <c r="D538" s="93"/>
      <c r="E538" s="93"/>
      <c r="F538" s="93"/>
      <c r="G538" s="93"/>
      <c r="H538" s="93"/>
    </row>
    <row r="539" spans="4:8" ht="15.6">
      <c r="D539" s="93"/>
      <c r="E539" s="93"/>
      <c r="F539" s="93"/>
      <c r="G539" s="93"/>
      <c r="H539" s="93"/>
    </row>
    <row r="540" spans="4:8" ht="15.6">
      <c r="D540" s="93"/>
      <c r="E540" s="93"/>
      <c r="F540" s="93"/>
      <c r="G540" s="93"/>
      <c r="H540" s="93"/>
    </row>
    <row r="541" spans="4:8" ht="15.6">
      <c r="D541" s="93"/>
      <c r="E541" s="93"/>
      <c r="F541" s="93"/>
      <c r="G541" s="93"/>
      <c r="H541" s="93"/>
    </row>
    <row r="542" spans="4:8" ht="15.6">
      <c r="D542" s="93"/>
      <c r="E542" s="93"/>
      <c r="F542" s="93"/>
      <c r="G542" s="93"/>
      <c r="H542" s="93"/>
    </row>
    <row r="543" spans="4:8" ht="15.6">
      <c r="D543" s="93"/>
      <c r="E543" s="93"/>
      <c r="F543" s="93"/>
      <c r="G543" s="93"/>
      <c r="H543" s="93"/>
    </row>
    <row r="544" spans="4:8" ht="15.6">
      <c r="D544" s="93"/>
      <c r="E544" s="93"/>
      <c r="F544" s="93"/>
      <c r="G544" s="93"/>
      <c r="H544" s="93"/>
    </row>
    <row r="545" spans="4:8" ht="15.6">
      <c r="D545" s="93"/>
      <c r="E545" s="93"/>
      <c r="F545" s="93"/>
      <c r="G545" s="93"/>
      <c r="H545" s="93"/>
    </row>
    <row r="546" spans="4:8" ht="15.6">
      <c r="D546" s="93"/>
      <c r="E546" s="93"/>
      <c r="F546" s="93"/>
      <c r="G546" s="93"/>
      <c r="H546" s="93"/>
    </row>
    <row r="547" spans="4:8" ht="15.6">
      <c r="D547" s="93"/>
      <c r="E547" s="93"/>
      <c r="F547" s="93"/>
      <c r="G547" s="93"/>
      <c r="H547" s="93"/>
    </row>
    <row r="548" spans="4:8" ht="15.6">
      <c r="D548" s="93"/>
      <c r="E548" s="93"/>
      <c r="F548" s="93"/>
      <c r="G548" s="93"/>
      <c r="H548" s="93"/>
    </row>
    <row r="549" spans="4:8" ht="15.6">
      <c r="D549" s="93"/>
      <c r="E549" s="93"/>
      <c r="F549" s="93"/>
      <c r="G549" s="93"/>
      <c r="H549" s="93"/>
    </row>
    <row r="550" spans="4:8" ht="15.6">
      <c r="D550" s="93"/>
      <c r="E550" s="93"/>
      <c r="F550" s="93"/>
      <c r="G550" s="93"/>
      <c r="H550" s="93"/>
    </row>
    <row r="551" spans="4:8" ht="15.6">
      <c r="D551" s="93"/>
      <c r="E551" s="93"/>
      <c r="F551" s="93"/>
      <c r="G551" s="93"/>
      <c r="H551" s="93"/>
    </row>
    <row r="552" spans="4:8" ht="15.6">
      <c r="D552" s="93"/>
      <c r="E552" s="93"/>
      <c r="F552" s="93"/>
      <c r="G552" s="93"/>
      <c r="H552" s="93"/>
    </row>
    <row r="553" spans="4:8" ht="15.6">
      <c r="D553" s="93"/>
      <c r="E553" s="93"/>
      <c r="F553" s="93"/>
      <c r="G553" s="93"/>
      <c r="H553" s="93"/>
    </row>
    <row r="554" spans="4:8" ht="15.6">
      <c r="D554" s="93"/>
      <c r="E554" s="93"/>
      <c r="F554" s="93"/>
      <c r="G554" s="93"/>
      <c r="H554" s="93"/>
    </row>
    <row r="555" spans="4:8" ht="15.6">
      <c r="D555" s="93"/>
      <c r="E555" s="93"/>
      <c r="F555" s="93"/>
      <c r="G555" s="93"/>
      <c r="H555" s="93"/>
    </row>
    <row r="556" spans="4:8" ht="15.6">
      <c r="D556" s="93"/>
      <c r="E556" s="93"/>
      <c r="F556" s="93"/>
      <c r="G556" s="93"/>
      <c r="H556" s="93"/>
    </row>
    <row r="557" spans="4:8" ht="15.6">
      <c r="D557" s="93"/>
      <c r="E557" s="93"/>
      <c r="F557" s="93"/>
      <c r="G557" s="93"/>
      <c r="H557" s="93"/>
    </row>
    <row r="558" spans="4:8" ht="15.6">
      <c r="D558" s="93"/>
      <c r="E558" s="93"/>
      <c r="F558" s="93"/>
      <c r="G558" s="93"/>
      <c r="H558" s="93"/>
    </row>
    <row r="559" spans="4:8" ht="15.6">
      <c r="D559" s="93"/>
      <c r="E559" s="93"/>
      <c r="F559" s="93"/>
      <c r="G559" s="93"/>
      <c r="H559" s="93"/>
    </row>
    <row r="560" spans="4:8" ht="15.6">
      <c r="D560" s="93"/>
      <c r="E560" s="93"/>
      <c r="F560" s="93"/>
      <c r="G560" s="93"/>
      <c r="H560" s="93"/>
    </row>
    <row r="561" spans="4:8" ht="15.6">
      <c r="D561" s="93"/>
      <c r="E561" s="93"/>
      <c r="F561" s="93"/>
      <c r="G561" s="93"/>
      <c r="H561" s="93"/>
    </row>
    <row r="562" spans="4:8" ht="15.6">
      <c r="D562" s="93"/>
      <c r="E562" s="93"/>
      <c r="F562" s="93"/>
      <c r="G562" s="93"/>
      <c r="H562" s="93"/>
    </row>
    <row r="563" spans="4:8" ht="15.6">
      <c r="D563" s="93"/>
      <c r="E563" s="93"/>
      <c r="F563" s="93"/>
      <c r="G563" s="93"/>
      <c r="H563" s="93"/>
    </row>
    <row r="564" spans="4:8" ht="15.6">
      <c r="D564" s="93"/>
      <c r="E564" s="93"/>
      <c r="F564" s="93"/>
      <c r="G564" s="93"/>
      <c r="H564" s="93"/>
    </row>
    <row r="565" spans="4:8" ht="15.6">
      <c r="D565" s="93"/>
      <c r="E565" s="93"/>
      <c r="F565" s="93"/>
      <c r="G565" s="93"/>
      <c r="H565" s="93"/>
    </row>
    <row r="566" spans="4:8" ht="15.6">
      <c r="D566" s="93"/>
      <c r="E566" s="93"/>
      <c r="F566" s="93"/>
      <c r="G566" s="93"/>
      <c r="H566" s="93"/>
    </row>
    <row r="567" spans="4:8" ht="15.6">
      <c r="D567" s="93"/>
      <c r="E567" s="93"/>
      <c r="F567" s="93"/>
      <c r="G567" s="93"/>
      <c r="H567" s="93"/>
    </row>
    <row r="568" spans="4:8" ht="15.6">
      <c r="D568" s="93"/>
      <c r="E568" s="93"/>
      <c r="F568" s="93"/>
      <c r="G568" s="93"/>
      <c r="H568" s="93"/>
    </row>
    <row r="569" spans="4:8" ht="15.6">
      <c r="D569" s="93"/>
      <c r="E569" s="93"/>
      <c r="F569" s="93"/>
      <c r="G569" s="93"/>
      <c r="H569" s="93"/>
    </row>
    <row r="570" spans="4:8" ht="15.6">
      <c r="D570" s="93"/>
      <c r="E570" s="93"/>
      <c r="F570" s="93"/>
      <c r="G570" s="93"/>
      <c r="H570" s="93"/>
    </row>
    <row r="571" spans="4:8" ht="15.6">
      <c r="D571" s="93"/>
      <c r="E571" s="93"/>
      <c r="F571" s="93"/>
      <c r="G571" s="93"/>
      <c r="H571" s="93"/>
    </row>
    <row r="572" spans="4:8" ht="15.6">
      <c r="D572" s="93"/>
      <c r="E572" s="93"/>
      <c r="F572" s="93"/>
      <c r="G572" s="93"/>
      <c r="H572" s="93"/>
    </row>
    <row r="573" spans="4:8" ht="15.6">
      <c r="D573" s="93"/>
      <c r="E573" s="93"/>
      <c r="F573" s="93"/>
      <c r="G573" s="93"/>
      <c r="H573" s="93"/>
    </row>
    <row r="574" spans="4:8" ht="15.6">
      <c r="D574" s="93"/>
      <c r="E574" s="93"/>
      <c r="F574" s="93"/>
      <c r="G574" s="93"/>
      <c r="H574" s="93"/>
    </row>
    <row r="575" spans="4:8" ht="15.6">
      <c r="D575" s="93"/>
      <c r="E575" s="93"/>
      <c r="F575" s="93"/>
      <c r="G575" s="93"/>
      <c r="H575" s="93"/>
    </row>
    <row r="576" spans="4:8" ht="15.6">
      <c r="D576" s="93"/>
      <c r="E576" s="93"/>
      <c r="F576" s="93"/>
      <c r="G576" s="93"/>
      <c r="H576" s="93"/>
    </row>
    <row r="577" spans="4:8" ht="15.6">
      <c r="D577" s="93"/>
      <c r="E577" s="93"/>
      <c r="F577" s="93"/>
      <c r="G577" s="93"/>
      <c r="H577" s="93"/>
    </row>
    <row r="578" spans="4:8" ht="15.6">
      <c r="D578" s="93"/>
      <c r="E578" s="93"/>
      <c r="F578" s="93"/>
      <c r="G578" s="93"/>
      <c r="H578" s="93"/>
    </row>
    <row r="579" spans="4:8" ht="15.6">
      <c r="D579" s="93"/>
      <c r="E579" s="93"/>
      <c r="F579" s="93"/>
      <c r="G579" s="93"/>
      <c r="H579" s="93"/>
    </row>
    <row r="580" spans="4:8" ht="15.6">
      <c r="D580" s="93"/>
      <c r="E580" s="93"/>
      <c r="F580" s="93"/>
      <c r="G580" s="93"/>
      <c r="H580" s="93"/>
    </row>
    <row r="581" spans="4:8" ht="15.6">
      <c r="D581" s="93"/>
      <c r="E581" s="93"/>
      <c r="F581" s="93"/>
      <c r="G581" s="93"/>
      <c r="H581" s="93"/>
    </row>
    <row r="582" spans="4:8" ht="15.6">
      <c r="D582" s="93"/>
      <c r="E582" s="93"/>
      <c r="F582" s="93"/>
      <c r="G582" s="93"/>
      <c r="H582" s="93"/>
    </row>
    <row r="583" spans="4:8" ht="15.6">
      <c r="D583" s="93"/>
      <c r="E583" s="93"/>
      <c r="F583" s="93"/>
      <c r="G583" s="93"/>
      <c r="H583" s="93"/>
    </row>
    <row r="584" spans="4:8" ht="15.6">
      <c r="D584" s="93"/>
      <c r="E584" s="93"/>
      <c r="F584" s="93"/>
      <c r="G584" s="93"/>
      <c r="H584" s="93"/>
    </row>
    <row r="585" spans="4:8" ht="15.6">
      <c r="D585" s="93"/>
      <c r="E585" s="93"/>
      <c r="F585" s="93"/>
      <c r="G585" s="93"/>
      <c r="H585" s="93"/>
    </row>
    <row r="586" spans="4:8" ht="15.6">
      <c r="D586" s="93"/>
      <c r="E586" s="93"/>
      <c r="F586" s="93"/>
      <c r="G586" s="93"/>
      <c r="H586" s="93"/>
    </row>
    <row r="587" spans="4:8" ht="15.6">
      <c r="D587" s="93"/>
      <c r="E587" s="93"/>
      <c r="F587" s="93"/>
      <c r="G587" s="93"/>
      <c r="H587" s="93"/>
    </row>
    <row r="588" spans="4:8" ht="15.6">
      <c r="D588" s="93"/>
      <c r="E588" s="93"/>
      <c r="F588" s="93"/>
      <c r="G588" s="93"/>
      <c r="H588" s="93"/>
    </row>
    <row r="589" spans="4:8" ht="15.6">
      <c r="D589" s="93"/>
      <c r="E589" s="93"/>
      <c r="F589" s="93"/>
      <c r="G589" s="93"/>
      <c r="H589" s="93"/>
    </row>
    <row r="590" spans="4:8" ht="15.6">
      <c r="D590" s="93"/>
      <c r="E590" s="93"/>
      <c r="F590" s="93"/>
      <c r="G590" s="93"/>
      <c r="H590" s="93"/>
    </row>
    <row r="591" spans="4:8" ht="15.6">
      <c r="D591" s="93"/>
      <c r="E591" s="93"/>
      <c r="F591" s="93"/>
      <c r="G591" s="93"/>
      <c r="H591" s="93"/>
    </row>
    <row r="592" spans="4:8" ht="15.6">
      <c r="D592" s="93"/>
      <c r="E592" s="93"/>
      <c r="F592" s="93"/>
      <c r="G592" s="93"/>
      <c r="H592" s="93"/>
    </row>
    <row r="593" spans="4:8" ht="15.6">
      <c r="D593" s="93"/>
      <c r="E593" s="93"/>
      <c r="F593" s="93"/>
      <c r="G593" s="93"/>
      <c r="H593" s="93"/>
    </row>
    <row r="594" spans="4:8" ht="15.6">
      <c r="D594" s="93"/>
      <c r="E594" s="93"/>
      <c r="F594" s="93"/>
      <c r="G594" s="93"/>
      <c r="H594" s="93"/>
    </row>
    <row r="595" spans="4:8" ht="15.6">
      <c r="D595" s="93"/>
      <c r="E595" s="93"/>
      <c r="F595" s="93"/>
      <c r="G595" s="93"/>
      <c r="H595" s="93"/>
    </row>
    <row r="596" spans="4:8" ht="15.6">
      <c r="D596" s="93"/>
      <c r="E596" s="93"/>
      <c r="F596" s="93"/>
      <c r="G596" s="93"/>
      <c r="H596" s="93"/>
    </row>
    <row r="597" spans="4:8" ht="15.6">
      <c r="D597" s="93"/>
      <c r="E597" s="93"/>
      <c r="F597" s="93"/>
      <c r="G597" s="93"/>
      <c r="H597" s="93"/>
    </row>
    <row r="598" spans="4:8" ht="15.6">
      <c r="D598" s="93"/>
      <c r="E598" s="93"/>
      <c r="F598" s="93"/>
      <c r="G598" s="93"/>
      <c r="H598" s="93"/>
    </row>
    <row r="599" spans="4:8" ht="15.6">
      <c r="D599" s="93"/>
      <c r="E599" s="93"/>
      <c r="F599" s="93"/>
      <c r="G599" s="93"/>
      <c r="H599" s="93"/>
    </row>
    <row r="600" spans="4:8" ht="15.6">
      <c r="D600" s="93"/>
      <c r="E600" s="93"/>
      <c r="F600" s="93"/>
      <c r="G600" s="93"/>
      <c r="H600" s="93"/>
    </row>
    <row r="601" spans="4:8" ht="15.6">
      <c r="D601" s="93"/>
      <c r="E601" s="93"/>
      <c r="F601" s="93"/>
      <c r="G601" s="93"/>
      <c r="H601" s="93"/>
    </row>
    <row r="602" spans="4:8" ht="15.6">
      <c r="D602" s="93"/>
      <c r="E602" s="93"/>
      <c r="F602" s="93"/>
      <c r="G602" s="93"/>
      <c r="H602" s="93"/>
    </row>
    <row r="603" spans="4:8" ht="15.6">
      <c r="D603" s="93"/>
      <c r="E603" s="93"/>
      <c r="F603" s="93"/>
      <c r="G603" s="93"/>
      <c r="H603" s="93"/>
    </row>
    <row r="604" spans="4:8" ht="15.6">
      <c r="D604" s="93"/>
      <c r="E604" s="93"/>
      <c r="F604" s="93"/>
      <c r="G604" s="93"/>
      <c r="H604" s="93"/>
    </row>
    <row r="605" spans="4:8" ht="15.6">
      <c r="D605" s="93"/>
      <c r="E605" s="93"/>
      <c r="F605" s="93"/>
      <c r="G605" s="93"/>
      <c r="H605" s="93"/>
    </row>
    <row r="606" spans="4:8" ht="15.6">
      <c r="D606" s="93"/>
      <c r="E606" s="93"/>
      <c r="F606" s="93"/>
      <c r="G606" s="93"/>
      <c r="H606" s="93"/>
    </row>
    <row r="607" spans="4:8" ht="15.6">
      <c r="D607" s="93"/>
      <c r="E607" s="93"/>
      <c r="F607" s="93"/>
      <c r="G607" s="93"/>
      <c r="H607" s="93"/>
    </row>
    <row r="608" spans="4:8" ht="15.6">
      <c r="D608" s="93"/>
      <c r="E608" s="93"/>
      <c r="F608" s="93"/>
      <c r="G608" s="93"/>
      <c r="H608" s="93"/>
    </row>
    <row r="609" spans="4:8" ht="15.6">
      <c r="D609" s="93"/>
      <c r="E609" s="93"/>
      <c r="F609" s="93"/>
      <c r="G609" s="93"/>
      <c r="H609" s="93"/>
    </row>
    <row r="610" spans="4:8" ht="15.6">
      <c r="D610" s="93"/>
      <c r="E610" s="93"/>
      <c r="F610" s="93"/>
      <c r="G610" s="93"/>
      <c r="H610" s="93"/>
    </row>
    <row r="611" spans="4:8" ht="15.6">
      <c r="D611" s="93"/>
      <c r="E611" s="93"/>
      <c r="F611" s="93"/>
      <c r="G611" s="93"/>
      <c r="H611" s="93"/>
    </row>
    <row r="612" spans="4:8" ht="15.6">
      <c r="D612" s="93"/>
      <c r="E612" s="93"/>
      <c r="F612" s="93"/>
      <c r="G612" s="93"/>
      <c r="H612" s="93"/>
    </row>
    <row r="613" spans="4:8" ht="15.6">
      <c r="D613" s="93"/>
      <c r="E613" s="93"/>
      <c r="F613" s="93"/>
      <c r="G613" s="93"/>
      <c r="H613" s="93"/>
    </row>
    <row r="614" spans="4:8" ht="15.6">
      <c r="D614" s="93"/>
      <c r="E614" s="93"/>
      <c r="F614" s="93"/>
      <c r="G614" s="93"/>
      <c r="H614" s="93"/>
    </row>
    <row r="615" spans="4:8" ht="15.6">
      <c r="D615" s="93"/>
      <c r="E615" s="93"/>
      <c r="F615" s="93"/>
      <c r="G615" s="93"/>
      <c r="H615" s="93"/>
    </row>
    <row r="616" spans="4:8" ht="15.6">
      <c r="D616" s="93"/>
      <c r="E616" s="93"/>
      <c r="F616" s="93"/>
      <c r="G616" s="93"/>
      <c r="H616" s="93"/>
    </row>
    <row r="617" spans="4:8" ht="15.6">
      <c r="D617" s="93"/>
      <c r="E617" s="93"/>
      <c r="F617" s="93"/>
      <c r="G617" s="93"/>
      <c r="H617" s="93"/>
    </row>
    <row r="618" spans="4:8" ht="15.6">
      <c r="D618" s="93"/>
      <c r="E618" s="93"/>
      <c r="F618" s="93"/>
      <c r="G618" s="93"/>
      <c r="H618" s="93"/>
    </row>
    <row r="619" spans="4:8" ht="15.6">
      <c r="D619" s="93"/>
      <c r="E619" s="93"/>
      <c r="F619" s="93"/>
      <c r="G619" s="93"/>
      <c r="H619" s="93"/>
    </row>
    <row r="620" spans="4:8" ht="15.6">
      <c r="D620" s="93"/>
      <c r="E620" s="93"/>
      <c r="F620" s="93"/>
      <c r="G620" s="93"/>
      <c r="H620" s="93"/>
    </row>
    <row r="621" spans="4:8" ht="15.6">
      <c r="D621" s="93"/>
      <c r="E621" s="93"/>
      <c r="F621" s="93"/>
      <c r="G621" s="93"/>
      <c r="H621" s="93"/>
    </row>
    <row r="622" spans="4:8" ht="15.6">
      <c r="D622" s="93"/>
      <c r="E622" s="93"/>
      <c r="F622" s="93"/>
      <c r="G622" s="93"/>
      <c r="H622" s="93"/>
    </row>
    <row r="623" spans="4:8" ht="15.6">
      <c r="D623" s="93"/>
      <c r="E623" s="93"/>
      <c r="F623" s="93"/>
      <c r="G623" s="93"/>
      <c r="H623" s="93"/>
    </row>
    <row r="624" spans="4:8" ht="15.6">
      <c r="D624" s="93"/>
      <c r="E624" s="93"/>
      <c r="F624" s="93"/>
      <c r="G624" s="93"/>
      <c r="H624" s="93"/>
    </row>
    <row r="625" spans="4:8" ht="15.6">
      <c r="D625" s="93"/>
      <c r="E625" s="93"/>
      <c r="F625" s="93"/>
      <c r="G625" s="93"/>
      <c r="H625" s="93"/>
    </row>
    <row r="626" spans="4:8" ht="15.6">
      <c r="D626" s="93"/>
      <c r="E626" s="93"/>
      <c r="F626" s="93"/>
      <c r="G626" s="93"/>
      <c r="H626" s="93"/>
    </row>
    <row r="627" spans="4:8" ht="15.6">
      <c r="D627" s="93"/>
      <c r="E627" s="93"/>
      <c r="F627" s="93"/>
      <c r="G627" s="93"/>
      <c r="H627" s="93"/>
    </row>
    <row r="628" spans="4:8" ht="15.6">
      <c r="D628" s="93"/>
      <c r="E628" s="93"/>
      <c r="F628" s="93"/>
      <c r="G628" s="93"/>
      <c r="H628" s="93"/>
    </row>
    <row r="629" spans="4:8" ht="15.6">
      <c r="D629" s="93"/>
      <c r="E629" s="93"/>
      <c r="F629" s="93"/>
      <c r="G629" s="93"/>
      <c r="H629" s="93"/>
    </row>
    <row r="630" spans="4:8" ht="15.6">
      <c r="D630" s="93"/>
      <c r="E630" s="93"/>
      <c r="F630" s="93"/>
      <c r="G630" s="93"/>
      <c r="H630" s="93"/>
    </row>
    <row r="631" spans="4:8" ht="15.6">
      <c r="D631" s="93"/>
      <c r="E631" s="93"/>
      <c r="F631" s="93"/>
      <c r="G631" s="93"/>
      <c r="H631" s="93"/>
    </row>
    <row r="632" spans="4:8" ht="15.6">
      <c r="D632" s="93"/>
      <c r="E632" s="93"/>
      <c r="F632" s="93"/>
      <c r="G632" s="93"/>
      <c r="H632" s="93"/>
    </row>
    <row r="633" spans="4:8" ht="15.6">
      <c r="D633" s="93"/>
      <c r="E633" s="93"/>
      <c r="F633" s="93"/>
      <c r="G633" s="93"/>
      <c r="H633" s="93"/>
    </row>
    <row r="634" spans="4:8" ht="15.6">
      <c r="D634" s="93"/>
      <c r="E634" s="93"/>
      <c r="F634" s="93"/>
      <c r="G634" s="93"/>
      <c r="H634" s="93"/>
    </row>
    <row r="635" spans="4:8" ht="15.6">
      <c r="D635" s="93"/>
      <c r="E635" s="93"/>
      <c r="F635" s="93"/>
      <c r="G635" s="93"/>
      <c r="H635" s="93"/>
    </row>
    <row r="636" spans="4:8" ht="15.6">
      <c r="D636" s="93"/>
      <c r="E636" s="93"/>
      <c r="F636" s="93"/>
      <c r="G636" s="93"/>
      <c r="H636" s="93"/>
    </row>
    <row r="637" spans="4:8" ht="15.6">
      <c r="D637" s="93"/>
      <c r="E637" s="93"/>
      <c r="F637" s="93"/>
      <c r="G637" s="93"/>
      <c r="H637" s="93"/>
    </row>
    <row r="638" spans="4:8" ht="15.6">
      <c r="D638" s="93"/>
      <c r="E638" s="93"/>
      <c r="F638" s="93"/>
      <c r="G638" s="93"/>
      <c r="H638" s="93"/>
    </row>
    <row r="639" spans="4:8" ht="15.6">
      <c r="D639" s="93"/>
      <c r="E639" s="93"/>
      <c r="F639" s="93"/>
      <c r="G639" s="93"/>
      <c r="H639" s="93"/>
    </row>
    <row r="640" spans="4:8" ht="15.6">
      <c r="D640" s="93"/>
      <c r="E640" s="93"/>
      <c r="F640" s="93"/>
      <c r="G640" s="93"/>
      <c r="H640" s="93"/>
    </row>
    <row r="641" spans="4:8" ht="15.6">
      <c r="D641" s="93"/>
      <c r="E641" s="93"/>
      <c r="F641" s="93"/>
      <c r="G641" s="93"/>
      <c r="H641" s="93"/>
    </row>
    <row r="642" spans="4:8" ht="15.6">
      <c r="D642" s="93"/>
      <c r="E642" s="93"/>
      <c r="F642" s="93"/>
      <c r="G642" s="93"/>
      <c r="H642" s="93"/>
    </row>
    <row r="643" spans="4:8" ht="15.6">
      <c r="D643" s="93"/>
      <c r="E643" s="93"/>
      <c r="F643" s="93"/>
      <c r="G643" s="93"/>
      <c r="H643" s="93"/>
    </row>
    <row r="644" spans="4:8" ht="15.6">
      <c r="D644" s="93"/>
      <c r="E644" s="93"/>
      <c r="F644" s="93"/>
      <c r="G644" s="93"/>
      <c r="H644" s="93"/>
    </row>
    <row r="645" spans="4:8" ht="15.6">
      <c r="D645" s="93"/>
      <c r="E645" s="93"/>
      <c r="F645" s="93"/>
      <c r="G645" s="93"/>
      <c r="H645" s="93"/>
    </row>
    <row r="646" spans="4:8" ht="15.6">
      <c r="D646" s="93"/>
      <c r="E646" s="93"/>
      <c r="F646" s="93"/>
      <c r="G646" s="93"/>
      <c r="H646" s="93"/>
    </row>
    <row r="647" spans="4:8" ht="15.6">
      <c r="D647" s="93"/>
      <c r="E647" s="93"/>
      <c r="F647" s="93"/>
      <c r="G647" s="93"/>
      <c r="H647" s="93"/>
    </row>
    <row r="648" spans="4:8" ht="15.6">
      <c r="D648" s="93"/>
      <c r="E648" s="93"/>
      <c r="F648" s="93"/>
      <c r="G648" s="93"/>
      <c r="H648" s="93"/>
    </row>
    <row r="649" spans="4:8" ht="15.6">
      <c r="D649" s="93"/>
      <c r="E649" s="93"/>
      <c r="F649" s="93"/>
      <c r="G649" s="93"/>
      <c r="H649" s="93"/>
    </row>
    <row r="650" spans="4:8" ht="15.6">
      <c r="D650" s="93"/>
      <c r="E650" s="93"/>
      <c r="F650" s="93"/>
      <c r="G650" s="93"/>
      <c r="H650" s="93"/>
    </row>
    <row r="651" spans="4:8" ht="15.6">
      <c r="D651" s="93"/>
      <c r="E651" s="93"/>
      <c r="F651" s="93"/>
      <c r="G651" s="93"/>
      <c r="H651" s="93"/>
    </row>
    <row r="652" spans="4:8" ht="15.6">
      <c r="D652" s="93"/>
      <c r="E652" s="93"/>
      <c r="F652" s="93"/>
      <c r="G652" s="93"/>
      <c r="H652" s="93"/>
    </row>
    <row r="653" spans="4:8" ht="15.6">
      <c r="D653" s="93"/>
      <c r="E653" s="93"/>
      <c r="F653" s="93"/>
      <c r="G653" s="93"/>
      <c r="H653" s="93"/>
    </row>
    <row r="654" spans="4:8" ht="15.6">
      <c r="D654" s="93"/>
      <c r="E654" s="93"/>
      <c r="F654" s="93"/>
      <c r="G654" s="93"/>
      <c r="H654" s="93"/>
    </row>
    <row r="655" spans="4:8" ht="15.6">
      <c r="D655" s="93"/>
      <c r="E655" s="93"/>
      <c r="F655" s="93"/>
      <c r="G655" s="93"/>
      <c r="H655" s="93"/>
    </row>
    <row r="656" spans="4:8" ht="15.6">
      <c r="D656" s="93"/>
      <c r="E656" s="93"/>
      <c r="F656" s="93"/>
      <c r="G656" s="93"/>
      <c r="H656" s="93"/>
    </row>
    <row r="657" spans="4:8" ht="15.6">
      <c r="D657" s="93"/>
      <c r="E657" s="93"/>
      <c r="F657" s="93"/>
      <c r="G657" s="93"/>
      <c r="H657" s="93"/>
    </row>
    <row r="658" spans="4:8" ht="15.6">
      <c r="D658" s="93"/>
      <c r="E658" s="93"/>
      <c r="F658" s="93"/>
      <c r="G658" s="93"/>
      <c r="H658" s="93"/>
    </row>
    <row r="659" spans="4:8" ht="15.6">
      <c r="D659" s="93"/>
      <c r="E659" s="93"/>
      <c r="F659" s="93"/>
      <c r="G659" s="93"/>
      <c r="H659" s="93"/>
    </row>
    <row r="660" spans="4:8" ht="15.6">
      <c r="D660" s="93"/>
      <c r="E660" s="93"/>
      <c r="F660" s="93"/>
      <c r="G660" s="93"/>
      <c r="H660" s="93"/>
    </row>
    <row r="661" spans="4:8" ht="15.6">
      <c r="D661" s="93"/>
      <c r="E661" s="93"/>
      <c r="F661" s="93"/>
      <c r="G661" s="93"/>
      <c r="H661" s="93"/>
    </row>
    <row r="662" spans="4:8" ht="15.6">
      <c r="D662" s="93"/>
      <c r="E662" s="93"/>
      <c r="F662" s="93"/>
      <c r="G662" s="93"/>
      <c r="H662" s="93"/>
    </row>
    <row r="663" spans="4:8" ht="15.6">
      <c r="D663" s="93"/>
      <c r="E663" s="93"/>
      <c r="F663" s="93"/>
      <c r="G663" s="93"/>
      <c r="H663" s="93"/>
    </row>
    <row r="664" spans="4:8" ht="15.6">
      <c r="D664" s="93"/>
      <c r="E664" s="93"/>
      <c r="F664" s="93"/>
      <c r="G664" s="93"/>
      <c r="H664" s="93"/>
    </row>
    <row r="665" spans="4:8" ht="15.6">
      <c r="D665" s="93"/>
      <c r="E665" s="93"/>
      <c r="F665" s="93"/>
      <c r="G665" s="93"/>
      <c r="H665" s="93"/>
    </row>
    <row r="666" spans="4:8" ht="15.6">
      <c r="D666" s="93"/>
      <c r="E666" s="93"/>
      <c r="F666" s="93"/>
      <c r="G666" s="93"/>
      <c r="H666" s="93"/>
    </row>
    <row r="667" spans="4:8" ht="15.6">
      <c r="D667" s="93"/>
      <c r="E667" s="93"/>
      <c r="F667" s="93"/>
      <c r="G667" s="93"/>
      <c r="H667" s="93"/>
    </row>
    <row r="668" spans="4:8" ht="15.6">
      <c r="D668" s="93"/>
      <c r="E668" s="93"/>
      <c r="F668" s="93"/>
      <c r="G668" s="93"/>
      <c r="H668" s="93"/>
    </row>
    <row r="669" spans="4:8" ht="15.6">
      <c r="D669" s="93"/>
      <c r="E669" s="93"/>
      <c r="F669" s="93"/>
      <c r="G669" s="93"/>
      <c r="H669" s="93"/>
    </row>
    <row r="670" spans="4:8" ht="15.6">
      <c r="D670" s="93"/>
      <c r="E670" s="93"/>
      <c r="F670" s="93"/>
      <c r="G670" s="93"/>
      <c r="H670" s="93"/>
    </row>
    <row r="671" spans="4:8" ht="15.6">
      <c r="D671" s="93"/>
      <c r="E671" s="93"/>
      <c r="F671" s="93"/>
      <c r="G671" s="93"/>
      <c r="H671" s="93"/>
    </row>
    <row r="672" spans="4:8" ht="15.6">
      <c r="D672" s="93"/>
      <c r="E672" s="93"/>
      <c r="F672" s="93"/>
      <c r="G672" s="93"/>
      <c r="H672" s="93"/>
    </row>
    <row r="673" spans="4:8" ht="15.6">
      <c r="D673" s="93"/>
      <c r="E673" s="93"/>
      <c r="F673" s="93"/>
      <c r="G673" s="93"/>
      <c r="H673" s="93"/>
    </row>
    <row r="674" spans="4:8" ht="15.6">
      <c r="D674" s="93"/>
      <c r="E674" s="93"/>
      <c r="F674" s="93"/>
      <c r="G674" s="93"/>
      <c r="H674" s="93"/>
    </row>
    <row r="675" spans="4:8" ht="15.6">
      <c r="D675" s="93"/>
      <c r="E675" s="93"/>
      <c r="F675" s="93"/>
      <c r="G675" s="93"/>
      <c r="H675" s="93"/>
    </row>
    <row r="676" spans="4:8" ht="15.6">
      <c r="D676" s="93"/>
      <c r="E676" s="93"/>
      <c r="F676" s="93"/>
      <c r="G676" s="93"/>
      <c r="H676" s="93"/>
    </row>
    <row r="677" spans="4:8" ht="15.6">
      <c r="D677" s="93"/>
      <c r="E677" s="93"/>
      <c r="F677" s="93"/>
      <c r="G677" s="93"/>
      <c r="H677" s="93"/>
    </row>
    <row r="678" spans="4:8" ht="15.6">
      <c r="D678" s="93"/>
      <c r="E678" s="93"/>
      <c r="F678" s="93"/>
      <c r="G678" s="93"/>
      <c r="H678" s="93"/>
    </row>
    <row r="679" spans="4:8" ht="15.6">
      <c r="D679" s="93"/>
      <c r="E679" s="93"/>
      <c r="F679" s="93"/>
      <c r="G679" s="93"/>
      <c r="H679" s="93"/>
    </row>
    <row r="680" spans="4:8" ht="15.6">
      <c r="D680" s="93"/>
      <c r="E680" s="93"/>
      <c r="F680" s="93"/>
      <c r="G680" s="93"/>
      <c r="H680" s="93"/>
    </row>
    <row r="681" spans="4:8" ht="15.6">
      <c r="D681" s="93"/>
      <c r="E681" s="93"/>
      <c r="F681" s="93"/>
      <c r="G681" s="93"/>
      <c r="H681" s="93"/>
    </row>
    <row r="682" spans="4:8" ht="15.6">
      <c r="D682" s="93"/>
      <c r="E682" s="93"/>
      <c r="F682" s="93"/>
      <c r="G682" s="93"/>
      <c r="H682" s="93"/>
    </row>
    <row r="683" spans="4:8" ht="15.6">
      <c r="D683" s="93"/>
      <c r="E683" s="93"/>
      <c r="F683" s="93"/>
      <c r="G683" s="93"/>
      <c r="H683" s="93"/>
    </row>
    <row r="684" spans="4:8" ht="15.6">
      <c r="D684" s="93"/>
      <c r="E684" s="93"/>
      <c r="F684" s="93"/>
      <c r="G684" s="93"/>
      <c r="H684" s="93"/>
    </row>
    <row r="685" spans="4:8" ht="15.6">
      <c r="D685" s="93"/>
      <c r="E685" s="93"/>
      <c r="F685" s="93"/>
      <c r="G685" s="93"/>
      <c r="H685" s="93"/>
    </row>
    <row r="686" spans="4:8" ht="15.6">
      <c r="D686" s="93"/>
      <c r="E686" s="93"/>
      <c r="F686" s="93"/>
      <c r="G686" s="93"/>
      <c r="H686" s="93"/>
    </row>
    <row r="687" spans="4:8" ht="15.6">
      <c r="D687" s="93"/>
      <c r="E687" s="93"/>
      <c r="F687" s="93"/>
      <c r="G687" s="93"/>
      <c r="H687" s="93"/>
    </row>
    <row r="688" spans="4:8" ht="15.6">
      <c r="D688" s="93"/>
      <c r="E688" s="93"/>
      <c r="F688" s="93"/>
      <c r="G688" s="93"/>
      <c r="H688" s="93"/>
    </row>
    <row r="689" spans="4:8" ht="15.6">
      <c r="D689" s="93"/>
      <c r="E689" s="93"/>
      <c r="F689" s="93"/>
      <c r="G689" s="93"/>
      <c r="H689" s="93"/>
    </row>
    <row r="690" spans="4:8" ht="15.6">
      <c r="D690" s="93"/>
      <c r="E690" s="93"/>
      <c r="F690" s="93"/>
      <c r="G690" s="93"/>
      <c r="H690" s="93"/>
    </row>
    <row r="691" spans="4:8" ht="15.6">
      <c r="D691" s="93"/>
      <c r="E691" s="93"/>
      <c r="F691" s="93"/>
      <c r="G691" s="93"/>
      <c r="H691" s="93"/>
    </row>
    <row r="692" spans="4:8" ht="15.6">
      <c r="D692" s="93"/>
      <c r="E692" s="93"/>
      <c r="F692" s="93"/>
      <c r="G692" s="93"/>
      <c r="H692" s="93"/>
    </row>
    <row r="693" spans="4:8" ht="15.6">
      <c r="D693" s="93"/>
      <c r="E693" s="93"/>
      <c r="F693" s="93"/>
      <c r="G693" s="93"/>
      <c r="H693" s="93"/>
    </row>
    <row r="694" spans="4:8" ht="15.6">
      <c r="D694" s="93"/>
      <c r="E694" s="93"/>
      <c r="F694" s="93"/>
      <c r="G694" s="93"/>
      <c r="H694" s="93"/>
    </row>
    <row r="695" spans="4:8" ht="15.6">
      <c r="D695" s="93"/>
      <c r="E695" s="93"/>
      <c r="F695" s="93"/>
      <c r="G695" s="93"/>
      <c r="H695" s="93"/>
    </row>
    <row r="696" spans="4:8" ht="15.6">
      <c r="D696" s="93"/>
      <c r="E696" s="93"/>
      <c r="F696" s="93"/>
      <c r="G696" s="93"/>
      <c r="H696" s="93"/>
    </row>
    <row r="697" spans="4:8" ht="15.6">
      <c r="D697" s="93"/>
      <c r="E697" s="93"/>
      <c r="F697" s="93"/>
      <c r="G697" s="93"/>
      <c r="H697" s="93"/>
    </row>
    <row r="698" spans="4:8" ht="15.6">
      <c r="D698" s="93"/>
      <c r="E698" s="93"/>
      <c r="F698" s="93"/>
      <c r="G698" s="93"/>
      <c r="H698" s="93"/>
    </row>
    <row r="699" spans="4:8" ht="15.6">
      <c r="D699" s="93"/>
      <c r="E699" s="93"/>
      <c r="F699" s="93"/>
      <c r="G699" s="93"/>
      <c r="H699" s="93"/>
    </row>
    <row r="700" spans="4:8" ht="15.6">
      <c r="D700" s="93"/>
      <c r="E700" s="93"/>
      <c r="F700" s="93"/>
      <c r="G700" s="93"/>
      <c r="H700" s="93"/>
    </row>
    <row r="701" spans="4:8" ht="15.6">
      <c r="D701" s="93"/>
      <c r="E701" s="93"/>
      <c r="F701" s="93"/>
      <c r="G701" s="93"/>
      <c r="H701" s="93"/>
    </row>
    <row r="702" spans="4:8" ht="15.6">
      <c r="D702" s="93"/>
      <c r="E702" s="93"/>
      <c r="F702" s="93"/>
      <c r="G702" s="93"/>
      <c r="H702" s="93"/>
    </row>
    <row r="703" spans="4:8" ht="15.6">
      <c r="D703" s="93"/>
      <c r="E703" s="93"/>
      <c r="F703" s="93"/>
      <c r="G703" s="93"/>
      <c r="H703" s="93"/>
    </row>
    <row r="704" spans="4:8" ht="15.6">
      <c r="D704" s="93"/>
      <c r="E704" s="93"/>
      <c r="F704" s="93"/>
      <c r="G704" s="93"/>
      <c r="H704" s="93"/>
    </row>
    <row r="705" spans="4:8" ht="15.6">
      <c r="D705" s="93"/>
      <c r="E705" s="93"/>
      <c r="F705" s="93"/>
      <c r="G705" s="93"/>
      <c r="H705" s="93"/>
    </row>
    <row r="706" spans="4:8" ht="15.6">
      <c r="D706" s="93"/>
      <c r="E706" s="93"/>
      <c r="F706" s="93"/>
      <c r="G706" s="93"/>
      <c r="H706" s="93"/>
    </row>
    <row r="707" spans="4:8" ht="15.6">
      <c r="D707" s="93"/>
      <c r="E707" s="93"/>
      <c r="F707" s="93"/>
      <c r="G707" s="93"/>
      <c r="H707" s="93"/>
    </row>
    <row r="708" spans="4:8" ht="15.6">
      <c r="D708" s="93"/>
      <c r="E708" s="93"/>
      <c r="F708" s="93"/>
      <c r="G708" s="93"/>
      <c r="H708" s="93"/>
    </row>
    <row r="709" spans="4:8" ht="15.6">
      <c r="D709" s="93"/>
      <c r="E709" s="93"/>
      <c r="F709" s="93"/>
      <c r="G709" s="93"/>
      <c r="H709" s="93"/>
    </row>
    <row r="710" spans="4:8" ht="15.6">
      <c r="D710" s="93"/>
      <c r="E710" s="93"/>
      <c r="F710" s="93"/>
      <c r="G710" s="93"/>
      <c r="H710" s="93"/>
    </row>
    <row r="711" spans="4:8" ht="15.6">
      <c r="D711" s="93"/>
      <c r="E711" s="93"/>
      <c r="F711" s="93"/>
      <c r="G711" s="93"/>
      <c r="H711" s="93"/>
    </row>
    <row r="712" spans="4:8" ht="15.6">
      <c r="D712" s="93"/>
      <c r="E712" s="93"/>
      <c r="F712" s="93"/>
      <c r="G712" s="93"/>
      <c r="H712" s="93"/>
    </row>
    <row r="713" spans="4:8" ht="15.6">
      <c r="D713" s="93"/>
      <c r="E713" s="93"/>
      <c r="F713" s="93"/>
      <c r="G713" s="93"/>
      <c r="H713" s="93"/>
    </row>
    <row r="714" spans="4:8" ht="15.6">
      <c r="D714" s="93"/>
      <c r="E714" s="93"/>
      <c r="F714" s="93"/>
      <c r="G714" s="93"/>
      <c r="H714" s="93"/>
    </row>
    <row r="715" spans="4:8" ht="15.6">
      <c r="D715" s="93"/>
      <c r="E715" s="93"/>
      <c r="F715" s="93"/>
      <c r="G715" s="93"/>
      <c r="H715" s="93"/>
    </row>
    <row r="716" spans="4:8" ht="15.6">
      <c r="D716" s="93"/>
      <c r="E716" s="93"/>
      <c r="F716" s="93"/>
      <c r="G716" s="93"/>
      <c r="H716" s="93"/>
    </row>
    <row r="717" spans="4:8" ht="15.6">
      <c r="D717" s="93"/>
      <c r="E717" s="93"/>
      <c r="F717" s="93"/>
      <c r="G717" s="93"/>
      <c r="H717" s="93"/>
    </row>
    <row r="718" spans="4:8" ht="15.6">
      <c r="D718" s="93"/>
      <c r="E718" s="93"/>
      <c r="F718" s="93"/>
      <c r="G718" s="93"/>
      <c r="H718" s="93"/>
    </row>
    <row r="719" spans="4:8" ht="15.6">
      <c r="D719" s="93"/>
      <c r="E719" s="93"/>
      <c r="F719" s="93"/>
      <c r="G719" s="93"/>
      <c r="H719" s="93"/>
    </row>
    <row r="720" spans="4:8" ht="15.6">
      <c r="D720" s="93"/>
      <c r="E720" s="93"/>
      <c r="F720" s="93"/>
      <c r="G720" s="93"/>
      <c r="H720" s="93"/>
    </row>
    <row r="721" spans="4:8" ht="15.6">
      <c r="D721" s="93"/>
      <c r="E721" s="93"/>
      <c r="F721" s="93"/>
      <c r="G721" s="93"/>
      <c r="H721" s="93"/>
    </row>
    <row r="722" spans="4:8" ht="15.6">
      <c r="D722" s="93"/>
      <c r="E722" s="93"/>
      <c r="F722" s="93"/>
      <c r="G722" s="93"/>
      <c r="H722" s="93"/>
    </row>
    <row r="723" spans="4:8" ht="15.6">
      <c r="D723" s="93"/>
      <c r="E723" s="93"/>
      <c r="F723" s="93"/>
      <c r="G723" s="93"/>
      <c r="H723" s="93"/>
    </row>
    <row r="724" spans="4:8" ht="15.6">
      <c r="D724" s="93"/>
      <c r="E724" s="93"/>
      <c r="F724" s="93"/>
      <c r="G724" s="93"/>
      <c r="H724" s="93"/>
    </row>
    <row r="725" spans="4:8" ht="15.6">
      <c r="D725" s="93"/>
      <c r="E725" s="93"/>
      <c r="F725" s="93"/>
      <c r="G725" s="93"/>
      <c r="H725" s="93"/>
    </row>
    <row r="726" spans="4:8" ht="15.6">
      <c r="D726" s="93"/>
      <c r="E726" s="93"/>
      <c r="F726" s="93"/>
      <c r="G726" s="93"/>
      <c r="H726" s="93"/>
    </row>
    <row r="727" spans="4:8" ht="15.6">
      <c r="D727" s="93"/>
      <c r="E727" s="93"/>
      <c r="F727" s="93"/>
      <c r="G727" s="93"/>
      <c r="H727" s="93"/>
    </row>
    <row r="728" spans="4:8" ht="15.6">
      <c r="D728" s="93"/>
      <c r="E728" s="93"/>
      <c r="F728" s="93"/>
      <c r="G728" s="93"/>
      <c r="H728" s="93"/>
    </row>
    <row r="729" spans="4:8" ht="15.6">
      <c r="D729" s="93"/>
      <c r="E729" s="93"/>
      <c r="F729" s="93"/>
      <c r="G729" s="93"/>
      <c r="H729" s="93"/>
    </row>
    <row r="730" spans="4:8" ht="15.6">
      <c r="D730" s="93"/>
      <c r="E730" s="93"/>
      <c r="F730" s="93"/>
      <c r="G730" s="93"/>
      <c r="H730" s="93"/>
    </row>
    <row r="731" spans="4:8" ht="15.6">
      <c r="D731" s="93"/>
      <c r="E731" s="93"/>
      <c r="F731" s="93"/>
      <c r="G731" s="93"/>
      <c r="H731" s="93"/>
    </row>
    <row r="732" spans="4:8" ht="15.6">
      <c r="D732" s="93"/>
      <c r="E732" s="93"/>
      <c r="F732" s="93"/>
      <c r="G732" s="93"/>
      <c r="H732" s="93"/>
    </row>
    <row r="733" spans="4:8" ht="15.6">
      <c r="D733" s="93"/>
      <c r="E733" s="93"/>
      <c r="F733" s="93"/>
      <c r="G733" s="93"/>
      <c r="H733" s="93"/>
    </row>
    <row r="734" spans="4:8" ht="15.6">
      <c r="D734" s="93"/>
      <c r="E734" s="93"/>
      <c r="F734" s="93"/>
      <c r="G734" s="93"/>
      <c r="H734" s="93"/>
    </row>
    <row r="735" spans="4:8" ht="15.6">
      <c r="D735" s="93"/>
      <c r="E735" s="93"/>
      <c r="F735" s="93"/>
      <c r="G735" s="93"/>
      <c r="H735" s="93"/>
    </row>
    <row r="736" spans="4:8" ht="15.6">
      <c r="D736" s="93"/>
      <c r="E736" s="93"/>
      <c r="F736" s="93"/>
      <c r="G736" s="93"/>
      <c r="H736" s="93"/>
    </row>
    <row r="737" spans="4:8" ht="15.6">
      <c r="D737" s="93"/>
      <c r="E737" s="93"/>
      <c r="F737" s="93"/>
      <c r="G737" s="93"/>
      <c r="H737" s="93"/>
    </row>
    <row r="738" spans="4:8" ht="15.6">
      <c r="D738" s="93"/>
      <c r="E738" s="93"/>
      <c r="F738" s="93"/>
      <c r="G738" s="93"/>
      <c r="H738" s="93"/>
    </row>
    <row r="739" spans="4:8" ht="15.6">
      <c r="D739" s="93"/>
      <c r="E739" s="93"/>
      <c r="F739" s="93"/>
      <c r="G739" s="93"/>
      <c r="H739" s="93"/>
    </row>
    <row r="740" spans="4:8" ht="15.6">
      <c r="D740" s="93"/>
      <c r="E740" s="93"/>
      <c r="F740" s="93"/>
      <c r="G740" s="93"/>
      <c r="H740" s="93"/>
    </row>
    <row r="741" spans="4:8" ht="15.6">
      <c r="D741" s="93"/>
      <c r="E741" s="93"/>
      <c r="F741" s="93"/>
      <c r="G741" s="93"/>
      <c r="H741" s="93"/>
    </row>
    <row r="742" spans="4:8" ht="15.6">
      <c r="D742" s="93"/>
      <c r="E742" s="93"/>
      <c r="F742" s="93"/>
      <c r="G742" s="93"/>
      <c r="H742" s="93"/>
    </row>
    <row r="743" spans="4:8" ht="15.6">
      <c r="D743" s="93"/>
      <c r="E743" s="93"/>
      <c r="F743" s="93"/>
      <c r="G743" s="93"/>
      <c r="H743" s="93"/>
    </row>
    <row r="744" spans="4:8" ht="15.6">
      <c r="D744" s="93"/>
      <c r="E744" s="93"/>
      <c r="F744" s="93"/>
      <c r="G744" s="93"/>
      <c r="H744" s="93"/>
    </row>
    <row r="745" spans="4:8" ht="15.6">
      <c r="D745" s="93"/>
      <c r="E745" s="93"/>
      <c r="F745" s="93"/>
      <c r="G745" s="93"/>
      <c r="H745" s="93"/>
    </row>
    <row r="746" spans="4:8" ht="15.6">
      <c r="D746" s="93"/>
      <c r="E746" s="93"/>
      <c r="F746" s="93"/>
      <c r="G746" s="93"/>
      <c r="H746" s="93"/>
    </row>
    <row r="747" spans="4:8" ht="15.6">
      <c r="D747" s="93"/>
      <c r="E747" s="93"/>
      <c r="F747" s="93"/>
      <c r="G747" s="93"/>
      <c r="H747" s="93"/>
    </row>
    <row r="748" spans="4:8" ht="15.6">
      <c r="D748" s="93"/>
      <c r="E748" s="93"/>
      <c r="F748" s="93"/>
      <c r="G748" s="93"/>
      <c r="H748" s="93"/>
    </row>
    <row r="749" spans="4:8" ht="15.6">
      <c r="D749" s="93"/>
      <c r="E749" s="93"/>
      <c r="F749" s="93"/>
      <c r="G749" s="93"/>
      <c r="H749" s="93"/>
    </row>
    <row r="750" spans="4:8" ht="15.6">
      <c r="D750" s="93"/>
      <c r="E750" s="93"/>
      <c r="F750" s="93"/>
      <c r="G750" s="93"/>
      <c r="H750" s="93"/>
    </row>
    <row r="751" spans="4:8" ht="15.6">
      <c r="D751" s="93"/>
      <c r="E751" s="93"/>
      <c r="F751" s="93"/>
      <c r="G751" s="93"/>
      <c r="H751" s="93"/>
    </row>
    <row r="752" spans="4:8" ht="15.6">
      <c r="D752" s="93"/>
      <c r="E752" s="93"/>
      <c r="F752" s="93"/>
      <c r="G752" s="93"/>
      <c r="H752" s="93"/>
    </row>
    <row r="753" spans="4:8" ht="15.6">
      <c r="D753" s="93"/>
      <c r="E753" s="93"/>
      <c r="F753" s="93"/>
      <c r="G753" s="93"/>
      <c r="H753" s="93"/>
    </row>
    <row r="754" spans="4:8" ht="15.6">
      <c r="D754" s="93"/>
      <c r="E754" s="93"/>
      <c r="F754" s="93"/>
      <c r="G754" s="93"/>
      <c r="H754" s="93"/>
    </row>
    <row r="755" spans="4:8" ht="15.6">
      <c r="D755" s="93"/>
      <c r="E755" s="93"/>
      <c r="F755" s="93"/>
      <c r="G755" s="93"/>
      <c r="H755" s="93"/>
    </row>
    <row r="756" spans="4:8" ht="15.6">
      <c r="D756" s="93"/>
      <c r="E756" s="93"/>
      <c r="F756" s="93"/>
      <c r="G756" s="93"/>
      <c r="H756" s="93"/>
    </row>
    <row r="757" spans="4:8" ht="15.6">
      <c r="D757" s="93"/>
      <c r="E757" s="93"/>
      <c r="F757" s="93"/>
      <c r="G757" s="93"/>
      <c r="H757" s="93"/>
    </row>
    <row r="758" spans="4:8" ht="15.6">
      <c r="D758" s="93"/>
      <c r="E758" s="93"/>
      <c r="F758" s="93"/>
      <c r="G758" s="93"/>
      <c r="H758" s="93"/>
    </row>
    <row r="759" spans="4:8" ht="15.6">
      <c r="D759" s="93"/>
      <c r="E759" s="93"/>
      <c r="F759" s="93"/>
      <c r="G759" s="93"/>
      <c r="H759" s="93"/>
    </row>
    <row r="760" spans="4:8" ht="15.6">
      <c r="D760" s="93"/>
      <c r="E760" s="93"/>
      <c r="F760" s="93"/>
      <c r="G760" s="93"/>
      <c r="H760" s="93"/>
    </row>
    <row r="761" spans="4:8" ht="15.6">
      <c r="D761" s="93"/>
      <c r="E761" s="93"/>
      <c r="F761" s="93"/>
      <c r="G761" s="93"/>
      <c r="H761" s="93"/>
    </row>
    <row r="762" spans="4:8" ht="15.6">
      <c r="D762" s="93"/>
      <c r="E762" s="93"/>
      <c r="F762" s="93"/>
      <c r="G762" s="93"/>
      <c r="H762" s="93"/>
    </row>
    <row r="763" spans="4:8" ht="15.6">
      <c r="D763" s="93"/>
      <c r="E763" s="93"/>
      <c r="F763" s="93"/>
      <c r="G763" s="93"/>
      <c r="H763" s="93"/>
    </row>
    <row r="764" spans="4:8" ht="15.6">
      <c r="D764" s="93"/>
      <c r="E764" s="93"/>
      <c r="F764" s="93"/>
      <c r="G764" s="93"/>
      <c r="H764" s="93"/>
    </row>
    <row r="765" spans="4:8" ht="15.6">
      <c r="D765" s="93"/>
      <c r="E765" s="93"/>
      <c r="F765" s="93"/>
      <c r="G765" s="93"/>
      <c r="H765" s="93"/>
    </row>
    <row r="766" spans="4:8" ht="15.6">
      <c r="D766" s="93"/>
      <c r="E766" s="93"/>
      <c r="F766" s="93"/>
      <c r="G766" s="93"/>
      <c r="H766" s="93"/>
    </row>
    <row r="767" spans="4:8" ht="15.6">
      <c r="D767" s="93"/>
      <c r="E767" s="93"/>
      <c r="F767" s="93"/>
      <c r="G767" s="93"/>
      <c r="H767" s="93"/>
    </row>
    <row r="768" spans="4:8" ht="15.6">
      <c r="D768" s="93"/>
      <c r="E768" s="93"/>
      <c r="F768" s="93"/>
      <c r="G768" s="93"/>
      <c r="H768" s="93"/>
    </row>
    <row r="769" spans="4:8" ht="15.6">
      <c r="D769" s="93"/>
      <c r="E769" s="93"/>
      <c r="F769" s="93"/>
      <c r="G769" s="93"/>
      <c r="H769" s="93"/>
    </row>
    <row r="770" spans="4:8" ht="15.6">
      <c r="D770" s="93"/>
      <c r="E770" s="93"/>
      <c r="F770" s="93"/>
      <c r="G770" s="93"/>
      <c r="H770" s="93"/>
    </row>
    <row r="771" spans="4:8" ht="15.6">
      <c r="D771" s="93"/>
      <c r="E771" s="93"/>
      <c r="F771" s="93"/>
      <c r="G771" s="93"/>
      <c r="H771" s="93"/>
    </row>
    <row r="772" spans="4:8" ht="15.6">
      <c r="D772" s="93"/>
      <c r="E772" s="93"/>
      <c r="F772" s="93"/>
      <c r="G772" s="93"/>
      <c r="H772" s="93"/>
    </row>
    <row r="773" spans="4:8" ht="15.6">
      <c r="D773" s="93"/>
      <c r="E773" s="93"/>
      <c r="F773" s="93"/>
      <c r="G773" s="93"/>
      <c r="H773" s="93"/>
    </row>
    <row r="774" spans="4:8" ht="15.6">
      <c r="D774" s="93"/>
      <c r="E774" s="93"/>
      <c r="F774" s="93"/>
      <c r="G774" s="93"/>
      <c r="H774" s="93"/>
    </row>
    <row r="775" spans="4:8" ht="15.6">
      <c r="D775" s="93"/>
      <c r="E775" s="93"/>
      <c r="F775" s="93"/>
      <c r="G775" s="93"/>
      <c r="H775" s="93"/>
    </row>
    <row r="776" spans="4:8" ht="15.6">
      <c r="D776" s="93"/>
      <c r="E776" s="93"/>
      <c r="F776" s="93"/>
      <c r="G776" s="93"/>
      <c r="H776" s="93"/>
    </row>
    <row r="777" spans="4:8" ht="15.6">
      <c r="D777" s="93"/>
      <c r="E777" s="93"/>
      <c r="F777" s="93"/>
      <c r="G777" s="93"/>
      <c r="H777" s="93"/>
    </row>
    <row r="778" spans="4:8" ht="15.6">
      <c r="D778" s="93"/>
      <c r="E778" s="93"/>
      <c r="F778" s="93"/>
      <c r="G778" s="93"/>
      <c r="H778" s="93"/>
    </row>
    <row r="779" spans="4:8" ht="15.6">
      <c r="D779" s="93"/>
      <c r="E779" s="93"/>
      <c r="F779" s="93"/>
      <c r="G779" s="93"/>
      <c r="H779" s="93"/>
    </row>
    <row r="780" spans="4:8" ht="15.6">
      <c r="D780" s="93"/>
      <c r="E780" s="93"/>
      <c r="F780" s="93"/>
      <c r="G780" s="93"/>
      <c r="H780" s="93"/>
    </row>
    <row r="781" spans="4:8" ht="15.6">
      <c r="D781" s="93"/>
      <c r="E781" s="93"/>
      <c r="F781" s="93"/>
      <c r="G781" s="93"/>
      <c r="H781" s="93"/>
    </row>
    <row r="782" spans="4:8" ht="15.6">
      <c r="D782" s="93"/>
      <c r="E782" s="93"/>
      <c r="F782" s="93"/>
      <c r="G782" s="93"/>
      <c r="H782" s="93"/>
    </row>
    <row r="783" spans="4:8" ht="15.6">
      <c r="D783" s="93"/>
      <c r="E783" s="93"/>
      <c r="F783" s="93"/>
      <c r="G783" s="93"/>
      <c r="H783" s="93"/>
    </row>
    <row r="784" spans="4:8" ht="15.6">
      <c r="D784" s="93"/>
      <c r="E784" s="93"/>
      <c r="F784" s="93"/>
      <c r="G784" s="93"/>
      <c r="H784" s="93"/>
    </row>
    <row r="785" spans="4:8" ht="15.6">
      <c r="D785" s="93"/>
      <c r="E785" s="93"/>
      <c r="F785" s="93"/>
      <c r="G785" s="93"/>
      <c r="H785" s="93"/>
    </row>
    <row r="786" spans="4:8" ht="15.6">
      <c r="D786" s="93"/>
      <c r="E786" s="93"/>
      <c r="F786" s="93"/>
      <c r="G786" s="93"/>
      <c r="H786" s="93"/>
    </row>
    <row r="787" spans="4:8" ht="15.6">
      <c r="D787" s="93"/>
      <c r="E787" s="93"/>
      <c r="F787" s="93"/>
      <c r="G787" s="93"/>
      <c r="H787" s="93"/>
    </row>
    <row r="788" spans="4:8" ht="15.6">
      <c r="D788" s="93"/>
      <c r="E788" s="93"/>
      <c r="F788" s="93"/>
      <c r="G788" s="93"/>
      <c r="H788" s="93"/>
    </row>
    <row r="789" spans="4:8" ht="15.6">
      <c r="D789" s="93"/>
      <c r="E789" s="93"/>
      <c r="F789" s="93"/>
      <c r="G789" s="93"/>
      <c r="H789" s="93"/>
    </row>
    <row r="790" spans="4:8" ht="15.6">
      <c r="D790" s="93"/>
      <c r="E790" s="93"/>
      <c r="F790" s="93"/>
      <c r="G790" s="93"/>
      <c r="H790" s="93"/>
    </row>
    <row r="791" spans="4:8" ht="15.6">
      <c r="D791" s="93"/>
      <c r="E791" s="93"/>
      <c r="F791" s="93"/>
      <c r="G791" s="93"/>
      <c r="H791" s="93"/>
    </row>
    <row r="792" spans="4:8" ht="15.6">
      <c r="D792" s="93"/>
      <c r="E792" s="93"/>
      <c r="F792" s="93"/>
      <c r="G792" s="93"/>
      <c r="H792" s="93"/>
    </row>
    <row r="793" spans="4:8" ht="15.6">
      <c r="D793" s="93"/>
      <c r="E793" s="93"/>
      <c r="F793" s="93"/>
      <c r="G793" s="93"/>
      <c r="H793" s="93"/>
    </row>
    <row r="794" spans="4:8" ht="15.6">
      <c r="D794" s="93"/>
      <c r="E794" s="93"/>
      <c r="F794" s="93"/>
      <c r="G794" s="93"/>
      <c r="H794" s="93"/>
    </row>
    <row r="795" spans="4:8" ht="15.6">
      <c r="D795" s="93"/>
      <c r="E795" s="93"/>
      <c r="F795" s="93"/>
      <c r="G795" s="93"/>
      <c r="H795" s="93"/>
    </row>
    <row r="796" spans="4:8" ht="15.6">
      <c r="D796" s="93"/>
      <c r="E796" s="93"/>
      <c r="F796" s="93"/>
      <c r="G796" s="93"/>
      <c r="H796" s="93"/>
    </row>
    <row r="797" spans="4:8" ht="15.6">
      <c r="D797" s="93"/>
      <c r="E797" s="93"/>
      <c r="F797" s="93"/>
      <c r="G797" s="93"/>
      <c r="H797" s="93"/>
    </row>
    <row r="798" spans="4:8" ht="15.6">
      <c r="D798" s="93"/>
      <c r="E798" s="93"/>
      <c r="F798" s="93"/>
      <c r="G798" s="93"/>
      <c r="H798" s="93"/>
    </row>
    <row r="799" spans="4:8" ht="15.6">
      <c r="D799" s="93"/>
      <c r="E799" s="93"/>
      <c r="F799" s="93"/>
      <c r="G799" s="93"/>
      <c r="H799" s="93"/>
    </row>
    <row r="800" spans="4:8" ht="15.6">
      <c r="D800" s="93"/>
      <c r="E800" s="93"/>
      <c r="F800" s="93"/>
      <c r="G800" s="93"/>
      <c r="H800" s="93"/>
    </row>
    <row r="801" spans="4:8" ht="15.6">
      <c r="D801" s="93"/>
      <c r="E801" s="93"/>
      <c r="F801" s="93"/>
      <c r="G801" s="93"/>
      <c r="H801" s="93"/>
    </row>
    <row r="802" spans="4:8" ht="15.6">
      <c r="D802" s="93"/>
      <c r="E802" s="93"/>
      <c r="F802" s="93"/>
      <c r="G802" s="93"/>
      <c r="H802" s="93"/>
    </row>
    <row r="803" spans="4:8" ht="15.6">
      <c r="D803" s="93"/>
      <c r="E803" s="93"/>
      <c r="F803" s="93"/>
      <c r="G803" s="93"/>
      <c r="H803" s="93"/>
    </row>
    <row r="804" spans="4:8" ht="15.6">
      <c r="D804" s="93"/>
      <c r="E804" s="93"/>
      <c r="F804" s="93"/>
      <c r="G804" s="93"/>
      <c r="H804" s="93"/>
    </row>
    <row r="805" spans="4:8" ht="15.6">
      <c r="D805" s="93"/>
      <c r="E805" s="93"/>
      <c r="F805" s="93"/>
      <c r="G805" s="93"/>
      <c r="H805" s="93"/>
    </row>
    <row r="806" spans="4:8" ht="15.6">
      <c r="D806" s="93"/>
      <c r="E806" s="93"/>
      <c r="F806" s="93"/>
      <c r="G806" s="93"/>
      <c r="H806" s="93"/>
    </row>
    <row r="807" spans="4:8" ht="15.6">
      <c r="D807" s="93"/>
      <c r="E807" s="93"/>
      <c r="F807" s="93"/>
      <c r="G807" s="93"/>
      <c r="H807" s="93"/>
    </row>
    <row r="808" spans="4:8" ht="15.6">
      <c r="D808" s="93"/>
      <c r="E808" s="93"/>
      <c r="F808" s="93"/>
      <c r="G808" s="93"/>
      <c r="H808" s="93"/>
    </row>
    <row r="809" spans="4:8" ht="15.6">
      <c r="D809" s="93"/>
      <c r="E809" s="93"/>
      <c r="F809" s="93"/>
      <c r="G809" s="93"/>
      <c r="H809" s="93"/>
    </row>
    <row r="810" spans="4:8" ht="15.6">
      <c r="D810" s="93"/>
      <c r="E810" s="93"/>
      <c r="F810" s="93"/>
      <c r="G810" s="93"/>
      <c r="H810" s="93"/>
    </row>
    <row r="811" spans="4:8" ht="15.6">
      <c r="D811" s="93"/>
      <c r="E811" s="93"/>
      <c r="F811" s="93"/>
      <c r="G811" s="93"/>
      <c r="H811" s="93"/>
    </row>
    <row r="812" spans="4:8" ht="15.6">
      <c r="D812" s="93"/>
      <c r="E812" s="93"/>
      <c r="F812" s="93"/>
      <c r="G812" s="93"/>
      <c r="H812" s="93"/>
    </row>
    <row r="813" spans="4:8" ht="15.6">
      <c r="D813" s="93"/>
      <c r="E813" s="93"/>
      <c r="F813" s="93"/>
      <c r="G813" s="93"/>
      <c r="H813" s="93"/>
    </row>
    <row r="814" spans="4:8" ht="15.6">
      <c r="D814" s="93"/>
      <c r="E814" s="93"/>
      <c r="F814" s="93"/>
      <c r="G814" s="93"/>
      <c r="H814" s="93"/>
    </row>
    <row r="815" spans="4:8" ht="15.6">
      <c r="D815" s="93"/>
      <c r="E815" s="93"/>
      <c r="F815" s="93"/>
      <c r="G815" s="93"/>
      <c r="H815" s="93"/>
    </row>
    <row r="816" spans="4:8" ht="15.6">
      <c r="D816" s="93"/>
      <c r="E816" s="93"/>
      <c r="F816" s="93"/>
      <c r="G816" s="93"/>
      <c r="H816" s="93"/>
    </row>
    <row r="817" spans="4:8" ht="15.6">
      <c r="D817" s="93"/>
      <c r="E817" s="93"/>
      <c r="F817" s="93"/>
      <c r="G817" s="93"/>
      <c r="H817" s="93"/>
    </row>
    <row r="818" spans="4:8" ht="15.6">
      <c r="D818" s="93"/>
      <c r="E818" s="93"/>
      <c r="F818" s="93"/>
      <c r="G818" s="93"/>
      <c r="H818" s="93"/>
    </row>
    <row r="819" spans="4:8" ht="15.6">
      <c r="D819" s="93"/>
      <c r="E819" s="93"/>
      <c r="F819" s="93"/>
      <c r="G819" s="93"/>
      <c r="H819" s="93"/>
    </row>
    <row r="820" spans="4:8" ht="15.6">
      <c r="D820" s="93"/>
      <c r="E820" s="93"/>
      <c r="F820" s="93"/>
      <c r="G820" s="93"/>
      <c r="H820" s="93"/>
    </row>
    <row r="821" spans="4:8" ht="15.6">
      <c r="D821" s="93"/>
      <c r="E821" s="93"/>
      <c r="F821" s="93"/>
      <c r="G821" s="93"/>
      <c r="H821" s="93"/>
    </row>
    <row r="822" spans="4:8" ht="15.6">
      <c r="D822" s="93"/>
      <c r="E822" s="93"/>
      <c r="F822" s="93"/>
      <c r="G822" s="93"/>
      <c r="H822" s="93"/>
    </row>
    <row r="823" spans="4:8" ht="15.6">
      <c r="D823" s="93"/>
      <c r="E823" s="93"/>
      <c r="F823" s="93"/>
      <c r="G823" s="93"/>
      <c r="H823" s="93"/>
    </row>
    <row r="824" spans="4:8" ht="15.6">
      <c r="D824" s="93"/>
      <c r="E824" s="93"/>
      <c r="F824" s="93"/>
      <c r="G824" s="93"/>
      <c r="H824" s="93"/>
    </row>
    <row r="825" spans="4:8" ht="15.6">
      <c r="D825" s="93"/>
      <c r="E825" s="93"/>
      <c r="F825" s="93"/>
      <c r="G825" s="93"/>
      <c r="H825" s="93"/>
    </row>
    <row r="826" spans="4:8" ht="15.6">
      <c r="D826" s="93"/>
      <c r="E826" s="93"/>
      <c r="F826" s="93"/>
      <c r="G826" s="93"/>
      <c r="H826" s="93"/>
    </row>
    <row r="827" spans="4:8" ht="15.6">
      <c r="D827" s="93"/>
      <c r="E827" s="93"/>
      <c r="F827" s="93"/>
      <c r="G827" s="93"/>
      <c r="H827" s="93"/>
    </row>
    <row r="828" spans="4:8" ht="15.6">
      <c r="D828" s="93"/>
      <c r="E828" s="93"/>
      <c r="F828" s="93"/>
      <c r="G828" s="93"/>
      <c r="H828" s="93"/>
    </row>
    <row r="829" spans="4:8" ht="15.6">
      <c r="D829" s="93"/>
      <c r="E829" s="93"/>
      <c r="F829" s="93"/>
      <c r="G829" s="93"/>
      <c r="H829" s="93"/>
    </row>
    <row r="830" spans="4:8" ht="15.6">
      <c r="D830" s="93"/>
      <c r="E830" s="93"/>
      <c r="F830" s="93"/>
      <c r="G830" s="93"/>
      <c r="H830" s="93"/>
    </row>
    <row r="831" spans="4:8" ht="15.6">
      <c r="D831" s="93"/>
      <c r="E831" s="93"/>
      <c r="F831" s="93"/>
      <c r="G831" s="93"/>
      <c r="H831" s="93"/>
    </row>
    <row r="832" spans="4:8" ht="15.6">
      <c r="D832" s="93"/>
      <c r="E832" s="93"/>
      <c r="F832" s="93"/>
      <c r="G832" s="93"/>
      <c r="H832" s="93"/>
    </row>
    <row r="833" spans="4:8" ht="15.6">
      <c r="D833" s="93"/>
      <c r="E833" s="93"/>
      <c r="F833" s="93"/>
      <c r="G833" s="93"/>
      <c r="H833" s="93"/>
    </row>
    <row r="834" spans="4:8" ht="15.6">
      <c r="D834" s="93"/>
      <c r="E834" s="93"/>
      <c r="F834" s="93"/>
      <c r="G834" s="93"/>
      <c r="H834" s="93"/>
    </row>
    <row r="835" spans="4:8" ht="15.6">
      <c r="D835" s="93"/>
      <c r="E835" s="93"/>
      <c r="F835" s="93"/>
      <c r="G835" s="93"/>
      <c r="H835" s="93"/>
    </row>
    <row r="836" spans="4:8" ht="15.6">
      <c r="D836" s="93"/>
      <c r="E836" s="93"/>
      <c r="F836" s="93"/>
      <c r="G836" s="93"/>
      <c r="H836" s="93"/>
    </row>
    <row r="837" spans="4:8" ht="15.6">
      <c r="D837" s="93"/>
      <c r="E837" s="93"/>
      <c r="F837" s="93"/>
      <c r="G837" s="93"/>
      <c r="H837" s="93"/>
    </row>
    <row r="838" spans="4:8" ht="15.6">
      <c r="D838" s="93"/>
      <c r="E838" s="93"/>
      <c r="F838" s="93"/>
      <c r="G838" s="93"/>
      <c r="H838" s="93"/>
    </row>
    <row r="839" spans="4:8" ht="15.6">
      <c r="D839" s="93"/>
      <c r="E839" s="93"/>
      <c r="F839" s="93"/>
      <c r="G839" s="93"/>
      <c r="H839" s="93"/>
    </row>
    <row r="840" spans="4:8" ht="15.6">
      <c r="D840" s="93"/>
      <c r="E840" s="93"/>
      <c r="F840" s="93"/>
      <c r="G840" s="93"/>
      <c r="H840" s="93"/>
    </row>
    <row r="841" spans="4:8" ht="15.6">
      <c r="D841" s="93"/>
      <c r="E841" s="93"/>
      <c r="F841" s="93"/>
      <c r="G841" s="93"/>
      <c r="H841" s="93"/>
    </row>
    <row r="842" spans="4:8" ht="15.6">
      <c r="D842" s="93"/>
      <c r="E842" s="93"/>
      <c r="F842" s="93"/>
      <c r="G842" s="93"/>
      <c r="H842" s="93"/>
    </row>
    <row r="843" spans="4:8" ht="15.6">
      <c r="D843" s="93"/>
      <c r="E843" s="93"/>
      <c r="F843" s="93"/>
      <c r="G843" s="93"/>
      <c r="H843" s="93"/>
    </row>
    <row r="844" spans="4:8" ht="15.6">
      <c r="D844" s="93"/>
      <c r="E844" s="93"/>
      <c r="F844" s="93"/>
      <c r="G844" s="93"/>
      <c r="H844" s="93"/>
    </row>
    <row r="845" spans="4:8" ht="15.6">
      <c r="D845" s="93"/>
      <c r="E845" s="93"/>
      <c r="F845" s="93"/>
      <c r="G845" s="93"/>
      <c r="H845" s="93"/>
    </row>
    <row r="846" spans="4:8" ht="15.6">
      <c r="D846" s="93"/>
      <c r="E846" s="93"/>
      <c r="F846" s="93"/>
      <c r="G846" s="93"/>
      <c r="H846" s="93"/>
    </row>
    <row r="847" spans="4:8" ht="15.6">
      <c r="D847" s="93"/>
      <c r="E847" s="93"/>
      <c r="F847" s="93"/>
      <c r="G847" s="93"/>
      <c r="H847" s="93"/>
    </row>
    <row r="848" spans="4:8" ht="15.6">
      <c r="D848" s="93"/>
      <c r="E848" s="93"/>
      <c r="F848" s="93"/>
      <c r="G848" s="93"/>
      <c r="H848" s="93"/>
    </row>
    <row r="849" spans="4:8" ht="15.6">
      <c r="D849" s="93"/>
      <c r="E849" s="93"/>
      <c r="F849" s="93"/>
      <c r="G849" s="93"/>
      <c r="H849" s="93"/>
    </row>
    <row r="850" spans="4:8" ht="15.6">
      <c r="D850" s="93"/>
      <c r="E850" s="93"/>
      <c r="F850" s="93"/>
      <c r="G850" s="93"/>
      <c r="H850" s="93"/>
    </row>
    <row r="851" spans="4:8" ht="15.6">
      <c r="D851" s="93"/>
      <c r="E851" s="93"/>
      <c r="F851" s="93"/>
      <c r="G851" s="93"/>
      <c r="H851" s="93"/>
    </row>
    <row r="852" spans="4:8" ht="15.6">
      <c r="D852" s="93"/>
      <c r="E852" s="93"/>
      <c r="F852" s="93"/>
      <c r="G852" s="93"/>
      <c r="H852" s="93"/>
    </row>
    <row r="853" spans="4:8" ht="15.6">
      <c r="D853" s="93"/>
      <c r="E853" s="93"/>
      <c r="F853" s="93"/>
      <c r="G853" s="93"/>
      <c r="H853" s="93"/>
    </row>
    <row r="854" spans="4:8" ht="15.6">
      <c r="D854" s="93"/>
      <c r="E854" s="93"/>
      <c r="F854" s="93"/>
      <c r="G854" s="93"/>
      <c r="H854" s="93"/>
    </row>
    <row r="855" spans="4:8" ht="15.6">
      <c r="D855" s="93"/>
      <c r="E855" s="93"/>
      <c r="F855" s="93"/>
      <c r="G855" s="93"/>
      <c r="H855" s="93"/>
    </row>
    <row r="856" spans="4:8" ht="15.6">
      <c r="D856" s="93"/>
      <c r="E856" s="93"/>
      <c r="F856" s="93"/>
      <c r="G856" s="93"/>
      <c r="H856" s="93"/>
    </row>
    <row r="857" spans="4:8" ht="15.6">
      <c r="D857" s="93"/>
      <c r="E857" s="93"/>
      <c r="F857" s="93"/>
      <c r="G857" s="93"/>
      <c r="H857" s="93"/>
    </row>
    <row r="858" spans="4:8" ht="15.6">
      <c r="D858" s="93"/>
      <c r="E858" s="93"/>
      <c r="F858" s="93"/>
      <c r="G858" s="93"/>
      <c r="H858" s="93"/>
    </row>
    <row r="859" spans="4:8" ht="15.6">
      <c r="D859" s="93"/>
      <c r="E859" s="93"/>
      <c r="F859" s="93"/>
      <c r="G859" s="93"/>
      <c r="H859" s="93"/>
    </row>
    <row r="860" spans="4:8" ht="15.6">
      <c r="D860" s="93"/>
      <c r="E860" s="93"/>
      <c r="F860" s="93"/>
      <c r="G860" s="93"/>
      <c r="H860" s="93"/>
    </row>
    <row r="861" spans="4:8" ht="15.6">
      <c r="D861" s="93"/>
      <c r="E861" s="93"/>
      <c r="F861" s="93"/>
      <c r="G861" s="93"/>
      <c r="H861" s="93"/>
    </row>
    <row r="862" spans="4:8" ht="15.6">
      <c r="D862" s="93"/>
      <c r="E862" s="93"/>
      <c r="F862" s="93"/>
      <c r="G862" s="93"/>
      <c r="H862" s="93"/>
    </row>
    <row r="863" spans="4:8" ht="15.6">
      <c r="D863" s="93"/>
      <c r="E863" s="93"/>
      <c r="F863" s="93"/>
      <c r="G863" s="93"/>
      <c r="H863" s="93"/>
    </row>
    <row r="864" spans="4:8" ht="15.6">
      <c r="D864" s="93"/>
      <c r="E864" s="93"/>
      <c r="F864" s="93"/>
      <c r="G864" s="93"/>
      <c r="H864" s="93"/>
    </row>
    <row r="865" spans="4:8" ht="15.6">
      <c r="D865" s="93"/>
      <c r="E865" s="93"/>
      <c r="F865" s="93"/>
      <c r="G865" s="93"/>
      <c r="H865" s="93"/>
    </row>
    <row r="866" spans="4:8" ht="15.6">
      <c r="D866" s="93"/>
      <c r="E866" s="93"/>
      <c r="F866" s="93"/>
      <c r="G866" s="93"/>
      <c r="H866" s="93"/>
    </row>
    <row r="867" spans="4:8" ht="15.6">
      <c r="D867" s="93"/>
      <c r="E867" s="93"/>
      <c r="F867" s="93"/>
      <c r="G867" s="93"/>
      <c r="H867" s="93"/>
    </row>
    <row r="868" spans="4:8" ht="15.6">
      <c r="D868" s="93"/>
      <c r="E868" s="93"/>
      <c r="F868" s="93"/>
      <c r="G868" s="93"/>
      <c r="H868" s="93"/>
    </row>
    <row r="869" spans="4:8" ht="15.6">
      <c r="D869" s="93"/>
      <c r="E869" s="93"/>
      <c r="F869" s="93"/>
      <c r="G869" s="93"/>
      <c r="H869" s="93"/>
    </row>
    <row r="870" spans="4:8" ht="15.6">
      <c r="D870" s="93"/>
      <c r="E870" s="93"/>
      <c r="F870" s="93"/>
      <c r="G870" s="93"/>
      <c r="H870" s="93"/>
    </row>
    <row r="871" spans="4:8" ht="15.6">
      <c r="D871" s="93"/>
      <c r="E871" s="93"/>
      <c r="F871" s="93"/>
      <c r="G871" s="93"/>
      <c r="H871" s="93"/>
    </row>
    <row r="872" spans="4:8" ht="15.6">
      <c r="D872" s="93"/>
      <c r="E872" s="93"/>
      <c r="F872" s="93"/>
      <c r="G872" s="93"/>
      <c r="H872" s="93"/>
    </row>
    <row r="873" spans="4:8" ht="15.6">
      <c r="D873" s="93"/>
      <c r="E873" s="93"/>
      <c r="F873" s="93"/>
      <c r="G873" s="93"/>
      <c r="H873" s="93"/>
    </row>
    <row r="874" spans="4:8" ht="15.6">
      <c r="D874" s="93"/>
      <c r="E874" s="93"/>
      <c r="F874" s="93"/>
      <c r="G874" s="93"/>
      <c r="H874" s="93"/>
    </row>
    <row r="875" spans="4:8" ht="15.6">
      <c r="D875" s="93"/>
      <c r="E875" s="93"/>
      <c r="F875" s="93"/>
      <c r="G875" s="93"/>
      <c r="H875" s="93"/>
    </row>
    <row r="876" spans="4:8" ht="15.6">
      <c r="D876" s="93"/>
      <c r="E876" s="93"/>
      <c r="F876" s="93"/>
      <c r="G876" s="93"/>
      <c r="H876" s="93"/>
    </row>
    <row r="877" spans="4:8" ht="15.6">
      <c r="D877" s="93"/>
      <c r="E877" s="93"/>
      <c r="F877" s="93"/>
      <c r="G877" s="93"/>
      <c r="H877" s="93"/>
    </row>
    <row r="878" spans="4:8" ht="15.6">
      <c r="D878" s="93"/>
      <c r="E878" s="93"/>
      <c r="F878" s="93"/>
      <c r="G878" s="93"/>
      <c r="H878" s="93"/>
    </row>
    <row r="879" spans="4:8" ht="15.6">
      <c r="D879" s="93"/>
      <c r="E879" s="93"/>
      <c r="F879" s="93"/>
      <c r="G879" s="93"/>
      <c r="H879" s="93"/>
    </row>
    <row r="880" spans="4:8" ht="15.6">
      <c r="D880" s="93"/>
      <c r="E880" s="93"/>
      <c r="F880" s="93"/>
      <c r="G880" s="93"/>
      <c r="H880" s="93"/>
    </row>
    <row r="881" spans="4:8" ht="15.6">
      <c r="D881" s="93"/>
      <c r="E881" s="93"/>
      <c r="F881" s="93"/>
      <c r="G881" s="93"/>
      <c r="H881" s="93"/>
    </row>
    <row r="882" spans="4:8" ht="15.6">
      <c r="D882" s="93"/>
      <c r="E882" s="93"/>
      <c r="F882" s="93"/>
      <c r="G882" s="93"/>
      <c r="H882" s="93"/>
    </row>
    <row r="883" spans="4:8" ht="15.6">
      <c r="D883" s="93"/>
      <c r="E883" s="93"/>
      <c r="F883" s="93"/>
      <c r="G883" s="93"/>
      <c r="H883" s="93"/>
    </row>
    <row r="884" spans="4:8" ht="15.6">
      <c r="D884" s="93"/>
      <c r="E884" s="93"/>
      <c r="F884" s="93"/>
      <c r="G884" s="93"/>
      <c r="H884" s="93"/>
    </row>
    <row r="885" spans="4:8" ht="15.6">
      <c r="D885" s="93"/>
      <c r="E885" s="93"/>
      <c r="F885" s="93"/>
      <c r="G885" s="93"/>
      <c r="H885" s="93"/>
    </row>
    <row r="886" spans="4:8" ht="15.6">
      <c r="D886" s="93"/>
      <c r="E886" s="93"/>
      <c r="F886" s="93"/>
      <c r="G886" s="93"/>
      <c r="H886" s="93"/>
    </row>
    <row r="887" spans="4:8" ht="15.6">
      <c r="D887" s="93"/>
      <c r="E887" s="93"/>
      <c r="F887" s="93"/>
      <c r="G887" s="93"/>
      <c r="H887" s="93"/>
    </row>
    <row r="888" spans="4:8" ht="15.6">
      <c r="D888" s="93"/>
      <c r="E888" s="93"/>
      <c r="F888" s="93"/>
      <c r="G888" s="93"/>
      <c r="H888" s="93"/>
    </row>
    <row r="889" spans="4:8" ht="15.6">
      <c r="D889" s="93"/>
      <c r="E889" s="93"/>
      <c r="F889" s="93"/>
      <c r="G889" s="93"/>
      <c r="H889" s="93"/>
    </row>
    <row r="890" spans="4:8" ht="15.6">
      <c r="D890" s="93"/>
      <c r="E890" s="93"/>
      <c r="F890" s="93"/>
      <c r="G890" s="93"/>
      <c r="H890" s="93"/>
    </row>
    <row r="891" spans="4:8" ht="15.6">
      <c r="D891" s="93"/>
      <c r="E891" s="93"/>
      <c r="F891" s="93"/>
      <c r="G891" s="93"/>
      <c r="H891" s="93"/>
    </row>
    <row r="892" spans="4:8" ht="15.6">
      <c r="D892" s="93"/>
      <c r="E892" s="93"/>
      <c r="F892" s="93"/>
      <c r="G892" s="93"/>
      <c r="H892" s="93"/>
    </row>
    <row r="893" spans="4:8" ht="15.6">
      <c r="D893" s="93"/>
      <c r="E893" s="93"/>
      <c r="F893" s="93"/>
      <c r="G893" s="93"/>
      <c r="H893" s="93"/>
    </row>
    <row r="894" spans="4:8" ht="15.6">
      <c r="D894" s="93"/>
      <c r="E894" s="93"/>
      <c r="F894" s="93"/>
      <c r="G894" s="93"/>
      <c r="H894" s="93"/>
    </row>
    <row r="895" spans="4:8" ht="15.6">
      <c r="D895" s="93"/>
      <c r="E895" s="93"/>
      <c r="F895" s="93"/>
      <c r="G895" s="93"/>
      <c r="H895" s="93"/>
    </row>
    <row r="896" spans="4:8" ht="15.6">
      <c r="D896" s="93"/>
      <c r="E896" s="93"/>
      <c r="F896" s="93"/>
      <c r="G896" s="93"/>
      <c r="H896" s="93"/>
    </row>
    <row r="897" spans="4:8" ht="15.6">
      <c r="D897" s="93"/>
      <c r="E897" s="93"/>
      <c r="F897" s="93"/>
      <c r="G897" s="93"/>
      <c r="H897" s="93"/>
    </row>
    <row r="898" spans="4:8" ht="15.6">
      <c r="D898" s="93"/>
      <c r="E898" s="93"/>
      <c r="F898" s="93"/>
      <c r="G898" s="93"/>
      <c r="H898" s="93"/>
    </row>
    <row r="899" spans="4:8" ht="15.6">
      <c r="D899" s="93"/>
      <c r="E899" s="93"/>
      <c r="F899" s="93"/>
      <c r="G899" s="93"/>
      <c r="H899" s="93"/>
    </row>
    <row r="900" spans="4:8" ht="15.6">
      <c r="D900" s="93"/>
      <c r="E900" s="93"/>
      <c r="F900" s="93"/>
      <c r="G900" s="93"/>
      <c r="H900" s="93"/>
    </row>
    <row r="901" spans="4:8" ht="15.6">
      <c r="D901" s="93"/>
      <c r="E901" s="93"/>
      <c r="F901" s="93"/>
      <c r="G901" s="93"/>
      <c r="H901" s="93"/>
    </row>
    <row r="902" spans="4:8" ht="15.6">
      <c r="D902" s="93"/>
      <c r="E902" s="93"/>
      <c r="F902" s="93"/>
      <c r="G902" s="93"/>
      <c r="H902" s="93"/>
    </row>
    <row r="903" spans="4:8" ht="15.6">
      <c r="D903" s="93"/>
      <c r="E903" s="93"/>
      <c r="F903" s="93"/>
      <c r="G903" s="93"/>
      <c r="H903" s="93"/>
    </row>
    <row r="904" spans="4:8" ht="15.6">
      <c r="D904" s="93"/>
      <c r="E904" s="93"/>
      <c r="F904" s="93"/>
      <c r="G904" s="93"/>
      <c r="H904" s="93"/>
    </row>
    <row r="905" spans="4:8" ht="15.6">
      <c r="D905" s="93"/>
      <c r="E905" s="93"/>
      <c r="F905" s="93"/>
      <c r="G905" s="93"/>
      <c r="H905" s="93"/>
    </row>
    <row r="906" spans="4:8" ht="15.6">
      <c r="D906" s="93"/>
      <c r="E906" s="93"/>
      <c r="F906" s="93"/>
      <c r="G906" s="93"/>
      <c r="H906" s="93"/>
    </row>
    <row r="907" spans="4:8" ht="15.6">
      <c r="D907" s="93"/>
      <c r="E907" s="93"/>
      <c r="F907" s="93"/>
      <c r="G907" s="93"/>
      <c r="H907" s="93"/>
    </row>
    <row r="908" spans="4:8" ht="15.6">
      <c r="D908" s="93"/>
      <c r="E908" s="93"/>
      <c r="F908" s="93"/>
      <c r="G908" s="93"/>
      <c r="H908" s="93"/>
    </row>
    <row r="909" spans="4:8" ht="15.6">
      <c r="D909" s="93"/>
      <c r="E909" s="93"/>
      <c r="F909" s="93"/>
      <c r="G909" s="93"/>
      <c r="H909" s="93"/>
    </row>
    <row r="910" spans="4:8" ht="15.6">
      <c r="D910" s="93"/>
      <c r="E910" s="93"/>
      <c r="F910" s="93"/>
      <c r="G910" s="93"/>
      <c r="H910" s="93"/>
    </row>
    <row r="911" spans="4:8" ht="15.6">
      <c r="D911" s="93"/>
      <c r="E911" s="93"/>
      <c r="F911" s="93"/>
      <c r="G911" s="93"/>
      <c r="H911" s="93"/>
    </row>
    <row r="912" spans="4:8" ht="15.6">
      <c r="D912" s="93"/>
      <c r="E912" s="93"/>
      <c r="F912" s="93"/>
      <c r="G912" s="93"/>
      <c r="H912" s="93"/>
    </row>
    <row r="913" spans="4:8" ht="15.6">
      <c r="D913" s="93"/>
      <c r="E913" s="93"/>
      <c r="F913" s="93"/>
      <c r="G913" s="93"/>
      <c r="H913" s="93"/>
    </row>
    <row r="914" spans="4:8" ht="15.6">
      <c r="D914" s="93"/>
      <c r="E914" s="93"/>
      <c r="F914" s="93"/>
      <c r="G914" s="93"/>
      <c r="H914" s="93"/>
    </row>
    <row r="915" spans="4:8" ht="15.6">
      <c r="D915" s="93"/>
      <c r="E915" s="93"/>
      <c r="F915" s="93"/>
      <c r="G915" s="93"/>
      <c r="H915" s="93"/>
    </row>
    <row r="916" spans="4:8" ht="15.6">
      <c r="D916" s="93"/>
      <c r="E916" s="93"/>
      <c r="F916" s="93"/>
      <c r="G916" s="93"/>
      <c r="H916" s="93"/>
    </row>
    <row r="917" spans="4:8" ht="15.6">
      <c r="D917" s="93"/>
      <c r="E917" s="93"/>
      <c r="F917" s="93"/>
      <c r="G917" s="93"/>
      <c r="H917" s="93"/>
    </row>
    <row r="918" spans="4:8" ht="15.6">
      <c r="D918" s="93"/>
      <c r="E918" s="93"/>
      <c r="F918" s="93"/>
      <c r="G918" s="93"/>
      <c r="H918" s="93"/>
    </row>
    <row r="919" spans="4:8" ht="15.6">
      <c r="D919" s="93"/>
      <c r="E919" s="93"/>
      <c r="F919" s="93"/>
      <c r="G919" s="93"/>
      <c r="H919" s="93"/>
    </row>
    <row r="920" spans="4:8" ht="15.6">
      <c r="D920" s="93"/>
      <c r="E920" s="93"/>
      <c r="F920" s="93"/>
      <c r="G920" s="93"/>
      <c r="H920" s="93"/>
    </row>
    <row r="921" spans="4:8" ht="15.6">
      <c r="D921" s="93"/>
      <c r="E921" s="93"/>
      <c r="F921" s="93"/>
      <c r="G921" s="93"/>
      <c r="H921" s="93"/>
    </row>
    <row r="922" spans="4:8" ht="15.6">
      <c r="D922" s="93"/>
      <c r="E922" s="93"/>
      <c r="F922" s="93"/>
      <c r="G922" s="93"/>
      <c r="H922" s="93"/>
    </row>
    <row r="923" spans="4:8" ht="15.6">
      <c r="D923" s="93"/>
      <c r="E923" s="93"/>
      <c r="F923" s="93"/>
      <c r="G923" s="93"/>
      <c r="H923" s="93"/>
    </row>
    <row r="924" spans="4:8" ht="15.6">
      <c r="D924" s="93"/>
      <c r="E924" s="93"/>
      <c r="F924" s="93"/>
      <c r="G924" s="93"/>
      <c r="H924" s="93"/>
    </row>
    <row r="925" spans="4:8" ht="15.6">
      <c r="D925" s="93"/>
      <c r="E925" s="93"/>
      <c r="F925" s="93"/>
      <c r="G925" s="93"/>
      <c r="H925" s="93"/>
    </row>
    <row r="926" spans="4:8" ht="15.6">
      <c r="D926" s="93"/>
      <c r="E926" s="93"/>
      <c r="F926" s="93"/>
      <c r="G926" s="93"/>
      <c r="H926" s="93"/>
    </row>
    <row r="927" spans="4:8" ht="15.6">
      <c r="D927" s="93"/>
      <c r="E927" s="93"/>
      <c r="F927" s="93"/>
      <c r="G927" s="93"/>
      <c r="H927" s="93"/>
    </row>
    <row r="928" spans="4:8" ht="15.6">
      <c r="D928" s="93"/>
      <c r="E928" s="93"/>
      <c r="F928" s="93"/>
      <c r="G928" s="93"/>
      <c r="H928" s="93"/>
    </row>
    <row r="929" spans="4:8" ht="15.6">
      <c r="D929" s="93"/>
      <c r="E929" s="93"/>
      <c r="F929" s="93"/>
      <c r="G929" s="93"/>
      <c r="H929" s="93"/>
    </row>
    <row r="930" spans="4:8" ht="15.6">
      <c r="D930" s="93"/>
      <c r="E930" s="93"/>
      <c r="F930" s="93"/>
      <c r="G930" s="93"/>
      <c r="H930" s="93"/>
    </row>
    <row r="931" spans="4:8" ht="15.6">
      <c r="D931" s="93"/>
      <c r="E931" s="93"/>
      <c r="F931" s="93"/>
      <c r="G931" s="93"/>
      <c r="H931" s="93"/>
    </row>
    <row r="932" spans="4:8" ht="15.6">
      <c r="D932" s="93"/>
      <c r="E932" s="93"/>
      <c r="F932" s="93"/>
      <c r="G932" s="93"/>
      <c r="H932" s="93"/>
    </row>
    <row r="933" spans="4:8" ht="15.6">
      <c r="D933" s="93"/>
      <c r="E933" s="93"/>
      <c r="F933" s="93"/>
      <c r="G933" s="93"/>
      <c r="H933" s="93"/>
    </row>
    <row r="934" spans="4:8" ht="15.6">
      <c r="D934" s="93"/>
      <c r="E934" s="93"/>
      <c r="F934" s="93"/>
      <c r="G934" s="93"/>
      <c r="H934" s="93"/>
    </row>
    <row r="935" spans="4:8" ht="15.6">
      <c r="D935" s="93"/>
      <c r="E935" s="93"/>
      <c r="F935" s="93"/>
      <c r="G935" s="93"/>
      <c r="H935" s="93"/>
    </row>
    <row r="936" spans="4:8" ht="15.6">
      <c r="D936" s="93"/>
      <c r="E936" s="93"/>
      <c r="F936" s="93"/>
      <c r="G936" s="93"/>
      <c r="H936" s="93"/>
    </row>
    <row r="937" spans="4:8" ht="15.6">
      <c r="D937" s="93"/>
      <c r="E937" s="93"/>
      <c r="F937" s="93"/>
      <c r="G937" s="93"/>
      <c r="H937" s="93"/>
    </row>
    <row r="938" spans="4:8" ht="15.6">
      <c r="D938" s="93"/>
      <c r="E938" s="93"/>
      <c r="F938" s="93"/>
      <c r="G938" s="93"/>
      <c r="H938" s="93"/>
    </row>
    <row r="939" spans="4:8" ht="15.6">
      <c r="D939" s="93"/>
      <c r="E939" s="93"/>
      <c r="F939" s="93"/>
      <c r="G939" s="93"/>
      <c r="H939" s="93"/>
    </row>
    <row r="940" spans="4:8" ht="15.6">
      <c r="D940" s="93"/>
      <c r="E940" s="93"/>
      <c r="F940" s="93"/>
      <c r="G940" s="93"/>
      <c r="H940" s="93"/>
    </row>
    <row r="941" spans="4:8" ht="15.6">
      <c r="D941" s="93"/>
      <c r="E941" s="93"/>
      <c r="F941" s="93"/>
      <c r="G941" s="93"/>
      <c r="H941" s="93"/>
    </row>
    <row r="942" spans="4:8" ht="15.6">
      <c r="D942" s="93"/>
      <c r="E942" s="93"/>
      <c r="F942" s="93"/>
      <c r="G942" s="93"/>
      <c r="H942" s="93"/>
    </row>
    <row r="943" spans="4:8" ht="15.6">
      <c r="D943" s="93"/>
      <c r="E943" s="93"/>
      <c r="F943" s="93"/>
      <c r="G943" s="93"/>
      <c r="H943" s="93"/>
    </row>
    <row r="944" spans="4:8" ht="15.6">
      <c r="D944" s="93"/>
      <c r="E944" s="93"/>
      <c r="F944" s="93"/>
      <c r="G944" s="93"/>
      <c r="H944" s="93"/>
    </row>
    <row r="945" spans="4:8" ht="15.6">
      <c r="D945" s="93"/>
      <c r="E945" s="93"/>
      <c r="F945" s="93"/>
      <c r="G945" s="93"/>
      <c r="H945" s="93"/>
    </row>
    <row r="946" spans="4:8" ht="15.6">
      <c r="D946" s="93"/>
      <c r="E946" s="93"/>
      <c r="F946" s="93"/>
      <c r="G946" s="93"/>
      <c r="H946" s="93"/>
    </row>
    <row r="947" spans="4:8" ht="15.6">
      <c r="D947" s="93"/>
      <c r="E947" s="93"/>
      <c r="F947" s="93"/>
      <c r="G947" s="93"/>
      <c r="H947" s="93"/>
    </row>
    <row r="948" spans="4:8" ht="15.6">
      <c r="D948" s="93"/>
      <c r="E948" s="93"/>
      <c r="F948" s="93"/>
      <c r="G948" s="93"/>
      <c r="H948" s="93"/>
    </row>
    <row r="949" spans="4:8" ht="15.6">
      <c r="D949" s="93"/>
      <c r="E949" s="93"/>
      <c r="F949" s="93"/>
      <c r="G949" s="93"/>
      <c r="H949" s="93"/>
    </row>
    <row r="950" spans="4:8" ht="15.6">
      <c r="D950" s="93"/>
      <c r="E950" s="93"/>
      <c r="F950" s="93"/>
      <c r="G950" s="93"/>
      <c r="H950" s="93"/>
    </row>
    <row r="951" spans="4:8" ht="15.6">
      <c r="D951" s="93"/>
      <c r="E951" s="93"/>
      <c r="F951" s="93"/>
      <c r="G951" s="93"/>
      <c r="H951" s="93"/>
    </row>
    <row r="952" spans="4:8" ht="15.6">
      <c r="D952" s="93"/>
      <c r="E952" s="93"/>
      <c r="F952" s="93"/>
      <c r="G952" s="93"/>
      <c r="H952" s="93"/>
    </row>
    <row r="953" spans="4:8" ht="15.6">
      <c r="D953" s="93"/>
      <c r="E953" s="93"/>
      <c r="F953" s="93"/>
      <c r="G953" s="93"/>
      <c r="H953" s="93"/>
    </row>
    <row r="954" spans="4:8" ht="15.6">
      <c r="D954" s="93"/>
      <c r="E954" s="93"/>
      <c r="F954" s="93"/>
      <c r="G954" s="93"/>
      <c r="H954" s="93"/>
    </row>
    <row r="955" spans="4:8" ht="15.6">
      <c r="D955" s="93"/>
      <c r="E955" s="93"/>
      <c r="F955" s="93"/>
      <c r="G955" s="93"/>
      <c r="H955" s="93"/>
    </row>
    <row r="956" spans="4:8" ht="15.6">
      <c r="D956" s="93"/>
      <c r="E956" s="93"/>
      <c r="F956" s="93"/>
      <c r="G956" s="93"/>
      <c r="H956" s="93"/>
    </row>
    <row r="957" spans="4:8" ht="15.6">
      <c r="D957" s="93"/>
      <c r="E957" s="93"/>
      <c r="F957" s="93"/>
      <c r="G957" s="93"/>
      <c r="H957" s="93"/>
    </row>
    <row r="958" spans="4:8" ht="15.6">
      <c r="D958" s="93"/>
      <c r="E958" s="93"/>
      <c r="F958" s="93"/>
      <c r="G958" s="93"/>
      <c r="H958" s="93"/>
    </row>
    <row r="959" spans="4:8" ht="15.6">
      <c r="D959" s="93"/>
      <c r="E959" s="93"/>
      <c r="F959" s="93"/>
      <c r="G959" s="93"/>
      <c r="H959" s="93"/>
    </row>
  </sheetData>
  <mergeCells count="33">
    <mergeCell ref="I127:R127"/>
    <mergeCell ref="D128:G128"/>
    <mergeCell ref="D129:G129"/>
    <mergeCell ref="D130:G130"/>
    <mergeCell ref="D131:G131"/>
    <mergeCell ref="D27:H27"/>
    <mergeCell ref="D28:H28"/>
    <mergeCell ref="D29:H29"/>
    <mergeCell ref="D132:G132"/>
    <mergeCell ref="D133:G133"/>
    <mergeCell ref="D30:H30"/>
    <mergeCell ref="D127:G127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rintOptions gridLines="1"/>
  <pageMargins left="0.31496062992125984" right="0.31496062992125984" top="0" bottom="0.74803149606299213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 xr:uid="{00000000-0002-0000-0300-000000000000}">
          <x14:formula1>
            <xm:f>Hoja3!$D$3:$D$32</xm:f>
          </x14:formula1>
          <xm:sqref>D16</xm:sqref>
        </x14:dataValidation>
        <x14:dataValidation type="list" allowBlank="1" showErrorMessage="1" xr:uid="{00000000-0002-0000-0300-000001000000}">
          <x14:formula1>
            <xm:f>Hoja3!$P$3:$P$6</xm:f>
          </x14:formula1>
          <xm:sqref>D128</xm:sqref>
        </x14:dataValidation>
        <x14:dataValidation type="list" allowBlank="1" showErrorMessage="1" xr:uid="{00000000-0002-0000-0300-000002000000}">
          <x14:formula1>
            <xm:f>Hoja3!$O$3:$O$7</xm:f>
          </x14:formula1>
          <xm:sqref>D127</xm:sqref>
        </x14:dataValidation>
        <x14:dataValidation type="list" allowBlank="1" showErrorMessage="1" xr:uid="{00000000-0002-0000-0300-000003000000}">
          <x14:formula1>
            <xm:f>Hoja3!$C$3:$C$32</xm:f>
          </x14:formula1>
          <xm:sqref>D14</xm:sqref>
        </x14:dataValidation>
        <x14:dataValidation type="list" allowBlank="1" showErrorMessage="1" xr:uid="{00000000-0002-0000-0300-000004000000}">
          <x14:formula1>
            <xm:f>Hoja3!$E$3:$E$6</xm:f>
          </x14:formula1>
          <xm:sqref>D17</xm:sqref>
        </x14:dataValidation>
        <x14:dataValidation type="list" allowBlank="1" showErrorMessage="1" xr:uid="{00000000-0002-0000-0300-000005000000}">
          <x14:formula1>
            <xm:f>Hoja3!$H$3:$H$5</xm:f>
          </x14:formula1>
          <xm:sqref>D21</xm:sqref>
        </x14:dataValidation>
        <x14:dataValidation type="list" allowBlank="1" showErrorMessage="1" xr:uid="{00000000-0002-0000-0300-000006000000}">
          <x14:formula1>
            <xm:f>Hoja3!$I$3:$I$32</xm:f>
          </x14:formula1>
          <xm:sqref>D22</xm:sqref>
        </x14:dataValidation>
        <x14:dataValidation type="list" allowBlank="1" showErrorMessage="1" xr:uid="{00000000-0002-0000-0300-000007000000}">
          <x14:formula1>
            <xm:f>Hoja3!$R$4:$R$99</xm:f>
          </x14:formula1>
          <xm:sqref>B53 B55 B58</xm:sqref>
        </x14:dataValidation>
        <x14:dataValidation type="list" allowBlank="1" showErrorMessage="1" xr:uid="{00000000-0002-0000-0300-000008000000}">
          <x14:formula1>
            <xm:f>Hoja3!$Q$3:$Q$5</xm:f>
          </x14:formula1>
          <xm:sqref>D131</xm:sqref>
        </x14:dataValidation>
        <x14:dataValidation type="list" allowBlank="1" showErrorMessage="1" xr:uid="{00000000-0002-0000-0300-000009000000}">
          <x14:formula1>
            <xm:f>Hoja3!$B$3:$B$25</xm:f>
          </x14:formula1>
          <xm:sqref>D15</xm:sqref>
        </x14:dataValidation>
        <x14:dataValidation type="list" allowBlank="1" showErrorMessage="1" xr:uid="{00000000-0002-0000-0300-00000A000000}">
          <x14:formula1>
            <xm:f>Hoja3!$F$3:$F$30</xm:f>
          </x14:formula1>
          <xm:sqref>D18</xm:sqref>
        </x14:dataValidation>
        <x14:dataValidation type="list" allowBlank="1" showErrorMessage="1" xr:uid="{00000000-0002-0000-0300-00000B000000}">
          <x14:formula1>
            <xm:f>Hoja3!$G$3:$G$113</xm:f>
          </x14:formula1>
          <xm:sqref>D20</xm:sqref>
        </x14:dataValidation>
        <x14:dataValidation type="list" allowBlank="1" showErrorMessage="1" xr:uid="{00000000-0002-0000-0300-00000C000000}">
          <x14:formula1>
            <xm:f>Hoja3!$R$3:$R$99</xm:f>
          </x14:formula1>
          <xm:sqref>B35 D129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959"/>
  <sheetViews>
    <sheetView workbookViewId="0"/>
  </sheetViews>
  <sheetFormatPr baseColWidth="10" defaultColWidth="14.44140625" defaultRowHeight="15" customHeight="1"/>
  <cols>
    <col min="1" max="1" width="7" customWidth="1"/>
    <col min="2" max="2" width="17.88671875" customWidth="1"/>
    <col min="3" max="3" width="51.33203125" customWidth="1"/>
    <col min="4" max="4" width="25.109375" customWidth="1"/>
    <col min="5" max="5" width="26.88671875" customWidth="1"/>
    <col min="6" max="6" width="22.5546875" customWidth="1"/>
    <col min="7" max="7" width="21.6640625" customWidth="1"/>
    <col min="8" max="8" width="21.109375" customWidth="1"/>
    <col min="9" max="9" width="29" customWidth="1"/>
    <col min="10" max="10" width="25.5546875" customWidth="1"/>
    <col min="11" max="11" width="29.88671875" customWidth="1"/>
    <col min="12" max="12" width="20.88671875" customWidth="1"/>
    <col min="13" max="13" width="21.33203125" customWidth="1"/>
    <col min="14" max="14" width="19.5546875" customWidth="1"/>
    <col min="15" max="15" width="19.44140625" customWidth="1"/>
    <col min="16" max="16" width="18.5546875" customWidth="1"/>
    <col min="17" max="17" width="23" customWidth="1"/>
    <col min="18" max="18" width="18.88671875" customWidth="1"/>
    <col min="19" max="19" width="14" customWidth="1"/>
    <col min="20" max="32" width="10.6640625" customWidth="1"/>
  </cols>
  <sheetData>
    <row r="1" spans="1:32" ht="15.6">
      <c r="A1" s="2"/>
      <c r="B1" s="3"/>
      <c r="C1" s="3"/>
      <c r="D1" s="4"/>
      <c r="E1" s="4"/>
      <c r="F1" s="4"/>
      <c r="G1" s="4"/>
      <c r="H1" s="4"/>
      <c r="I1" s="3"/>
      <c r="J1" s="5"/>
      <c r="K1" s="5"/>
      <c r="L1" s="3"/>
      <c r="M1" s="3"/>
      <c r="N1" s="5"/>
      <c r="O1" s="5"/>
      <c r="P1" s="5"/>
      <c r="Q1" s="3"/>
      <c r="R1" s="3"/>
      <c r="AF1" s="103"/>
    </row>
    <row r="2" spans="1:32" ht="15.6">
      <c r="A2" s="2"/>
      <c r="B2" s="3"/>
      <c r="C2" s="3"/>
      <c r="D2" s="4"/>
      <c r="E2" s="4"/>
      <c r="F2" s="4"/>
      <c r="G2" s="4"/>
      <c r="H2" s="4"/>
      <c r="I2" s="3"/>
      <c r="J2" s="5"/>
      <c r="K2" s="5"/>
      <c r="L2" s="3"/>
      <c r="M2" s="3"/>
      <c r="N2" s="5"/>
      <c r="O2" s="5"/>
      <c r="P2" s="5"/>
      <c r="Q2" s="3"/>
      <c r="R2" s="3"/>
      <c r="AF2" s="103"/>
    </row>
    <row r="3" spans="1:32" ht="15.6">
      <c r="A3" s="2"/>
      <c r="B3" s="3"/>
      <c r="C3" s="3"/>
      <c r="D3" s="4"/>
      <c r="E3" s="4"/>
      <c r="F3" s="4"/>
      <c r="G3" s="4"/>
      <c r="H3" s="4"/>
      <c r="I3" s="3"/>
      <c r="J3" s="5"/>
      <c r="K3" s="5"/>
      <c r="L3" s="3"/>
      <c r="M3" s="3"/>
      <c r="N3" s="5"/>
      <c r="O3" s="5"/>
      <c r="P3" s="5"/>
      <c r="Q3" s="3"/>
      <c r="R3" s="3"/>
      <c r="AF3" s="103"/>
    </row>
    <row r="4" spans="1:32" ht="15.6">
      <c r="A4" s="2"/>
      <c r="B4" s="3"/>
      <c r="C4" s="3"/>
      <c r="D4" s="200" t="s">
        <v>0</v>
      </c>
      <c r="E4" s="201"/>
      <c r="F4" s="201"/>
      <c r="G4" s="201"/>
      <c r="H4" s="201"/>
      <c r="I4" s="3"/>
      <c r="J4" s="5"/>
      <c r="K4" s="5"/>
      <c r="L4" s="3"/>
      <c r="M4" s="3"/>
      <c r="N4" s="5"/>
      <c r="O4" s="5"/>
      <c r="P4" s="5"/>
      <c r="Q4" s="3"/>
      <c r="R4" s="3"/>
      <c r="AF4" s="103"/>
    </row>
    <row r="5" spans="1:32" ht="15.6">
      <c r="A5" s="2"/>
      <c r="B5" s="3"/>
      <c r="C5" s="3"/>
      <c r="D5" s="200" t="s">
        <v>1</v>
      </c>
      <c r="E5" s="201"/>
      <c r="F5" s="201"/>
      <c r="G5" s="201"/>
      <c r="H5" s="201"/>
      <c r="I5" s="3"/>
      <c r="J5" s="5"/>
      <c r="K5" s="5"/>
      <c r="L5" s="3"/>
      <c r="M5" s="3"/>
      <c r="N5" s="5"/>
      <c r="O5" s="5"/>
      <c r="P5" s="5"/>
      <c r="Q5" s="3"/>
      <c r="R5" s="3"/>
      <c r="AF5" s="103"/>
    </row>
    <row r="6" spans="1:32" ht="15.6">
      <c r="A6" s="2"/>
      <c r="B6" s="3"/>
      <c r="C6" s="3"/>
      <c r="D6" s="200" t="s">
        <v>2</v>
      </c>
      <c r="E6" s="201"/>
      <c r="F6" s="201"/>
      <c r="G6" s="201"/>
      <c r="H6" s="201"/>
      <c r="I6" s="3"/>
      <c r="J6" s="5"/>
      <c r="K6" s="5"/>
      <c r="L6" s="3"/>
      <c r="M6" s="3"/>
      <c r="N6" s="5"/>
      <c r="O6" s="5"/>
      <c r="P6" s="5"/>
      <c r="Q6" s="3"/>
      <c r="R6" s="3"/>
      <c r="AF6" s="103"/>
    </row>
    <row r="7" spans="1:32" ht="15.6">
      <c r="A7" s="2"/>
      <c r="B7" s="3"/>
      <c r="C7" s="3"/>
      <c r="D7" s="200"/>
      <c r="E7" s="201"/>
      <c r="F7" s="201"/>
      <c r="G7" s="201"/>
      <c r="H7" s="201"/>
      <c r="I7" s="3"/>
      <c r="J7" s="5"/>
      <c r="K7" s="5"/>
      <c r="L7" s="3"/>
      <c r="M7" s="3"/>
      <c r="N7" s="5"/>
      <c r="O7" s="5"/>
      <c r="P7" s="5"/>
      <c r="Q7" s="3"/>
      <c r="R7" s="3"/>
      <c r="AF7" s="103"/>
    </row>
    <row r="8" spans="1:32" ht="15.6">
      <c r="A8" s="2"/>
      <c r="B8" s="3"/>
      <c r="C8" s="3"/>
      <c r="D8" s="6"/>
      <c r="E8" s="6"/>
      <c r="F8" s="6"/>
      <c r="G8" s="6"/>
      <c r="H8" s="6"/>
      <c r="I8" s="3"/>
      <c r="J8" s="5"/>
      <c r="K8" s="5"/>
      <c r="L8" s="3"/>
      <c r="M8" s="3"/>
      <c r="N8" s="5"/>
      <c r="O8" s="5"/>
      <c r="P8" s="5"/>
      <c r="Q8" s="3"/>
      <c r="R8" s="3"/>
      <c r="AF8" s="103"/>
    </row>
    <row r="9" spans="1:32" ht="15.6">
      <c r="A9" s="2"/>
      <c r="B9" s="3"/>
      <c r="C9" s="3"/>
      <c r="D9" s="4"/>
      <c r="E9" s="4"/>
      <c r="F9" s="4"/>
      <c r="G9" s="4"/>
      <c r="H9" s="4"/>
      <c r="I9" s="3"/>
      <c r="J9" s="5"/>
      <c r="K9" s="5"/>
      <c r="L9" s="3"/>
      <c r="M9" s="3"/>
      <c r="N9" s="5"/>
      <c r="O9" s="5"/>
      <c r="P9" s="5"/>
      <c r="Q9" s="3"/>
      <c r="R9" s="3"/>
      <c r="AF9" s="103"/>
    </row>
    <row r="10" spans="1:32" ht="15.6">
      <c r="A10" s="2"/>
      <c r="B10" s="3"/>
      <c r="C10" s="3"/>
      <c r="D10" s="4"/>
      <c r="E10" s="4"/>
      <c r="F10" s="4"/>
      <c r="G10" s="4"/>
      <c r="H10" s="4"/>
      <c r="I10" s="3"/>
      <c r="J10" s="5"/>
      <c r="K10" s="5"/>
      <c r="L10" s="3"/>
      <c r="M10" s="3"/>
      <c r="N10" s="5"/>
      <c r="O10" s="5"/>
      <c r="P10" s="5"/>
      <c r="Q10" s="3"/>
      <c r="R10" s="3"/>
      <c r="AF10" s="103"/>
    </row>
    <row r="11" spans="1:32" ht="15.6">
      <c r="A11" s="2"/>
      <c r="B11" s="3"/>
      <c r="C11" s="3"/>
      <c r="D11" s="4"/>
      <c r="E11" s="4"/>
      <c r="F11" s="4"/>
      <c r="G11" s="4"/>
      <c r="H11" s="4"/>
      <c r="I11" s="3"/>
      <c r="J11" s="5"/>
      <c r="K11" s="5"/>
      <c r="L11" s="3"/>
      <c r="M11" s="3"/>
      <c r="N11" s="5"/>
      <c r="O11" s="5"/>
      <c r="P11" s="5"/>
      <c r="Q11" s="3"/>
      <c r="R11" s="3"/>
      <c r="AF11" s="103"/>
    </row>
    <row r="12" spans="1:32" ht="15.6">
      <c r="A12" s="7"/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9"/>
      <c r="O12" s="9"/>
      <c r="P12" s="9"/>
      <c r="Q12" s="8"/>
      <c r="R12" s="8"/>
      <c r="S12" s="10"/>
      <c r="AF12" s="103"/>
    </row>
    <row r="13" spans="1:32" ht="15.6">
      <c r="A13" s="7"/>
      <c r="B13" s="8"/>
      <c r="C13" s="11" t="s">
        <v>3</v>
      </c>
      <c r="D13" s="202" t="s">
        <v>4</v>
      </c>
      <c r="E13" s="203"/>
      <c r="F13" s="203"/>
      <c r="G13" s="203"/>
      <c r="H13" s="204"/>
      <c r="I13" s="12"/>
      <c r="J13" s="9"/>
      <c r="K13" s="9"/>
      <c r="L13" s="8"/>
      <c r="M13" s="8"/>
      <c r="N13" s="9"/>
      <c r="O13" s="9"/>
      <c r="P13" s="9"/>
      <c r="Q13" s="8"/>
      <c r="R13" s="8"/>
      <c r="S13" s="10"/>
      <c r="AF13" s="103"/>
    </row>
    <row r="14" spans="1:32" ht="15.6">
      <c r="A14" s="7"/>
      <c r="B14" s="8"/>
      <c r="C14" s="11" t="s">
        <v>5</v>
      </c>
      <c r="D14" s="205" t="s">
        <v>6</v>
      </c>
      <c r="E14" s="203"/>
      <c r="F14" s="203"/>
      <c r="G14" s="203"/>
      <c r="H14" s="204"/>
      <c r="I14" s="13" t="s">
        <v>7</v>
      </c>
      <c r="J14" s="9"/>
      <c r="K14" s="9"/>
      <c r="L14" s="8"/>
      <c r="M14" s="8"/>
      <c r="N14" s="9"/>
      <c r="O14" s="9"/>
      <c r="P14" s="9"/>
      <c r="Q14" s="8"/>
      <c r="R14" s="8"/>
      <c r="S14" s="10"/>
      <c r="AF14" s="103"/>
    </row>
    <row r="15" spans="1:32" ht="15.6">
      <c r="A15" s="7"/>
      <c r="B15" s="8"/>
      <c r="C15" s="11" t="s">
        <v>8</v>
      </c>
      <c r="D15" s="205" t="s">
        <v>9</v>
      </c>
      <c r="E15" s="203"/>
      <c r="F15" s="203"/>
      <c r="G15" s="203"/>
      <c r="H15" s="204"/>
      <c r="I15" s="13" t="s">
        <v>7</v>
      </c>
      <c r="J15" s="9"/>
      <c r="K15" s="9"/>
      <c r="L15" s="8"/>
      <c r="M15" s="8"/>
      <c r="N15" s="9"/>
      <c r="O15" s="9"/>
      <c r="P15" s="9"/>
      <c r="Q15" s="8"/>
      <c r="R15" s="8"/>
      <c r="S15" s="10"/>
      <c r="AF15" s="103"/>
    </row>
    <row r="16" spans="1:32" ht="60">
      <c r="A16" s="7"/>
      <c r="B16" s="8"/>
      <c r="C16" s="11" t="s">
        <v>10</v>
      </c>
      <c r="D16" s="205" t="s">
        <v>11</v>
      </c>
      <c r="E16" s="203"/>
      <c r="F16" s="203"/>
      <c r="G16" s="203"/>
      <c r="H16" s="204"/>
      <c r="I16" s="14" t="s">
        <v>12</v>
      </c>
      <c r="J16" s="9"/>
      <c r="K16" s="9"/>
      <c r="L16" s="8"/>
      <c r="M16" s="8"/>
      <c r="N16" s="9"/>
      <c r="O16" s="9"/>
      <c r="P16" s="9"/>
      <c r="Q16" s="8"/>
      <c r="R16" s="8"/>
      <c r="S16" s="10"/>
      <c r="AF16" s="103"/>
    </row>
    <row r="17" spans="1:32" ht="15.6">
      <c r="A17" s="7"/>
      <c r="B17" s="8"/>
      <c r="C17" s="11" t="s">
        <v>13</v>
      </c>
      <c r="D17" s="205" t="s">
        <v>14</v>
      </c>
      <c r="E17" s="203"/>
      <c r="F17" s="203"/>
      <c r="G17" s="203"/>
      <c r="H17" s="204"/>
      <c r="I17" s="13" t="s">
        <v>7</v>
      </c>
      <c r="J17" s="9"/>
      <c r="K17" s="9"/>
      <c r="L17" s="8"/>
      <c r="M17" s="8"/>
      <c r="N17" s="9"/>
      <c r="O17" s="9"/>
      <c r="P17" s="9"/>
      <c r="Q17" s="8"/>
      <c r="R17" s="8"/>
      <c r="S17" s="10"/>
      <c r="AF17" s="103"/>
    </row>
    <row r="18" spans="1:32" ht="15.6">
      <c r="A18" s="15"/>
      <c r="B18" s="15"/>
      <c r="C18" s="11" t="s">
        <v>15</v>
      </c>
      <c r="D18" s="205" t="s">
        <v>16</v>
      </c>
      <c r="E18" s="203"/>
      <c r="F18" s="203"/>
      <c r="G18" s="203"/>
      <c r="H18" s="204"/>
      <c r="I18" s="13" t="s">
        <v>7</v>
      </c>
      <c r="J18" s="9"/>
      <c r="K18" s="9"/>
      <c r="L18" s="8"/>
      <c r="M18" s="8"/>
      <c r="N18" s="9"/>
      <c r="O18" s="9"/>
      <c r="P18" s="9"/>
      <c r="Q18" s="8"/>
      <c r="R18" s="8"/>
      <c r="S18" s="10"/>
      <c r="AF18" s="103"/>
    </row>
    <row r="19" spans="1:32" ht="15.6" hidden="1">
      <c r="A19" s="16"/>
      <c r="B19" s="17"/>
      <c r="C19" s="11" t="s">
        <v>17</v>
      </c>
      <c r="D19" s="205"/>
      <c r="E19" s="203"/>
      <c r="F19" s="203"/>
      <c r="G19" s="203"/>
      <c r="H19" s="204"/>
      <c r="I19" s="12"/>
      <c r="J19" s="9"/>
      <c r="K19" s="9"/>
      <c r="L19" s="8"/>
      <c r="M19" s="8"/>
      <c r="N19" s="9"/>
      <c r="O19" s="9"/>
      <c r="P19" s="9"/>
      <c r="Q19" s="8"/>
      <c r="R19" s="8"/>
      <c r="S19" s="10"/>
      <c r="AF19" s="103"/>
    </row>
    <row r="20" spans="1:32" ht="15.6">
      <c r="C20" s="11" t="s">
        <v>17</v>
      </c>
      <c r="D20" s="205" t="s">
        <v>18</v>
      </c>
      <c r="E20" s="203"/>
      <c r="F20" s="203"/>
      <c r="G20" s="203"/>
      <c r="H20" s="204"/>
      <c r="I20" s="13" t="s">
        <v>7</v>
      </c>
      <c r="J20" s="9"/>
      <c r="K20" s="9"/>
      <c r="L20" s="8"/>
      <c r="M20" s="8"/>
      <c r="N20" s="9"/>
      <c r="O20" s="9"/>
      <c r="P20" s="9"/>
      <c r="Q20" s="8"/>
      <c r="R20" s="8"/>
      <c r="S20" s="10"/>
      <c r="AF20" s="103"/>
    </row>
    <row r="21" spans="1:32" ht="15.6">
      <c r="A21" s="18"/>
      <c r="B21" s="196" t="s">
        <v>19</v>
      </c>
      <c r="C21" s="11" t="s">
        <v>20</v>
      </c>
      <c r="D21" s="205" t="s">
        <v>21</v>
      </c>
      <c r="E21" s="203"/>
      <c r="F21" s="203"/>
      <c r="G21" s="203"/>
      <c r="H21" s="204"/>
      <c r="I21" s="13" t="s">
        <v>7</v>
      </c>
      <c r="K21" s="9"/>
      <c r="L21" s="8"/>
      <c r="M21" s="8"/>
      <c r="N21" s="9"/>
      <c r="O21" s="9"/>
      <c r="P21" s="9"/>
      <c r="Q21" s="8"/>
      <c r="R21" s="8"/>
      <c r="S21" s="10"/>
      <c r="AF21" s="103"/>
    </row>
    <row r="22" spans="1:32" ht="15.6">
      <c r="A22" s="18"/>
      <c r="B22" s="197"/>
      <c r="C22" s="11" t="s">
        <v>22</v>
      </c>
      <c r="D22" s="205" t="s">
        <v>23</v>
      </c>
      <c r="E22" s="203"/>
      <c r="F22" s="203"/>
      <c r="G22" s="203"/>
      <c r="H22" s="204"/>
      <c r="I22" s="13" t="s">
        <v>7</v>
      </c>
      <c r="J22" s="9"/>
      <c r="K22" s="9"/>
      <c r="L22" s="8"/>
      <c r="M22" s="8"/>
      <c r="N22" s="9"/>
      <c r="O22" s="9"/>
      <c r="P22" s="9"/>
      <c r="Q22" s="8"/>
      <c r="R22" s="8"/>
      <c r="S22" s="10"/>
      <c r="AF22" s="103"/>
    </row>
    <row r="23" spans="1:32" ht="15.6">
      <c r="A23" s="19"/>
      <c r="B23" s="198" t="s">
        <v>24</v>
      </c>
      <c r="C23" s="11" t="s">
        <v>25</v>
      </c>
      <c r="D23" s="205" t="s">
        <v>377</v>
      </c>
      <c r="E23" s="203"/>
      <c r="F23" s="203"/>
      <c r="G23" s="203"/>
      <c r="H23" s="204"/>
      <c r="I23" s="13" t="s">
        <v>7</v>
      </c>
      <c r="J23" s="9"/>
      <c r="K23" s="9"/>
      <c r="L23" s="8"/>
      <c r="M23" s="8"/>
      <c r="N23" s="9"/>
      <c r="O23" s="9"/>
      <c r="P23" s="9"/>
      <c r="Q23" s="8"/>
      <c r="R23" s="8"/>
      <c r="S23" s="10"/>
      <c r="AF23" s="103"/>
    </row>
    <row r="24" spans="1:32" ht="31.2">
      <c r="A24" s="19"/>
      <c r="B24" s="199"/>
      <c r="C24" s="11" t="s">
        <v>27</v>
      </c>
      <c r="D24" s="205" t="s">
        <v>378</v>
      </c>
      <c r="E24" s="203"/>
      <c r="F24" s="203"/>
      <c r="G24" s="203"/>
      <c r="H24" s="204"/>
      <c r="I24" s="13" t="s">
        <v>7</v>
      </c>
      <c r="J24" s="9"/>
      <c r="K24" s="9"/>
      <c r="L24" s="8"/>
      <c r="M24" s="8"/>
      <c r="N24" s="9"/>
      <c r="O24" s="9"/>
      <c r="P24" s="9"/>
      <c r="Q24" s="8"/>
      <c r="R24" s="8"/>
      <c r="S24" s="10"/>
      <c r="AF24" s="103"/>
    </row>
    <row r="25" spans="1:32" ht="15.6">
      <c r="A25" s="19"/>
      <c r="B25" s="198" t="s">
        <v>29</v>
      </c>
      <c r="C25" s="11" t="s">
        <v>30</v>
      </c>
      <c r="D25" s="205" t="s">
        <v>379</v>
      </c>
      <c r="E25" s="203"/>
      <c r="F25" s="203"/>
      <c r="G25" s="203"/>
      <c r="H25" s="204"/>
      <c r="I25" s="13" t="s">
        <v>7</v>
      </c>
      <c r="J25" s="9"/>
      <c r="K25" s="9"/>
      <c r="L25" s="8"/>
      <c r="M25" s="8"/>
      <c r="N25" s="9"/>
      <c r="O25" s="9"/>
      <c r="P25" s="9"/>
      <c r="Q25" s="8"/>
      <c r="R25" s="8"/>
      <c r="S25" s="10"/>
      <c r="AF25" s="103"/>
    </row>
    <row r="26" spans="1:32" ht="15.6">
      <c r="A26" s="19"/>
      <c r="B26" s="197"/>
      <c r="C26" s="11" t="s">
        <v>32</v>
      </c>
      <c r="D26" s="205" t="s">
        <v>380</v>
      </c>
      <c r="E26" s="203"/>
      <c r="F26" s="203"/>
      <c r="G26" s="203"/>
      <c r="H26" s="204"/>
      <c r="I26" s="13" t="s">
        <v>7</v>
      </c>
      <c r="J26" s="9"/>
      <c r="K26" s="9"/>
      <c r="L26" s="8"/>
      <c r="M26" s="8"/>
      <c r="N26" s="9"/>
      <c r="O26" s="9"/>
      <c r="P26" s="9"/>
      <c r="Q26" s="8"/>
      <c r="R26" s="8"/>
      <c r="S26" s="10"/>
      <c r="AF26" s="103"/>
    </row>
    <row r="27" spans="1:32" ht="15.6">
      <c r="A27" s="19"/>
      <c r="B27" s="197"/>
      <c r="C27" s="11" t="s">
        <v>34</v>
      </c>
      <c r="D27" s="205" t="s">
        <v>381</v>
      </c>
      <c r="E27" s="203"/>
      <c r="F27" s="203"/>
      <c r="G27" s="203"/>
      <c r="H27" s="204"/>
      <c r="I27" s="13" t="s">
        <v>7</v>
      </c>
      <c r="J27" s="9"/>
      <c r="K27" s="9"/>
      <c r="L27" s="8"/>
      <c r="M27" s="8"/>
      <c r="N27" s="9"/>
      <c r="O27" s="9"/>
      <c r="P27" s="9"/>
      <c r="Q27" s="8"/>
      <c r="R27" s="8"/>
      <c r="S27" s="10"/>
      <c r="AF27" s="103"/>
    </row>
    <row r="28" spans="1:32" ht="16.2">
      <c r="A28" s="19"/>
      <c r="B28" s="197"/>
      <c r="C28" s="11" t="s">
        <v>36</v>
      </c>
      <c r="D28" s="218" t="s">
        <v>382</v>
      </c>
      <c r="E28" s="203"/>
      <c r="F28" s="203"/>
      <c r="G28" s="203"/>
      <c r="H28" s="204"/>
      <c r="I28" s="8"/>
      <c r="J28" s="9"/>
      <c r="K28" s="9"/>
      <c r="L28" s="8"/>
      <c r="M28" s="8"/>
      <c r="N28" s="9"/>
      <c r="O28" s="20"/>
      <c r="P28" s="20"/>
      <c r="Q28" s="8"/>
      <c r="R28" s="8"/>
      <c r="S28" s="10"/>
      <c r="AF28" s="103"/>
    </row>
    <row r="29" spans="1:32" ht="31.2">
      <c r="A29" s="15"/>
      <c r="B29" s="15"/>
      <c r="C29" s="11" t="s">
        <v>38</v>
      </c>
      <c r="D29" s="214" t="s">
        <v>39</v>
      </c>
      <c r="E29" s="203"/>
      <c r="F29" s="203"/>
      <c r="G29" s="203"/>
      <c r="H29" s="203"/>
      <c r="I29" s="8"/>
      <c r="J29" s="9"/>
      <c r="K29" s="9"/>
      <c r="L29" s="8"/>
      <c r="M29" s="8"/>
      <c r="N29" s="9"/>
      <c r="O29" s="20"/>
      <c r="P29" s="20"/>
      <c r="Q29" s="8"/>
      <c r="R29" s="8"/>
      <c r="S29" s="10"/>
      <c r="AF29" s="103"/>
    </row>
    <row r="30" spans="1:32" ht="15.6">
      <c r="A30" s="15"/>
      <c r="B30" s="15"/>
      <c r="C30" s="21" t="s">
        <v>40</v>
      </c>
      <c r="D30" s="215"/>
      <c r="E30" s="203"/>
      <c r="F30" s="203"/>
      <c r="G30" s="203"/>
      <c r="H30" s="204"/>
      <c r="I30" s="12"/>
      <c r="J30" s="9"/>
      <c r="K30" s="9"/>
      <c r="L30" s="8"/>
      <c r="M30" s="8"/>
      <c r="N30" s="9"/>
      <c r="O30" s="9"/>
      <c r="P30" s="9"/>
      <c r="Q30" s="8"/>
      <c r="R30" s="8"/>
      <c r="S30" s="10"/>
      <c r="AF30" s="103"/>
    </row>
    <row r="31" spans="1:32" ht="15.6">
      <c r="A31" s="7"/>
      <c r="B31" s="8"/>
      <c r="C31" s="8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10"/>
      <c r="AF31" s="103"/>
    </row>
    <row r="32" spans="1:32" ht="62.4">
      <c r="A32" s="25"/>
      <c r="B32" s="26" t="s">
        <v>42</v>
      </c>
      <c r="C32" s="27" t="s">
        <v>43</v>
      </c>
      <c r="D32" s="21" t="s">
        <v>44</v>
      </c>
      <c r="E32" s="21" t="s">
        <v>45</v>
      </c>
      <c r="F32" s="21" t="s">
        <v>46</v>
      </c>
      <c r="G32" s="21" t="s">
        <v>47</v>
      </c>
      <c r="H32" s="21" t="s">
        <v>48</v>
      </c>
      <c r="I32" s="21" t="s">
        <v>49</v>
      </c>
      <c r="J32" s="28" t="s">
        <v>50</v>
      </c>
      <c r="K32" s="28" t="s">
        <v>51</v>
      </c>
      <c r="L32" s="21" t="s">
        <v>52</v>
      </c>
      <c r="M32" s="21" t="s">
        <v>53</v>
      </c>
      <c r="N32" s="28" t="s">
        <v>54</v>
      </c>
      <c r="O32" s="28" t="s">
        <v>55</v>
      </c>
      <c r="P32" s="28" t="s">
        <v>56</v>
      </c>
      <c r="Q32" s="21" t="s">
        <v>57</v>
      </c>
      <c r="R32" s="21" t="s">
        <v>58</v>
      </c>
      <c r="S32" s="29" t="s">
        <v>59</v>
      </c>
      <c r="T32" s="30" t="s">
        <v>60</v>
      </c>
      <c r="U32" s="30" t="s">
        <v>61</v>
      </c>
      <c r="V32" s="30" t="s">
        <v>62</v>
      </c>
      <c r="W32" s="30" t="s">
        <v>63</v>
      </c>
      <c r="X32" s="30" t="s">
        <v>64</v>
      </c>
      <c r="Y32" s="30" t="s">
        <v>65</v>
      </c>
      <c r="Z32" s="30" t="s">
        <v>66</v>
      </c>
      <c r="AA32" s="30" t="s">
        <v>67</v>
      </c>
      <c r="AB32" s="30" t="s">
        <v>68</v>
      </c>
      <c r="AC32" s="30" t="s">
        <v>69</v>
      </c>
      <c r="AD32" s="30" t="s">
        <v>70</v>
      </c>
      <c r="AE32" s="31" t="s">
        <v>71</v>
      </c>
      <c r="AF32" s="111" t="s">
        <v>72</v>
      </c>
    </row>
    <row r="33" spans="1:32" ht="303.60000000000002">
      <c r="B33" s="8"/>
      <c r="C33" s="11" t="s">
        <v>74</v>
      </c>
      <c r="D33" s="32" t="s">
        <v>75</v>
      </c>
      <c r="E33" s="32" t="s">
        <v>76</v>
      </c>
      <c r="F33" s="32" t="s">
        <v>77</v>
      </c>
      <c r="G33" s="33" t="s">
        <v>78</v>
      </c>
      <c r="H33" s="33" t="s">
        <v>79</v>
      </c>
      <c r="I33" s="32" t="s">
        <v>80</v>
      </c>
      <c r="J33" s="34" t="s">
        <v>81</v>
      </c>
      <c r="K33" s="34" t="s">
        <v>82</v>
      </c>
      <c r="L33" s="33" t="s">
        <v>83</v>
      </c>
      <c r="M33" s="33" t="s">
        <v>84</v>
      </c>
      <c r="N33" s="35" t="s">
        <v>85</v>
      </c>
      <c r="O33" s="104">
        <f>(SUMIFS(O35:O60,A35:A60,"FIN"))+SUMIFS(O35:O60,A35:A60,"FIN/PROPÓSITO")</f>
        <v>37731</v>
      </c>
      <c r="P33" s="37"/>
      <c r="Q33" s="32" t="s">
        <v>86</v>
      </c>
      <c r="R33" s="32" t="s">
        <v>87</v>
      </c>
      <c r="S33" s="216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105">
        <v>16689</v>
      </c>
      <c r="AF33" s="43"/>
    </row>
    <row r="34" spans="1:32" ht="179.4">
      <c r="B34" s="39" t="s">
        <v>7</v>
      </c>
      <c r="C34" s="11" t="s">
        <v>88</v>
      </c>
      <c r="D34" s="32" t="s">
        <v>89</v>
      </c>
      <c r="E34" s="32" t="s">
        <v>90</v>
      </c>
      <c r="F34" s="32" t="s">
        <v>91</v>
      </c>
      <c r="G34" s="33" t="s">
        <v>92</v>
      </c>
      <c r="H34" s="33" t="s">
        <v>79</v>
      </c>
      <c r="I34" s="32" t="s">
        <v>93</v>
      </c>
      <c r="J34" s="40" t="s">
        <v>94</v>
      </c>
      <c r="K34" s="41" t="s">
        <v>95</v>
      </c>
      <c r="L34" s="33" t="s">
        <v>83</v>
      </c>
      <c r="M34" s="33" t="s">
        <v>84</v>
      </c>
      <c r="N34" s="35" t="s">
        <v>85</v>
      </c>
      <c r="O34" s="104">
        <f>(SUMIFS(O35:O60,A35:A60,"PROPÓSITO"))+SUMIFS(O35:O60,A35:A60,"FIN/PROPÓSITO")</f>
        <v>1503807</v>
      </c>
      <c r="P34" s="37"/>
      <c r="Q34" s="32" t="s">
        <v>96</v>
      </c>
      <c r="R34" s="32" t="s">
        <v>97</v>
      </c>
      <c r="S34" s="216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42">
        <v>115202</v>
      </c>
      <c r="AF34" s="43"/>
    </row>
    <row r="35" spans="1:32" ht="193.2">
      <c r="B35" s="45" t="s">
        <v>98</v>
      </c>
      <c r="C35" s="46" t="s">
        <v>99</v>
      </c>
      <c r="D35" s="32" t="s">
        <v>100</v>
      </c>
      <c r="E35" s="32" t="s">
        <v>383</v>
      </c>
      <c r="F35" s="32" t="s">
        <v>384</v>
      </c>
      <c r="G35" s="32" t="s">
        <v>103</v>
      </c>
      <c r="H35" s="32" t="s">
        <v>79</v>
      </c>
      <c r="I35" s="32" t="s">
        <v>385</v>
      </c>
      <c r="J35" s="34" t="s">
        <v>386</v>
      </c>
      <c r="K35" s="34">
        <v>9</v>
      </c>
      <c r="L35" s="32" t="s">
        <v>107</v>
      </c>
      <c r="M35" s="32" t="s">
        <v>108</v>
      </c>
      <c r="N35" s="32" t="s">
        <v>85</v>
      </c>
      <c r="O35" s="106">
        <v>0.9</v>
      </c>
      <c r="P35" s="37"/>
      <c r="Q35" s="32" t="s">
        <v>86</v>
      </c>
      <c r="R35" s="32" t="s">
        <v>109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49"/>
      <c r="AF35" s="48"/>
    </row>
    <row r="36" spans="1:32" ht="151.80000000000001">
      <c r="A36" s="112" t="s">
        <v>74</v>
      </c>
      <c r="B36" s="113"/>
      <c r="C36" s="114" t="s">
        <v>110</v>
      </c>
      <c r="D36" s="115" t="s">
        <v>111</v>
      </c>
      <c r="E36" s="116" t="s">
        <v>112</v>
      </c>
      <c r="F36" s="115" t="s">
        <v>113</v>
      </c>
      <c r="G36" s="117" t="s">
        <v>103</v>
      </c>
      <c r="H36" s="117" t="s">
        <v>114</v>
      </c>
      <c r="I36" s="116" t="s">
        <v>115</v>
      </c>
      <c r="J36" s="118" t="s">
        <v>116</v>
      </c>
      <c r="K36" s="119" t="s">
        <v>117</v>
      </c>
      <c r="L36" s="115" t="s">
        <v>107</v>
      </c>
      <c r="M36" s="120" t="s">
        <v>108</v>
      </c>
      <c r="N36" s="115">
        <v>517</v>
      </c>
      <c r="O36" s="115">
        <v>7450</v>
      </c>
      <c r="P36" s="121"/>
      <c r="Q36" s="122" t="s">
        <v>118</v>
      </c>
      <c r="R36" s="115" t="s">
        <v>119</v>
      </c>
      <c r="S36" s="115">
        <f ca="1">IFERROR(__xludf.DUMMYFUNCTION("ARRAYFORMULA( VALUE( QUERY((importrange(""1HfDWOOQtW2DmR4T-abQKe-72fB53-8dilSd0l7oSiPQ"",""TOTALES!E2:P3"")),""Select*"",1)))"),0)</f>
        <v>0</v>
      </c>
      <c r="T36" s="115">
        <f ca="1">IFERROR(__xludf.DUMMYFUNCTION("""COMPUTED_VALUE"""),6)</f>
        <v>6</v>
      </c>
      <c r="U36" s="115">
        <f ca="1">IFERROR(__xludf.DUMMYFUNCTION("""COMPUTED_VALUE"""),457)</f>
        <v>457</v>
      </c>
      <c r="V36" s="115">
        <f ca="1">IFERROR(__xludf.DUMMYFUNCTION("""COMPUTED_VALUE"""),1019)</f>
        <v>1019</v>
      </c>
      <c r="W36" s="115">
        <f ca="1">IFERROR(__xludf.DUMMYFUNCTION("""COMPUTED_VALUE"""),729)</f>
        <v>729</v>
      </c>
      <c r="X36" s="115">
        <f ca="1">IFERROR(__xludf.DUMMYFUNCTION("""COMPUTED_VALUE"""),352)</f>
        <v>352</v>
      </c>
      <c r="Y36" s="115">
        <f ca="1">IFERROR(__xludf.DUMMYFUNCTION("""COMPUTED_VALUE"""),0)</f>
        <v>0</v>
      </c>
      <c r="Z36" s="115">
        <f ca="1">IFERROR(__xludf.DUMMYFUNCTION("""COMPUTED_VALUE"""),0)</f>
        <v>0</v>
      </c>
      <c r="AA36" s="115">
        <f ca="1">IFERROR(__xludf.DUMMYFUNCTION("""COMPUTED_VALUE"""),0)</f>
        <v>0</v>
      </c>
      <c r="AB36" s="115">
        <f ca="1">IFERROR(__xludf.DUMMYFUNCTION("""COMPUTED_VALUE"""),0)</f>
        <v>0</v>
      </c>
      <c r="AC36" s="115">
        <f ca="1">IFERROR(__xludf.DUMMYFUNCTION("""COMPUTED_VALUE"""),0)</f>
        <v>0</v>
      </c>
      <c r="AD36" s="115">
        <f ca="1">IFERROR(__xludf.DUMMYFUNCTION("""COMPUTED_VALUE"""),0)</f>
        <v>0</v>
      </c>
      <c r="AE36" s="123">
        <f t="shared" ref="AE36:AE60" ca="1" si="0">SUM(S36:U36)</f>
        <v>463</v>
      </c>
      <c r="AF36" s="48">
        <f ca="1">AE36/O36</f>
        <v>6.2147651006711407E-2</v>
      </c>
    </row>
    <row r="37" spans="1:32" ht="110.4">
      <c r="A37" s="58" t="s">
        <v>88</v>
      </c>
      <c r="B37" s="51"/>
      <c r="C37" s="52" t="s">
        <v>120</v>
      </c>
      <c r="D37" s="32" t="s">
        <v>121</v>
      </c>
      <c r="E37" s="32" t="s">
        <v>122</v>
      </c>
      <c r="F37" s="32" t="s">
        <v>123</v>
      </c>
      <c r="G37" s="54" t="s">
        <v>103</v>
      </c>
      <c r="H37" s="54" t="s">
        <v>114</v>
      </c>
      <c r="I37" s="32" t="s">
        <v>124</v>
      </c>
      <c r="J37" s="55" t="s">
        <v>125</v>
      </c>
      <c r="K37" s="34" t="s">
        <v>126</v>
      </c>
      <c r="L37" s="32" t="s">
        <v>107</v>
      </c>
      <c r="M37" s="59" t="s">
        <v>108</v>
      </c>
      <c r="N37" s="32">
        <v>925</v>
      </c>
      <c r="O37" s="65">
        <v>640</v>
      </c>
      <c r="P37" s="57"/>
      <c r="Q37" s="32" t="s">
        <v>127</v>
      </c>
      <c r="R37" s="32" t="s">
        <v>128</v>
      </c>
      <c r="S37" s="32">
        <f ca="1">IFERROR(__xludf.DUMMYFUNCTION("""COMPUTED_VALUE"""),50)</f>
        <v>50</v>
      </c>
      <c r="T37" s="32">
        <f ca="1">IFERROR(__xludf.DUMMYFUNCTION("""COMPUTED_VALUE"""),48)</f>
        <v>48</v>
      </c>
      <c r="U37" s="32">
        <f ca="1">IFERROR(__xludf.DUMMYFUNCTION("""COMPUTED_VALUE"""),55)</f>
        <v>55</v>
      </c>
      <c r="V37" s="32">
        <f ca="1">IFERROR(__xludf.DUMMYFUNCTION("""COMPUTED_VALUE"""),13)</f>
        <v>13</v>
      </c>
      <c r="W37" s="32">
        <f ca="1">IFERROR(__xludf.DUMMYFUNCTION("""COMPUTED_VALUE"""),46)</f>
        <v>46</v>
      </c>
      <c r="X37" s="32">
        <f ca="1">IFERROR(__xludf.DUMMYFUNCTION("""COMPUTED_VALUE"""),44)</f>
        <v>44</v>
      </c>
      <c r="Y37" s="32">
        <f ca="1">IFERROR(__xludf.DUMMYFUNCTION("""COMPUTED_VALUE"""),0)</f>
        <v>0</v>
      </c>
      <c r="Z37" s="32">
        <f ca="1">IFERROR(__xludf.DUMMYFUNCTION("""COMPUTED_VALUE"""),0)</f>
        <v>0</v>
      </c>
      <c r="AA37" s="32">
        <f ca="1">IFERROR(__xludf.DUMMYFUNCTION("""COMPUTED_VALUE"""),0)</f>
        <v>0</v>
      </c>
      <c r="AB37" s="32">
        <f ca="1">IFERROR(__xludf.DUMMYFUNCTION("""COMPUTED_VALUE"""),0)</f>
        <v>0</v>
      </c>
      <c r="AC37" s="32">
        <f ca="1">IFERROR(__xludf.DUMMYFUNCTION("""COMPUTED_VALUE"""),0)</f>
        <v>0</v>
      </c>
      <c r="AD37" s="32">
        <f ca="1">IFERROR(__xludf.DUMMYFUNCTION("""COMPUTED_VALUE"""),0)</f>
        <v>0</v>
      </c>
      <c r="AE37" s="49">
        <f t="shared" ca="1" si="0"/>
        <v>153</v>
      </c>
      <c r="AF37" s="48"/>
    </row>
    <row r="38" spans="1:32" ht="110.4">
      <c r="A38" s="124" t="s">
        <v>129</v>
      </c>
      <c r="B38" s="113"/>
      <c r="C38" s="114" t="s">
        <v>130</v>
      </c>
      <c r="D38" s="115" t="s">
        <v>131</v>
      </c>
      <c r="E38" s="115" t="s">
        <v>132</v>
      </c>
      <c r="F38" s="115" t="s">
        <v>133</v>
      </c>
      <c r="G38" s="117" t="s">
        <v>103</v>
      </c>
      <c r="H38" s="117" t="s">
        <v>114</v>
      </c>
      <c r="I38" s="116" t="s">
        <v>134</v>
      </c>
      <c r="J38" s="125" t="s">
        <v>135</v>
      </c>
      <c r="K38" s="125" t="s">
        <v>136</v>
      </c>
      <c r="L38" s="115" t="s">
        <v>107</v>
      </c>
      <c r="M38" s="126" t="s">
        <v>108</v>
      </c>
      <c r="N38" s="115">
        <v>10405</v>
      </c>
      <c r="O38" s="127">
        <v>5000</v>
      </c>
      <c r="P38" s="121"/>
      <c r="Q38" s="115" t="s">
        <v>137</v>
      </c>
      <c r="R38" s="115" t="s">
        <v>138</v>
      </c>
      <c r="S38" s="115">
        <f ca="1">IFERROR(__xludf.DUMMYFUNCTION("ARRAYFORMULA(VALUE( QUERY((importrange(""183F2AksfiZ8wFAC_Zhgx5YEVRtSTOaCQywT9_8D0DU8"",""TOTALES!E2:P2"")),""Select*"",1)))"),1086)</f>
        <v>1086</v>
      </c>
      <c r="T38" s="115">
        <f ca="1">IFERROR(__xludf.DUMMYFUNCTION("""COMPUTED_VALUE"""),1126)</f>
        <v>1126</v>
      </c>
      <c r="U38" s="115">
        <f ca="1">IFERROR(__xludf.DUMMYFUNCTION("""COMPUTED_VALUE"""),1236)</f>
        <v>1236</v>
      </c>
      <c r="V38" s="115">
        <f ca="1">IFERROR(__xludf.DUMMYFUNCTION("""COMPUTED_VALUE"""),667)</f>
        <v>667</v>
      </c>
      <c r="W38" s="115">
        <f ca="1">IFERROR(__xludf.DUMMYFUNCTION("""COMPUTED_VALUE"""),916)</f>
        <v>916</v>
      </c>
      <c r="X38" s="115">
        <f ca="1">IFERROR(__xludf.DUMMYFUNCTION("""COMPUTED_VALUE"""),981)</f>
        <v>981</v>
      </c>
      <c r="Y38" s="115">
        <f ca="1">IFERROR(__xludf.DUMMYFUNCTION("""COMPUTED_VALUE"""),0)</f>
        <v>0</v>
      </c>
      <c r="Z38" s="115">
        <f ca="1">IFERROR(__xludf.DUMMYFUNCTION("""COMPUTED_VALUE"""),0)</f>
        <v>0</v>
      </c>
      <c r="AA38" s="115">
        <f ca="1">IFERROR(__xludf.DUMMYFUNCTION("""COMPUTED_VALUE"""),0)</f>
        <v>0</v>
      </c>
      <c r="AB38" s="115">
        <f ca="1">IFERROR(__xludf.DUMMYFUNCTION("""COMPUTED_VALUE"""),0)</f>
        <v>0</v>
      </c>
      <c r="AC38" s="115">
        <f ca="1">IFERROR(__xludf.DUMMYFUNCTION("""COMPUTED_VALUE"""),0)</f>
        <v>0</v>
      </c>
      <c r="AD38" s="115">
        <f ca="1">IFERROR(__xludf.DUMMYFUNCTION("""COMPUTED_VALUE"""),0)</f>
        <v>0</v>
      </c>
      <c r="AE38" s="123">
        <f t="shared" ca="1" si="0"/>
        <v>3448</v>
      </c>
      <c r="AF38" s="48">
        <f t="shared" ref="AF38:AF39" ca="1" si="1">AE38/O38</f>
        <v>0.68959999999999999</v>
      </c>
    </row>
    <row r="39" spans="1:32" ht="193.2">
      <c r="A39" s="128" t="s">
        <v>74</v>
      </c>
      <c r="B39" s="129"/>
      <c r="C39" s="130" t="s">
        <v>139</v>
      </c>
      <c r="D39" s="32" t="s">
        <v>140</v>
      </c>
      <c r="E39" s="32" t="s">
        <v>141</v>
      </c>
      <c r="F39" s="32" t="s">
        <v>142</v>
      </c>
      <c r="G39" s="54" t="s">
        <v>103</v>
      </c>
      <c r="H39" s="54" t="s">
        <v>114</v>
      </c>
      <c r="I39" s="53" t="s">
        <v>143</v>
      </c>
      <c r="J39" s="41" t="s">
        <v>144</v>
      </c>
      <c r="K39" s="41" t="s">
        <v>145</v>
      </c>
      <c r="L39" s="32" t="s">
        <v>107</v>
      </c>
      <c r="M39" s="59" t="s">
        <v>108</v>
      </c>
      <c r="N39" s="63">
        <v>9826</v>
      </c>
      <c r="O39" s="63">
        <v>8791</v>
      </c>
      <c r="P39" s="37"/>
      <c r="Q39" s="53" t="s">
        <v>118</v>
      </c>
      <c r="R39" s="32" t="s">
        <v>146</v>
      </c>
      <c r="S39" s="32">
        <f ca="1">IFERROR(__xludf.DUMMYFUNCTION("ARRAYFORMULA(VALUE(QUERY((importrange(""19FdkI7aaBMumczpCHOxlMxTmd_2Wbxy3XvDOYImbjW8"",""TOTALES!E2:P5"")),""Select*"",1)))"),0)</f>
        <v>0</v>
      </c>
      <c r="T39" s="32">
        <f ca="1">IFERROR(__xludf.DUMMYFUNCTION("""COMPUTED_VALUE"""),0)</f>
        <v>0</v>
      </c>
      <c r="U39" s="32">
        <f ca="1">IFERROR(__xludf.DUMMYFUNCTION("""COMPUTED_VALUE"""),2526)</f>
        <v>2526</v>
      </c>
      <c r="V39" s="32">
        <f ca="1">IFERROR(__xludf.DUMMYFUNCTION("""COMPUTED_VALUE"""),6265)</f>
        <v>6265</v>
      </c>
      <c r="W39" s="32">
        <f ca="1">IFERROR(__xludf.DUMMYFUNCTION("""COMPUTED_VALUE"""),0)</f>
        <v>0</v>
      </c>
      <c r="X39" s="32">
        <f ca="1">IFERROR(__xludf.DUMMYFUNCTION("""COMPUTED_VALUE"""),0)</f>
        <v>0</v>
      </c>
      <c r="Y39" s="32">
        <f ca="1">IFERROR(__xludf.DUMMYFUNCTION("""COMPUTED_VALUE"""),0)</f>
        <v>0</v>
      </c>
      <c r="Z39" s="32">
        <f ca="1">IFERROR(__xludf.DUMMYFUNCTION("""COMPUTED_VALUE"""),0)</f>
        <v>0</v>
      </c>
      <c r="AA39" s="32">
        <f ca="1">IFERROR(__xludf.DUMMYFUNCTION("""COMPUTED_VALUE"""),0)</f>
        <v>0</v>
      </c>
      <c r="AB39" s="32">
        <f ca="1">IFERROR(__xludf.DUMMYFUNCTION("""COMPUTED_VALUE"""),0)</f>
        <v>0</v>
      </c>
      <c r="AC39" s="32">
        <f ca="1">IFERROR(__xludf.DUMMYFUNCTION("""COMPUTED_VALUE"""),0)</f>
        <v>0</v>
      </c>
      <c r="AD39" s="32">
        <f ca="1">IFERROR(__xludf.DUMMYFUNCTION("""COMPUTED_VALUE"""),0)</f>
        <v>0</v>
      </c>
      <c r="AE39" s="49">
        <f t="shared" ca="1" si="0"/>
        <v>2526</v>
      </c>
      <c r="AF39" s="48">
        <f t="shared" ca="1" si="1"/>
        <v>0.28733932430895232</v>
      </c>
    </row>
    <row r="40" spans="1:32" ht="96.6">
      <c r="A40" s="124" t="s">
        <v>88</v>
      </c>
      <c r="B40" s="113"/>
      <c r="C40" s="114" t="s">
        <v>147</v>
      </c>
      <c r="D40" s="115" t="s">
        <v>148</v>
      </c>
      <c r="E40" s="115" t="s">
        <v>149</v>
      </c>
      <c r="F40" s="115" t="s">
        <v>150</v>
      </c>
      <c r="G40" s="117" t="s">
        <v>103</v>
      </c>
      <c r="H40" s="115" t="s">
        <v>114</v>
      </c>
      <c r="I40" s="116" t="s">
        <v>151</v>
      </c>
      <c r="J40" s="125" t="s">
        <v>152</v>
      </c>
      <c r="K40" s="125" t="s">
        <v>153</v>
      </c>
      <c r="L40" s="115" t="s">
        <v>107</v>
      </c>
      <c r="M40" s="131" t="s">
        <v>108</v>
      </c>
      <c r="N40" s="132">
        <v>1378450</v>
      </c>
      <c r="O40" s="127">
        <v>1190350</v>
      </c>
      <c r="P40" s="133"/>
      <c r="Q40" s="122" t="s">
        <v>154</v>
      </c>
      <c r="R40" s="115" t="s">
        <v>155</v>
      </c>
      <c r="S40" s="115">
        <f ca="1">IFERROR(__xludf.DUMMYFUNCTION("""COMPUTED_VALUE"""),0)</f>
        <v>0</v>
      </c>
      <c r="T40" s="115">
        <f ca="1">IFERROR(__xludf.DUMMYFUNCTION("""COMPUTED_VALUE"""),0)</f>
        <v>0</v>
      </c>
      <c r="U40" s="115">
        <f ca="1">IFERROR(__xludf.DUMMYFUNCTION("""COMPUTED_VALUE"""),0)</f>
        <v>0</v>
      </c>
      <c r="V40" s="115">
        <f ca="1">IFERROR(__xludf.DUMMYFUNCTION("""COMPUTED_VALUE"""),338310)</f>
        <v>338310</v>
      </c>
      <c r="W40" s="115">
        <f ca="1">IFERROR(__xludf.DUMMYFUNCTION("""COMPUTED_VALUE"""),175420)</f>
        <v>175420</v>
      </c>
      <c r="X40" s="115">
        <f ca="1">IFERROR(__xludf.DUMMYFUNCTION("""COMPUTED_VALUE"""),162890)</f>
        <v>162890</v>
      </c>
      <c r="Y40" s="115">
        <f ca="1">IFERROR(__xludf.DUMMYFUNCTION("""COMPUTED_VALUE"""),0)</f>
        <v>0</v>
      </c>
      <c r="Z40" s="115">
        <f ca="1">IFERROR(__xludf.DUMMYFUNCTION("""COMPUTED_VALUE"""),0)</f>
        <v>0</v>
      </c>
      <c r="AA40" s="115">
        <f ca="1">IFERROR(__xludf.DUMMYFUNCTION("""COMPUTED_VALUE"""),0)</f>
        <v>0</v>
      </c>
      <c r="AB40" s="115">
        <f ca="1">IFERROR(__xludf.DUMMYFUNCTION("""COMPUTED_VALUE"""),0)</f>
        <v>0</v>
      </c>
      <c r="AC40" s="115">
        <f ca="1">IFERROR(__xludf.DUMMYFUNCTION("""COMPUTED_VALUE"""),0)</f>
        <v>0</v>
      </c>
      <c r="AD40" s="115">
        <f ca="1">IFERROR(__xludf.DUMMYFUNCTION("""COMPUTED_VALUE"""),0)</f>
        <v>0</v>
      </c>
      <c r="AE40" s="123">
        <f t="shared" ca="1" si="0"/>
        <v>0</v>
      </c>
      <c r="AF40" s="134"/>
    </row>
    <row r="41" spans="1:32" ht="110.4">
      <c r="A41" s="58" t="s">
        <v>88</v>
      </c>
      <c r="B41" s="51"/>
      <c r="C41" s="52" t="s">
        <v>156</v>
      </c>
      <c r="D41" s="32" t="s">
        <v>157</v>
      </c>
      <c r="E41" s="32" t="s">
        <v>158</v>
      </c>
      <c r="F41" s="32" t="s">
        <v>159</v>
      </c>
      <c r="G41" s="54" t="s">
        <v>103</v>
      </c>
      <c r="H41" s="32" t="s">
        <v>114</v>
      </c>
      <c r="I41" s="53" t="s">
        <v>160</v>
      </c>
      <c r="J41" s="60" t="s">
        <v>152</v>
      </c>
      <c r="K41" s="60" t="s">
        <v>161</v>
      </c>
      <c r="L41" s="32" t="s">
        <v>107</v>
      </c>
      <c r="M41" s="64" t="s">
        <v>108</v>
      </c>
      <c r="N41" s="63">
        <v>26296</v>
      </c>
      <c r="O41" s="63">
        <v>26292</v>
      </c>
      <c r="P41" s="37"/>
      <c r="Q41" s="33" t="s">
        <v>154</v>
      </c>
      <c r="R41" s="32" t="s">
        <v>162</v>
      </c>
      <c r="S41" s="32">
        <f ca="1">IFERROR(__xludf.DUMMYFUNCTION("""COMPUTED_VALUE"""),0)</f>
        <v>0</v>
      </c>
      <c r="T41" s="32">
        <f ca="1">IFERROR(__xludf.DUMMYFUNCTION("""COMPUTED_VALUE"""),0)</f>
        <v>0</v>
      </c>
      <c r="U41" s="32">
        <f ca="1">IFERROR(__xludf.DUMMYFUNCTION("""COMPUTED_VALUE"""),6573)</f>
        <v>6573</v>
      </c>
      <c r="V41" s="32">
        <f ca="1">IFERROR(__xludf.DUMMYFUNCTION("""COMPUTED_VALUE"""),0)</f>
        <v>0</v>
      </c>
      <c r="W41" s="32">
        <f ca="1">IFERROR(__xludf.DUMMYFUNCTION("""COMPUTED_VALUE"""),4382)</f>
        <v>4382</v>
      </c>
      <c r="X41" s="32">
        <f ca="1">IFERROR(__xludf.DUMMYFUNCTION("""COMPUTED_VALUE"""),2191)</f>
        <v>2191</v>
      </c>
      <c r="Y41" s="32">
        <f ca="1">IFERROR(__xludf.DUMMYFUNCTION("""COMPUTED_VALUE"""),0)</f>
        <v>0</v>
      </c>
      <c r="Z41" s="32">
        <f ca="1">IFERROR(__xludf.DUMMYFUNCTION("""COMPUTED_VALUE"""),0)</f>
        <v>0</v>
      </c>
      <c r="AA41" s="32">
        <f ca="1">IFERROR(__xludf.DUMMYFUNCTION("""COMPUTED_VALUE"""),0)</f>
        <v>0</v>
      </c>
      <c r="AB41" s="32">
        <f ca="1">IFERROR(__xludf.DUMMYFUNCTION("""COMPUTED_VALUE"""),0)</f>
        <v>0</v>
      </c>
      <c r="AC41" s="32">
        <f ca="1">IFERROR(__xludf.DUMMYFUNCTION("""COMPUTED_VALUE"""),0)</f>
        <v>0</v>
      </c>
      <c r="AD41" s="32">
        <f ca="1">IFERROR(__xludf.DUMMYFUNCTION("""COMPUTED_VALUE"""),0)</f>
        <v>0</v>
      </c>
      <c r="AE41" s="49">
        <f t="shared" ca="1" si="0"/>
        <v>6573</v>
      </c>
      <c r="AF41" s="48"/>
    </row>
    <row r="42" spans="1:32" ht="151.80000000000001">
      <c r="A42" s="58" t="s">
        <v>88</v>
      </c>
      <c r="B42" s="51"/>
      <c r="C42" s="52" t="s">
        <v>163</v>
      </c>
      <c r="D42" s="32" t="s">
        <v>164</v>
      </c>
      <c r="E42" s="32" t="s">
        <v>165</v>
      </c>
      <c r="F42" s="32" t="s">
        <v>166</v>
      </c>
      <c r="G42" s="54" t="s">
        <v>103</v>
      </c>
      <c r="H42" s="32" t="s">
        <v>114</v>
      </c>
      <c r="I42" s="53" t="s">
        <v>151</v>
      </c>
      <c r="J42" s="60" t="s">
        <v>152</v>
      </c>
      <c r="K42" s="60" t="s">
        <v>153</v>
      </c>
      <c r="L42" s="32" t="s">
        <v>107</v>
      </c>
      <c r="M42" s="64" t="s">
        <v>108</v>
      </c>
      <c r="N42" s="65">
        <v>4560</v>
      </c>
      <c r="O42" s="63">
        <v>4020</v>
      </c>
      <c r="P42" s="37"/>
      <c r="Q42" s="33" t="s">
        <v>154</v>
      </c>
      <c r="R42" s="32" t="s">
        <v>167</v>
      </c>
      <c r="S42" s="32">
        <f ca="1">IFERROR(__xludf.DUMMYFUNCTION("""COMPUTED_VALUE"""),0)</f>
        <v>0</v>
      </c>
      <c r="T42" s="32">
        <f ca="1">IFERROR(__xludf.DUMMYFUNCTION("""COMPUTED_VALUE"""),0)</f>
        <v>0</v>
      </c>
      <c r="U42" s="32">
        <f ca="1">IFERROR(__xludf.DUMMYFUNCTION("""COMPUTED_VALUE"""),1005)</f>
        <v>1005</v>
      </c>
      <c r="V42" s="32">
        <f ca="1">IFERROR(__xludf.DUMMYFUNCTION("""COMPUTED_VALUE"""),0)</f>
        <v>0</v>
      </c>
      <c r="W42" s="32">
        <f ca="1">IFERROR(__xludf.DUMMYFUNCTION("""COMPUTED_VALUE"""),670)</f>
        <v>670</v>
      </c>
      <c r="X42" s="32">
        <f ca="1">IFERROR(__xludf.DUMMYFUNCTION("""COMPUTED_VALUE"""),335)</f>
        <v>335</v>
      </c>
      <c r="Y42" s="32">
        <f ca="1">IFERROR(__xludf.DUMMYFUNCTION("""COMPUTED_VALUE"""),0)</f>
        <v>0</v>
      </c>
      <c r="Z42" s="32">
        <f ca="1">IFERROR(__xludf.DUMMYFUNCTION("""COMPUTED_VALUE"""),0)</f>
        <v>0</v>
      </c>
      <c r="AA42" s="32">
        <f ca="1">IFERROR(__xludf.DUMMYFUNCTION("""COMPUTED_VALUE"""),0)</f>
        <v>0</v>
      </c>
      <c r="AB42" s="32">
        <f ca="1">IFERROR(__xludf.DUMMYFUNCTION("""COMPUTED_VALUE"""),0)</f>
        <v>0</v>
      </c>
      <c r="AC42" s="32">
        <f ca="1">IFERROR(__xludf.DUMMYFUNCTION("""COMPUTED_VALUE"""),0)</f>
        <v>0</v>
      </c>
      <c r="AD42" s="32">
        <f ca="1">IFERROR(__xludf.DUMMYFUNCTION("""COMPUTED_VALUE"""),0)</f>
        <v>0</v>
      </c>
      <c r="AE42" s="49">
        <f t="shared" ca="1" si="0"/>
        <v>1005</v>
      </c>
      <c r="AF42" s="48"/>
    </row>
    <row r="43" spans="1:32" ht="96.6">
      <c r="A43" s="124" t="s">
        <v>129</v>
      </c>
      <c r="B43" s="113"/>
      <c r="C43" s="114" t="s">
        <v>168</v>
      </c>
      <c r="D43" s="115" t="s">
        <v>169</v>
      </c>
      <c r="E43" s="115" t="s">
        <v>170</v>
      </c>
      <c r="F43" s="115" t="s">
        <v>171</v>
      </c>
      <c r="G43" s="117" t="s">
        <v>103</v>
      </c>
      <c r="H43" s="115" t="s">
        <v>114</v>
      </c>
      <c r="I43" s="115" t="s">
        <v>172</v>
      </c>
      <c r="J43" s="125" t="s">
        <v>173</v>
      </c>
      <c r="K43" s="125" t="s">
        <v>174</v>
      </c>
      <c r="L43" s="115" t="s">
        <v>107</v>
      </c>
      <c r="M43" s="131" t="s">
        <v>108</v>
      </c>
      <c r="N43" s="132">
        <v>7997</v>
      </c>
      <c r="O43" s="127">
        <v>6000</v>
      </c>
      <c r="P43" s="133"/>
      <c r="Q43" s="115" t="s">
        <v>175</v>
      </c>
      <c r="R43" s="115" t="s">
        <v>176</v>
      </c>
      <c r="S43" s="115">
        <f ca="1">IFERROR(__xludf.DUMMYFUNCTION("ARRAYFORMULA(VALUE(QUERY((importrange(""1aBliDWQx3PghbTc2D0usoHQ1DjKFbMqNouzsCcQtNeg"",""TOTALES!E2:P2"")),""Select*"",1)))"),669)</f>
        <v>669</v>
      </c>
      <c r="T43" s="115">
        <f ca="1">IFERROR(__xludf.DUMMYFUNCTION("""COMPUTED_VALUE"""),562)</f>
        <v>562</v>
      </c>
      <c r="U43" s="115">
        <f ca="1">IFERROR(__xludf.DUMMYFUNCTION("""COMPUTED_VALUE"""),709)</f>
        <v>709</v>
      </c>
      <c r="V43" s="115">
        <f ca="1">IFERROR(__xludf.DUMMYFUNCTION("""COMPUTED_VALUE"""),297)</f>
        <v>297</v>
      </c>
      <c r="W43" s="115">
        <f ca="1">IFERROR(__xludf.DUMMYFUNCTION("""COMPUTED_VALUE"""),556)</f>
        <v>556</v>
      </c>
      <c r="X43" s="115">
        <f ca="1">IFERROR(__xludf.DUMMYFUNCTION("""COMPUTED_VALUE"""),666)</f>
        <v>666</v>
      </c>
      <c r="Y43" s="115">
        <f ca="1">IFERROR(__xludf.DUMMYFUNCTION("""COMPUTED_VALUE"""),0)</f>
        <v>0</v>
      </c>
      <c r="Z43" s="115">
        <f ca="1">IFERROR(__xludf.DUMMYFUNCTION("""COMPUTED_VALUE"""),0)</f>
        <v>0</v>
      </c>
      <c r="AA43" s="115">
        <f ca="1">IFERROR(__xludf.DUMMYFUNCTION("""COMPUTED_VALUE"""),0)</f>
        <v>0</v>
      </c>
      <c r="AB43" s="115">
        <f ca="1">IFERROR(__xludf.DUMMYFUNCTION("""COMPUTED_VALUE"""),0)</f>
        <v>0</v>
      </c>
      <c r="AC43" s="115">
        <f ca="1">IFERROR(__xludf.DUMMYFUNCTION("""COMPUTED_VALUE"""),0)</f>
        <v>0</v>
      </c>
      <c r="AD43" s="115">
        <f ca="1">IFERROR(__xludf.DUMMYFUNCTION("""COMPUTED_VALUE"""),0)</f>
        <v>0</v>
      </c>
      <c r="AE43" s="123">
        <f t="shared" ca="1" si="0"/>
        <v>1940</v>
      </c>
      <c r="AF43" s="48">
        <f t="shared" ref="AF43:AF44" ca="1" si="2">AE43/O43</f>
        <v>0.32333333333333331</v>
      </c>
    </row>
    <row r="44" spans="1:32" ht="124.2">
      <c r="A44" s="124" t="s">
        <v>74</v>
      </c>
      <c r="B44" s="113"/>
      <c r="C44" s="114" t="s">
        <v>177</v>
      </c>
      <c r="D44" s="115" t="s">
        <v>178</v>
      </c>
      <c r="E44" s="115" t="s">
        <v>179</v>
      </c>
      <c r="F44" s="115" t="s">
        <v>180</v>
      </c>
      <c r="G44" s="115" t="s">
        <v>103</v>
      </c>
      <c r="H44" s="115" t="s">
        <v>114</v>
      </c>
      <c r="I44" s="115" t="s">
        <v>387</v>
      </c>
      <c r="J44" s="115" t="s">
        <v>182</v>
      </c>
      <c r="K44" s="115" t="s">
        <v>388</v>
      </c>
      <c r="L44" s="115" t="s">
        <v>107</v>
      </c>
      <c r="M44" s="115" t="s">
        <v>184</v>
      </c>
      <c r="N44" s="115">
        <v>892</v>
      </c>
      <c r="O44" s="115">
        <v>850</v>
      </c>
      <c r="P44" s="115"/>
      <c r="Q44" s="115" t="s">
        <v>185</v>
      </c>
      <c r="R44" s="115" t="s">
        <v>186</v>
      </c>
      <c r="S44" s="115">
        <f ca="1">IFERROR(__xludf.DUMMYFUNCTION("ARRAYFORMULA(VALUE(QUERY((importrange(""1PzLDbnbOgsxlP7TgXOuZl3-wTut_GS_XXcsA4lagmIs"",""TOTALES!E2:P3"")),""Select*"",1)))"),654)</f>
        <v>654</v>
      </c>
      <c r="T44" s="115">
        <f ca="1">IFERROR(__xludf.DUMMYFUNCTION("""COMPUTED_VALUE"""),914)</f>
        <v>914</v>
      </c>
      <c r="U44" s="115">
        <f ca="1">IFERROR(__xludf.DUMMYFUNCTION("""COMPUTED_VALUE"""),724)</f>
        <v>724</v>
      </c>
      <c r="V44" s="115">
        <f ca="1">IFERROR(__xludf.DUMMYFUNCTION("""COMPUTED_VALUE"""),678)</f>
        <v>678</v>
      </c>
      <c r="W44" s="115">
        <f ca="1">IFERROR(__xludf.DUMMYFUNCTION("""COMPUTED_VALUE"""),878)</f>
        <v>878</v>
      </c>
      <c r="X44" s="115">
        <f ca="1">IFERROR(__xludf.DUMMYFUNCTION("""COMPUTED_VALUE"""),858)</f>
        <v>858</v>
      </c>
      <c r="Y44" s="115">
        <f ca="1">IFERROR(__xludf.DUMMYFUNCTION("""COMPUTED_VALUE"""),0)</f>
        <v>0</v>
      </c>
      <c r="Z44" s="115">
        <f ca="1">IFERROR(__xludf.DUMMYFUNCTION("""COMPUTED_VALUE"""),0)</f>
        <v>0</v>
      </c>
      <c r="AA44" s="115">
        <f ca="1">IFERROR(__xludf.DUMMYFUNCTION("""COMPUTED_VALUE"""),0)</f>
        <v>0</v>
      </c>
      <c r="AB44" s="115">
        <f ca="1">IFERROR(__xludf.DUMMYFUNCTION("""COMPUTED_VALUE"""),0)</f>
        <v>0</v>
      </c>
      <c r="AC44" s="115">
        <f ca="1">IFERROR(__xludf.DUMMYFUNCTION("""COMPUTED_VALUE"""),0)</f>
        <v>0</v>
      </c>
      <c r="AD44" s="115">
        <f ca="1">IFERROR(__xludf.DUMMYFUNCTION("""COMPUTED_VALUE"""),0)</f>
        <v>0</v>
      </c>
      <c r="AE44" s="123">
        <f t="shared" ca="1" si="0"/>
        <v>2292</v>
      </c>
      <c r="AF44" s="48">
        <f t="shared" ca="1" si="2"/>
        <v>2.696470588235294</v>
      </c>
    </row>
    <row r="45" spans="1:32" ht="124.2">
      <c r="A45" s="58" t="s">
        <v>88</v>
      </c>
      <c r="B45" s="51"/>
      <c r="C45" s="52" t="s">
        <v>187</v>
      </c>
      <c r="D45" s="32" t="s">
        <v>188</v>
      </c>
      <c r="E45" s="32" t="s">
        <v>189</v>
      </c>
      <c r="F45" s="32" t="s">
        <v>190</v>
      </c>
      <c r="G45" s="32" t="s">
        <v>103</v>
      </c>
      <c r="H45" s="32" t="s">
        <v>114</v>
      </c>
      <c r="I45" s="32" t="s">
        <v>191</v>
      </c>
      <c r="J45" s="32" t="s">
        <v>192</v>
      </c>
      <c r="K45" s="32" t="s">
        <v>193</v>
      </c>
      <c r="L45" s="32" t="s">
        <v>107</v>
      </c>
      <c r="M45" s="32" t="s">
        <v>108</v>
      </c>
      <c r="N45" s="32" t="s">
        <v>85</v>
      </c>
      <c r="O45" s="32">
        <v>15000</v>
      </c>
      <c r="P45" s="32"/>
      <c r="Q45" s="32" t="s">
        <v>185</v>
      </c>
      <c r="R45" s="32" t="s">
        <v>186</v>
      </c>
      <c r="S45" s="32">
        <f ca="1">IFERROR(__xludf.DUMMYFUNCTION("""COMPUTED_VALUE"""),1336)</f>
        <v>1336</v>
      </c>
      <c r="T45" s="32">
        <f ca="1">IFERROR(__xludf.DUMMYFUNCTION("""COMPUTED_VALUE"""),1635)</f>
        <v>1635</v>
      </c>
      <c r="U45" s="32">
        <f ca="1">IFERROR(__xludf.DUMMYFUNCTION("""COMPUTED_VALUE"""),1178)</f>
        <v>1178</v>
      </c>
      <c r="V45" s="32">
        <f ca="1">IFERROR(__xludf.DUMMYFUNCTION("""COMPUTED_VALUE"""),819)</f>
        <v>819</v>
      </c>
      <c r="W45" s="32">
        <f ca="1">IFERROR(__xludf.DUMMYFUNCTION("""COMPUTED_VALUE"""),1270)</f>
        <v>1270</v>
      </c>
      <c r="X45" s="32">
        <f ca="1">IFERROR(__xludf.DUMMYFUNCTION("""COMPUTED_VALUE"""),1426)</f>
        <v>1426</v>
      </c>
      <c r="Y45" s="32">
        <f ca="1">IFERROR(__xludf.DUMMYFUNCTION("""COMPUTED_VALUE"""),0)</f>
        <v>0</v>
      </c>
      <c r="Z45" s="32">
        <f ca="1">IFERROR(__xludf.DUMMYFUNCTION("""COMPUTED_VALUE"""),0)</f>
        <v>0</v>
      </c>
      <c r="AA45" s="32">
        <f ca="1">IFERROR(__xludf.DUMMYFUNCTION("""COMPUTED_VALUE"""),0)</f>
        <v>0</v>
      </c>
      <c r="AB45" s="32">
        <f ca="1">IFERROR(__xludf.DUMMYFUNCTION("""COMPUTED_VALUE"""),0)</f>
        <v>0</v>
      </c>
      <c r="AC45" s="32">
        <f ca="1">IFERROR(__xludf.DUMMYFUNCTION("""COMPUTED_VALUE"""),0)</f>
        <v>0</v>
      </c>
      <c r="AD45" s="32">
        <f ca="1">IFERROR(__xludf.DUMMYFUNCTION("""COMPUTED_VALUE"""),0)</f>
        <v>0</v>
      </c>
      <c r="AE45" s="49">
        <f t="shared" ca="1" si="0"/>
        <v>4149</v>
      </c>
      <c r="AF45" s="48"/>
    </row>
    <row r="46" spans="1:32" ht="124.2">
      <c r="A46" s="124" t="s">
        <v>88</v>
      </c>
      <c r="B46" s="113"/>
      <c r="C46" s="114" t="s">
        <v>194</v>
      </c>
      <c r="D46" s="115" t="s">
        <v>195</v>
      </c>
      <c r="E46" s="115" t="s">
        <v>196</v>
      </c>
      <c r="F46" s="115" t="s">
        <v>197</v>
      </c>
      <c r="G46" s="117" t="s">
        <v>103</v>
      </c>
      <c r="H46" s="115" t="s">
        <v>114</v>
      </c>
      <c r="I46" s="116" t="s">
        <v>198</v>
      </c>
      <c r="J46" s="125" t="s">
        <v>199</v>
      </c>
      <c r="K46" s="125" t="s">
        <v>200</v>
      </c>
      <c r="L46" s="115" t="s">
        <v>107</v>
      </c>
      <c r="M46" s="131" t="s">
        <v>108</v>
      </c>
      <c r="N46" s="132">
        <v>28995</v>
      </c>
      <c r="O46" s="127">
        <v>29000</v>
      </c>
      <c r="P46" s="133"/>
      <c r="Q46" s="122" t="s">
        <v>201</v>
      </c>
      <c r="R46" s="115" t="s">
        <v>202</v>
      </c>
      <c r="S46" s="115">
        <f ca="1">IFERROR(__xludf.DUMMYFUNCTION("ARRAYFORMULA(VALUE(QUERY((importrange(""1NOerfbJeLk-S8tb0Ya-COpXnQm--OVonOlYwD7P0zF0"",""TOTALES!E2:P2"")),""Select*"",1)))"),1527)</f>
        <v>1527</v>
      </c>
      <c r="T46" s="115">
        <f ca="1">IFERROR(__xludf.DUMMYFUNCTION("""COMPUTED_VALUE"""),4190)</f>
        <v>4190</v>
      </c>
      <c r="U46" s="115">
        <f ca="1">IFERROR(__xludf.DUMMYFUNCTION("""COMPUTED_VALUE"""),1152)</f>
        <v>1152</v>
      </c>
      <c r="V46" s="115">
        <f ca="1">IFERROR(__xludf.DUMMYFUNCTION("""COMPUTED_VALUE"""),1286)</f>
        <v>1286</v>
      </c>
      <c r="W46" s="115">
        <f ca="1">IFERROR(__xludf.DUMMYFUNCTION("""COMPUTED_VALUE"""),3830)</f>
        <v>3830</v>
      </c>
      <c r="X46" s="115">
        <f ca="1">IFERROR(__xludf.DUMMYFUNCTION("""COMPUTED_VALUE"""),2868)</f>
        <v>2868</v>
      </c>
      <c r="Y46" s="115">
        <f ca="1">IFERROR(__xludf.DUMMYFUNCTION("""COMPUTED_VALUE"""),0)</f>
        <v>0</v>
      </c>
      <c r="Z46" s="115">
        <f ca="1">IFERROR(__xludf.DUMMYFUNCTION("""COMPUTED_VALUE"""),0)</f>
        <v>0</v>
      </c>
      <c r="AA46" s="115">
        <f ca="1">IFERROR(__xludf.DUMMYFUNCTION("""COMPUTED_VALUE"""),0)</f>
        <v>0</v>
      </c>
      <c r="AB46" s="115">
        <f ca="1">IFERROR(__xludf.DUMMYFUNCTION("""COMPUTED_VALUE"""),0)</f>
        <v>0</v>
      </c>
      <c r="AC46" s="115">
        <f ca="1">IFERROR(__xludf.DUMMYFUNCTION("""COMPUTED_VALUE"""),0)</f>
        <v>0</v>
      </c>
      <c r="AD46" s="115">
        <f ca="1">IFERROR(__xludf.DUMMYFUNCTION("""COMPUTED_VALUE"""),0)</f>
        <v>0</v>
      </c>
      <c r="AE46" s="123">
        <f t="shared" ca="1" si="0"/>
        <v>6869</v>
      </c>
      <c r="AF46" s="48">
        <f t="shared" ref="AF46:AF47" ca="1" si="3">AE46/O46</f>
        <v>0.23686206896551723</v>
      </c>
    </row>
    <row r="47" spans="1:32" ht="165.6">
      <c r="A47" s="124" t="s">
        <v>74</v>
      </c>
      <c r="B47" s="113"/>
      <c r="C47" s="114" t="s">
        <v>203</v>
      </c>
      <c r="D47" s="115" t="s">
        <v>204</v>
      </c>
      <c r="E47" s="115" t="s">
        <v>205</v>
      </c>
      <c r="F47" s="115" t="s">
        <v>206</v>
      </c>
      <c r="G47" s="117" t="s">
        <v>103</v>
      </c>
      <c r="H47" s="115" t="s">
        <v>114</v>
      </c>
      <c r="I47" s="116" t="s">
        <v>389</v>
      </c>
      <c r="J47" s="125" t="s">
        <v>208</v>
      </c>
      <c r="K47" s="125" t="s">
        <v>390</v>
      </c>
      <c r="L47" s="115" t="s">
        <v>107</v>
      </c>
      <c r="M47" s="131" t="s">
        <v>184</v>
      </c>
      <c r="N47" s="115" t="s">
        <v>85</v>
      </c>
      <c r="O47" s="132">
        <v>500</v>
      </c>
      <c r="P47" s="133"/>
      <c r="Q47" s="122" t="s">
        <v>118</v>
      </c>
      <c r="R47" s="115" t="s">
        <v>209</v>
      </c>
      <c r="S47" s="115">
        <f ca="1">IFERROR(__xludf.DUMMYFUNCTION("ARRAYFORMULA(VALUE(QUERY((importrange(""1QqO90t5YaypRBmLyuAF3V4pupHFwwwLeoeQ3Rj52OIE"",""TOTALES!E2:P3"")),""Select*"",1)))"),510)</f>
        <v>510</v>
      </c>
      <c r="T47" s="115">
        <f ca="1">IFERROR(__xludf.DUMMYFUNCTION("""COMPUTED_VALUE"""),510)</f>
        <v>510</v>
      </c>
      <c r="U47" s="115">
        <f ca="1">IFERROR(__xludf.DUMMYFUNCTION("""COMPUTED_VALUE"""),510)</f>
        <v>510</v>
      </c>
      <c r="V47" s="115">
        <f ca="1">IFERROR(__xludf.DUMMYFUNCTION("""COMPUTED_VALUE"""),510)</f>
        <v>510</v>
      </c>
      <c r="W47" s="115">
        <f ca="1">IFERROR(__xludf.DUMMYFUNCTION("""COMPUTED_VALUE"""),510)</f>
        <v>510</v>
      </c>
      <c r="X47" s="115">
        <f ca="1">IFERROR(__xludf.DUMMYFUNCTION("""COMPUTED_VALUE"""),510)</f>
        <v>510</v>
      </c>
      <c r="Y47" s="115">
        <f ca="1">IFERROR(__xludf.DUMMYFUNCTION("""COMPUTED_VALUE"""),0)</f>
        <v>0</v>
      </c>
      <c r="Z47" s="115">
        <f ca="1">IFERROR(__xludf.DUMMYFUNCTION("""COMPUTED_VALUE"""),0)</f>
        <v>0</v>
      </c>
      <c r="AA47" s="115">
        <f ca="1">IFERROR(__xludf.DUMMYFUNCTION("""COMPUTED_VALUE"""),0)</f>
        <v>0</v>
      </c>
      <c r="AB47" s="115">
        <f ca="1">IFERROR(__xludf.DUMMYFUNCTION("""COMPUTED_VALUE"""),0)</f>
        <v>0</v>
      </c>
      <c r="AC47" s="115">
        <f ca="1">IFERROR(__xludf.DUMMYFUNCTION("""COMPUTED_VALUE"""),0)</f>
        <v>0</v>
      </c>
      <c r="AD47" s="115">
        <f ca="1">IFERROR(__xludf.DUMMYFUNCTION("""COMPUTED_VALUE"""),0)</f>
        <v>0</v>
      </c>
      <c r="AE47" s="123">
        <f t="shared" ca="1" si="0"/>
        <v>1530</v>
      </c>
      <c r="AF47" s="48">
        <f t="shared" ca="1" si="3"/>
        <v>3.06</v>
      </c>
    </row>
    <row r="48" spans="1:32" ht="165.6">
      <c r="A48" s="58" t="s">
        <v>88</v>
      </c>
      <c r="B48" s="51"/>
      <c r="C48" s="52" t="s">
        <v>210</v>
      </c>
      <c r="D48" s="32" t="s">
        <v>211</v>
      </c>
      <c r="E48" s="32" t="s">
        <v>212</v>
      </c>
      <c r="F48" s="32" t="s">
        <v>213</v>
      </c>
      <c r="G48" s="54" t="s">
        <v>103</v>
      </c>
      <c r="H48" s="32" t="s">
        <v>114</v>
      </c>
      <c r="I48" s="53" t="s">
        <v>214</v>
      </c>
      <c r="J48" s="60" t="s">
        <v>215</v>
      </c>
      <c r="K48" s="60" t="s">
        <v>216</v>
      </c>
      <c r="L48" s="32" t="s">
        <v>107</v>
      </c>
      <c r="M48" s="64" t="s">
        <v>108</v>
      </c>
      <c r="N48" s="65">
        <v>203457</v>
      </c>
      <c r="O48" s="65">
        <v>224400</v>
      </c>
      <c r="P48" s="37"/>
      <c r="Q48" s="33" t="s">
        <v>118</v>
      </c>
      <c r="R48" s="32" t="s">
        <v>209</v>
      </c>
      <c r="S48" s="32">
        <f ca="1">IFERROR(__xludf.DUMMYFUNCTION("""COMPUTED_VALUE"""),22440)</f>
        <v>22440</v>
      </c>
      <c r="T48" s="32">
        <f ca="1">IFERROR(__xludf.DUMMYFUNCTION("""COMPUTED_VALUE"""),19380)</f>
        <v>19380</v>
      </c>
      <c r="U48" s="32">
        <f ca="1">IFERROR(__xludf.DUMMYFUNCTION("""COMPUTED_VALUE"""),23460)</f>
        <v>23460</v>
      </c>
      <c r="V48" s="32">
        <f ca="1">IFERROR(__xludf.DUMMYFUNCTION("""COMPUTED_VALUE"""),10200)</f>
        <v>10200</v>
      </c>
      <c r="W48" s="32">
        <f ca="1">IFERROR(__xludf.DUMMYFUNCTION("""COMPUTED_VALUE"""),22440)</f>
        <v>22440</v>
      </c>
      <c r="X48" s="32">
        <f ca="1">IFERROR(__xludf.DUMMYFUNCTION("""COMPUTED_VALUE"""),22440)</f>
        <v>22440</v>
      </c>
      <c r="Y48" s="32">
        <f ca="1">IFERROR(__xludf.DUMMYFUNCTION("""COMPUTED_VALUE"""),0)</f>
        <v>0</v>
      </c>
      <c r="Z48" s="32">
        <f ca="1">IFERROR(__xludf.DUMMYFUNCTION("""COMPUTED_VALUE"""),0)</f>
        <v>0</v>
      </c>
      <c r="AA48" s="32">
        <f ca="1">IFERROR(__xludf.DUMMYFUNCTION("""COMPUTED_VALUE"""),0)</f>
        <v>0</v>
      </c>
      <c r="AB48" s="32">
        <f ca="1">IFERROR(__xludf.DUMMYFUNCTION("""COMPUTED_VALUE"""),0)</f>
        <v>0</v>
      </c>
      <c r="AC48" s="32">
        <f ca="1">IFERROR(__xludf.DUMMYFUNCTION("""COMPUTED_VALUE"""),0)</f>
        <v>0</v>
      </c>
      <c r="AD48" s="32">
        <f ca="1">IFERROR(__xludf.DUMMYFUNCTION("""COMPUTED_VALUE"""),0)</f>
        <v>0</v>
      </c>
      <c r="AE48" s="49">
        <f t="shared" ca="1" si="0"/>
        <v>65280</v>
      </c>
      <c r="AF48" s="48"/>
    </row>
    <row r="49" spans="1:32" ht="82.8">
      <c r="A49" s="58" t="s">
        <v>74</v>
      </c>
      <c r="B49" s="51"/>
      <c r="C49" s="52" t="s">
        <v>217</v>
      </c>
      <c r="D49" s="66" t="s">
        <v>218</v>
      </c>
      <c r="E49" s="66" t="s">
        <v>219</v>
      </c>
      <c r="F49" s="66" t="s">
        <v>220</v>
      </c>
      <c r="G49" s="67" t="s">
        <v>103</v>
      </c>
      <c r="H49" s="66" t="s">
        <v>114</v>
      </c>
      <c r="I49" s="66" t="s">
        <v>391</v>
      </c>
      <c r="J49" s="68" t="s">
        <v>222</v>
      </c>
      <c r="K49" s="68" t="s">
        <v>392</v>
      </c>
      <c r="L49" s="32" t="s">
        <v>107</v>
      </c>
      <c r="M49" s="69" t="s">
        <v>184</v>
      </c>
      <c r="N49" s="70" t="s">
        <v>85</v>
      </c>
      <c r="O49" s="70">
        <v>1300</v>
      </c>
      <c r="P49" s="72"/>
      <c r="Q49" s="32" t="s">
        <v>223</v>
      </c>
      <c r="R49" s="32" t="s">
        <v>224</v>
      </c>
      <c r="S49" s="32">
        <f ca="1">IFERROR(__xludf.DUMMYFUNCTION("ARRAYFORMULA(VALUE(QUERY((importrange(""1gzh_IplvT8FVpSpLrnqCIOVsZa98RVoxxYmSvikPos0"",""TOTALES!E2:P3"")),""Select*"",1)))"),1558)</f>
        <v>1558</v>
      </c>
      <c r="T49" s="32">
        <f ca="1">IFERROR(__xludf.DUMMYFUNCTION("""COMPUTED_VALUE"""),1711)</f>
        <v>1711</v>
      </c>
      <c r="U49" s="32">
        <f ca="1">IFERROR(__xludf.DUMMYFUNCTION("""COMPUTED_VALUE"""),1813)</f>
        <v>1813</v>
      </c>
      <c r="V49" s="32">
        <f ca="1">IFERROR(__xludf.DUMMYFUNCTION("""COMPUTED_VALUE"""),1440)</f>
        <v>1440</v>
      </c>
      <c r="W49" s="32">
        <f ca="1">IFERROR(__xludf.DUMMYFUNCTION("""COMPUTED_VALUE"""),1549)</f>
        <v>1549</v>
      </c>
      <c r="X49" s="32">
        <f ca="1">IFERROR(__xludf.DUMMYFUNCTION("""COMPUTED_VALUE"""),1492)</f>
        <v>1492</v>
      </c>
      <c r="Y49" s="32">
        <f ca="1">IFERROR(__xludf.DUMMYFUNCTION("""COMPUTED_VALUE"""),0)</f>
        <v>0</v>
      </c>
      <c r="Z49" s="32">
        <f ca="1">IFERROR(__xludf.DUMMYFUNCTION("""COMPUTED_VALUE"""),0)</f>
        <v>0</v>
      </c>
      <c r="AA49" s="32">
        <f ca="1">IFERROR(__xludf.DUMMYFUNCTION("""COMPUTED_VALUE"""),0)</f>
        <v>0</v>
      </c>
      <c r="AB49" s="32">
        <f ca="1">IFERROR(__xludf.DUMMYFUNCTION("""COMPUTED_VALUE"""),0)</f>
        <v>0</v>
      </c>
      <c r="AC49" s="32">
        <f ca="1">IFERROR(__xludf.DUMMYFUNCTION("""COMPUTED_VALUE"""),0)</f>
        <v>0</v>
      </c>
      <c r="AD49" s="32">
        <f ca="1">IFERROR(__xludf.DUMMYFUNCTION("""COMPUTED_VALUE"""),0)</f>
        <v>0</v>
      </c>
      <c r="AE49" s="49">
        <f t="shared" ca="1" si="0"/>
        <v>5082</v>
      </c>
      <c r="AF49" s="48"/>
    </row>
    <row r="50" spans="1:32" ht="96.6">
      <c r="A50" s="124" t="s">
        <v>88</v>
      </c>
      <c r="B50" s="113"/>
      <c r="C50" s="114" t="s">
        <v>225</v>
      </c>
      <c r="D50" s="115" t="s">
        <v>226</v>
      </c>
      <c r="E50" s="115" t="s">
        <v>227</v>
      </c>
      <c r="F50" s="115" t="s">
        <v>228</v>
      </c>
      <c r="G50" s="117" t="s">
        <v>103</v>
      </c>
      <c r="H50" s="115" t="s">
        <v>114</v>
      </c>
      <c r="I50" s="116" t="s">
        <v>393</v>
      </c>
      <c r="J50" s="125" t="s">
        <v>230</v>
      </c>
      <c r="K50" s="125" t="s">
        <v>392</v>
      </c>
      <c r="L50" s="115" t="s">
        <v>107</v>
      </c>
      <c r="M50" s="131" t="s">
        <v>184</v>
      </c>
      <c r="N50" s="133"/>
      <c r="O50" s="132">
        <v>260</v>
      </c>
      <c r="P50" s="133"/>
      <c r="Q50" s="115" t="s">
        <v>231</v>
      </c>
      <c r="R50" s="115" t="s">
        <v>232</v>
      </c>
      <c r="S50" s="115">
        <f ca="1">IFERROR(__xludf.DUMMYFUNCTION("""COMPUTED_VALUE"""),276)</f>
        <v>276</v>
      </c>
      <c r="T50" s="115">
        <f ca="1">IFERROR(__xludf.DUMMYFUNCTION("""COMPUTED_VALUE"""),307)</f>
        <v>307</v>
      </c>
      <c r="U50" s="115">
        <f ca="1">IFERROR(__xludf.DUMMYFUNCTION("""COMPUTED_VALUE"""),293)</f>
        <v>293</v>
      </c>
      <c r="V50" s="115">
        <f ca="1">IFERROR(__xludf.DUMMYFUNCTION("""COMPUTED_VALUE"""),261)</f>
        <v>261</v>
      </c>
      <c r="W50" s="115">
        <f ca="1">IFERROR(__xludf.DUMMYFUNCTION("""COMPUTED_VALUE"""),294)</f>
        <v>294</v>
      </c>
      <c r="X50" s="115">
        <f ca="1">IFERROR(__xludf.DUMMYFUNCTION("""COMPUTED_VALUE"""),268)</f>
        <v>268</v>
      </c>
      <c r="Y50" s="115">
        <f ca="1">IFERROR(__xludf.DUMMYFUNCTION("""COMPUTED_VALUE"""),0)</f>
        <v>0</v>
      </c>
      <c r="Z50" s="115">
        <f ca="1">IFERROR(__xludf.DUMMYFUNCTION("""COMPUTED_VALUE"""),0)</f>
        <v>0</v>
      </c>
      <c r="AA50" s="115">
        <f ca="1">IFERROR(__xludf.DUMMYFUNCTION("""COMPUTED_VALUE"""),0)</f>
        <v>0</v>
      </c>
      <c r="AB50" s="115">
        <f ca="1">IFERROR(__xludf.DUMMYFUNCTION("""COMPUTED_VALUE"""),0)</f>
        <v>0</v>
      </c>
      <c r="AC50" s="115">
        <f ca="1">IFERROR(__xludf.DUMMYFUNCTION("""COMPUTED_VALUE"""),0)</f>
        <v>0</v>
      </c>
      <c r="AD50" s="115">
        <f ca="1">IFERROR(__xludf.DUMMYFUNCTION("""COMPUTED_VALUE"""),0)</f>
        <v>0</v>
      </c>
      <c r="AE50" s="123">
        <f t="shared" ca="1" si="0"/>
        <v>876</v>
      </c>
      <c r="AF50" s="48">
        <f t="shared" ref="AF50:AF51" ca="1" si="4">AE50/O50</f>
        <v>3.3692307692307693</v>
      </c>
    </row>
    <row r="51" spans="1:32" ht="96.6">
      <c r="A51" s="124" t="s">
        <v>74</v>
      </c>
      <c r="B51" s="113"/>
      <c r="C51" s="114" t="s">
        <v>233</v>
      </c>
      <c r="D51" s="115" t="s">
        <v>234</v>
      </c>
      <c r="E51" s="115" t="s">
        <v>235</v>
      </c>
      <c r="F51" s="115" t="s">
        <v>236</v>
      </c>
      <c r="G51" s="117" t="s">
        <v>103</v>
      </c>
      <c r="H51" s="115" t="s">
        <v>114</v>
      </c>
      <c r="I51" s="116" t="s">
        <v>237</v>
      </c>
      <c r="J51" s="125" t="s">
        <v>238</v>
      </c>
      <c r="K51" s="125" t="s">
        <v>239</v>
      </c>
      <c r="L51" s="115" t="s">
        <v>107</v>
      </c>
      <c r="M51" s="131" t="s">
        <v>108</v>
      </c>
      <c r="N51" s="132">
        <v>2037</v>
      </c>
      <c r="O51" s="132">
        <v>2030</v>
      </c>
      <c r="P51" s="133"/>
      <c r="Q51" s="122" t="s">
        <v>240</v>
      </c>
      <c r="R51" s="115" t="s">
        <v>241</v>
      </c>
      <c r="S51" s="115">
        <f ca="1">IFERROR(__xludf.DUMMYFUNCTION("ARRAYFORMULA(VALUE(QUERY((importrange(""1uq0-tclcwlKN4n207WGe9aYxfqRISdzRNcLeNfdql2A"",""TOTALES!E2:P3"")),""Select*"",1)))"),0)</f>
        <v>0</v>
      </c>
      <c r="T51" s="115">
        <f ca="1">IFERROR(__xludf.DUMMYFUNCTION("""COMPUTED_VALUE"""),0)</f>
        <v>0</v>
      </c>
      <c r="U51" s="115">
        <f ca="1">IFERROR(__xludf.DUMMYFUNCTION("""COMPUTED_VALUE"""),0)</f>
        <v>0</v>
      </c>
      <c r="V51" s="115">
        <f ca="1">IFERROR(__xludf.DUMMYFUNCTION("""COMPUTED_VALUE"""),0)</f>
        <v>0</v>
      </c>
      <c r="W51" s="115">
        <f ca="1">IFERROR(__xludf.DUMMYFUNCTION("""COMPUTED_VALUE"""),0)</f>
        <v>0</v>
      </c>
      <c r="X51" s="115">
        <f ca="1">IFERROR(__xludf.DUMMYFUNCTION("""COMPUTED_VALUE"""),0)</f>
        <v>0</v>
      </c>
      <c r="Y51" s="115">
        <f ca="1">IFERROR(__xludf.DUMMYFUNCTION("""COMPUTED_VALUE"""),0)</f>
        <v>0</v>
      </c>
      <c r="Z51" s="115">
        <f ca="1">IFERROR(__xludf.DUMMYFUNCTION("""COMPUTED_VALUE"""),0)</f>
        <v>0</v>
      </c>
      <c r="AA51" s="115">
        <f ca="1">IFERROR(__xludf.DUMMYFUNCTION("""COMPUTED_VALUE"""),0)</f>
        <v>0</v>
      </c>
      <c r="AB51" s="115">
        <f ca="1">IFERROR(__xludf.DUMMYFUNCTION("""COMPUTED_VALUE"""),0)</f>
        <v>0</v>
      </c>
      <c r="AC51" s="115">
        <f ca="1">IFERROR(__xludf.DUMMYFUNCTION("""COMPUTED_VALUE"""),0)</f>
        <v>0</v>
      </c>
      <c r="AD51" s="115">
        <f ca="1">IFERROR(__xludf.DUMMYFUNCTION("""COMPUTED_VALUE"""),0)</f>
        <v>0</v>
      </c>
      <c r="AE51" s="123">
        <f t="shared" ca="1" si="0"/>
        <v>0</v>
      </c>
      <c r="AF51" s="48">
        <f t="shared" ca="1" si="4"/>
        <v>0</v>
      </c>
    </row>
    <row r="52" spans="1:32" ht="96.6">
      <c r="A52" s="73" t="s">
        <v>88</v>
      </c>
      <c r="B52" s="51"/>
      <c r="C52" s="52" t="s">
        <v>242</v>
      </c>
      <c r="D52" s="32" t="s">
        <v>243</v>
      </c>
      <c r="E52" s="32" t="s">
        <v>244</v>
      </c>
      <c r="F52" s="32" t="s">
        <v>245</v>
      </c>
      <c r="G52" s="54" t="s">
        <v>103</v>
      </c>
      <c r="H52" s="32" t="s">
        <v>114</v>
      </c>
      <c r="I52" s="53" t="s">
        <v>246</v>
      </c>
      <c r="J52" s="60" t="s">
        <v>247</v>
      </c>
      <c r="K52" s="60" t="s">
        <v>248</v>
      </c>
      <c r="L52" s="32" t="s">
        <v>107</v>
      </c>
      <c r="M52" s="64" t="s">
        <v>108</v>
      </c>
      <c r="N52" s="32" t="s">
        <v>85</v>
      </c>
      <c r="O52" s="65">
        <v>1188</v>
      </c>
      <c r="P52" s="37"/>
      <c r="Q52" s="33" t="s">
        <v>249</v>
      </c>
      <c r="R52" s="32" t="s">
        <v>241</v>
      </c>
      <c r="S52" s="32">
        <f ca="1">IFERROR(__xludf.DUMMYFUNCTION("""COMPUTED_VALUE"""),99)</f>
        <v>99</v>
      </c>
      <c r="T52" s="32">
        <f ca="1">IFERROR(__xludf.DUMMYFUNCTION("""COMPUTED_VALUE"""),99)</f>
        <v>99</v>
      </c>
      <c r="U52" s="32">
        <f ca="1">IFERROR(__xludf.DUMMYFUNCTION("""COMPUTED_VALUE"""),99)</f>
        <v>99</v>
      </c>
      <c r="V52" s="32">
        <f ca="1">IFERROR(__xludf.DUMMYFUNCTION("""COMPUTED_VALUE"""),99)</f>
        <v>99</v>
      </c>
      <c r="W52" s="32">
        <f ca="1">IFERROR(__xludf.DUMMYFUNCTION("""COMPUTED_VALUE"""),99)</f>
        <v>99</v>
      </c>
      <c r="X52" s="32">
        <f ca="1">IFERROR(__xludf.DUMMYFUNCTION("""COMPUTED_VALUE"""),99)</f>
        <v>99</v>
      </c>
      <c r="Y52" s="32">
        <f ca="1">IFERROR(__xludf.DUMMYFUNCTION("""COMPUTED_VALUE"""),0)</f>
        <v>0</v>
      </c>
      <c r="Z52" s="32">
        <f ca="1">IFERROR(__xludf.DUMMYFUNCTION("""COMPUTED_VALUE"""),0)</f>
        <v>0</v>
      </c>
      <c r="AA52" s="32">
        <f ca="1">IFERROR(__xludf.DUMMYFUNCTION("""COMPUTED_VALUE"""),0)</f>
        <v>0</v>
      </c>
      <c r="AB52" s="32">
        <f ca="1">IFERROR(__xludf.DUMMYFUNCTION("""COMPUTED_VALUE"""),0)</f>
        <v>0</v>
      </c>
      <c r="AC52" s="32">
        <f ca="1">IFERROR(__xludf.DUMMYFUNCTION("""COMPUTED_VALUE"""),0)</f>
        <v>0</v>
      </c>
      <c r="AD52" s="32">
        <f ca="1">IFERROR(__xludf.DUMMYFUNCTION("""COMPUTED_VALUE"""),0)</f>
        <v>0</v>
      </c>
      <c r="AE52" s="49">
        <f t="shared" ca="1" si="0"/>
        <v>297</v>
      </c>
      <c r="AF52" s="48"/>
    </row>
    <row r="53" spans="1:32" ht="96.6">
      <c r="A53" s="24" t="s">
        <v>74</v>
      </c>
      <c r="B53" s="74" t="s">
        <v>98</v>
      </c>
      <c r="C53" s="75" t="s">
        <v>250</v>
      </c>
      <c r="D53" s="32" t="s">
        <v>251</v>
      </c>
      <c r="E53" s="32" t="s">
        <v>252</v>
      </c>
      <c r="F53" s="32" t="s">
        <v>113</v>
      </c>
      <c r="G53" s="32" t="s">
        <v>103</v>
      </c>
      <c r="H53" s="32" t="s">
        <v>79</v>
      </c>
      <c r="I53" s="32" t="s">
        <v>253</v>
      </c>
      <c r="J53" s="60" t="s">
        <v>254</v>
      </c>
      <c r="K53" s="60" t="s">
        <v>255</v>
      </c>
      <c r="L53" s="32" t="s">
        <v>107</v>
      </c>
      <c r="M53" s="32" t="s">
        <v>108</v>
      </c>
      <c r="N53" s="32">
        <v>4431</v>
      </c>
      <c r="O53" s="32">
        <v>5000</v>
      </c>
      <c r="P53" s="37"/>
      <c r="Q53" s="32" t="s">
        <v>256</v>
      </c>
      <c r="R53" s="32" t="s">
        <v>257</v>
      </c>
      <c r="S53" s="32">
        <f ca="1">IFERROR(__xludf.DUMMYFUNCTION("ARRAYFORMULA(VALUE(QUERY((importrange(""129OBcxqSDyZj96BM0JshWrjZR5LrrReqJk2O0W0jThk"",""TOTALES!E2:P3"")),""Select*"",1)))"),1984)</f>
        <v>1984</v>
      </c>
      <c r="T53" s="32">
        <f ca="1">IFERROR(__xludf.DUMMYFUNCTION("""COMPUTED_VALUE"""),1681)</f>
        <v>1681</v>
      </c>
      <c r="U53" s="32">
        <f ca="1">IFERROR(__xludf.DUMMYFUNCTION("""COMPUTED_VALUE"""),0)</f>
        <v>0</v>
      </c>
      <c r="V53" s="32">
        <f ca="1">IFERROR(__xludf.DUMMYFUNCTION("""COMPUTED_VALUE"""),0)</f>
        <v>0</v>
      </c>
      <c r="W53" s="32">
        <f ca="1">IFERROR(__xludf.DUMMYFUNCTION("""COMPUTED_VALUE"""),0)</f>
        <v>0</v>
      </c>
      <c r="X53" s="32">
        <f ca="1">IFERROR(__xludf.DUMMYFUNCTION("""COMPUTED_VALUE"""),0)</f>
        <v>0</v>
      </c>
      <c r="Y53" s="32">
        <f ca="1">IFERROR(__xludf.DUMMYFUNCTION("""COMPUTED_VALUE"""),0)</f>
        <v>0</v>
      </c>
      <c r="Z53" s="32">
        <f ca="1">IFERROR(__xludf.DUMMYFUNCTION("""COMPUTED_VALUE"""),0)</f>
        <v>0</v>
      </c>
      <c r="AA53" s="32">
        <f ca="1">IFERROR(__xludf.DUMMYFUNCTION("""COMPUTED_VALUE"""),0)</f>
        <v>0</v>
      </c>
      <c r="AB53" s="32">
        <f ca="1">IFERROR(__xludf.DUMMYFUNCTION("""COMPUTED_VALUE"""),0)</f>
        <v>0</v>
      </c>
      <c r="AC53" s="32">
        <f ca="1">IFERROR(__xludf.DUMMYFUNCTION("""COMPUTED_VALUE"""),0)</f>
        <v>0</v>
      </c>
      <c r="AD53" s="32">
        <f ca="1">IFERROR(__xludf.DUMMYFUNCTION("""COMPUTED_VALUE"""),0)</f>
        <v>0</v>
      </c>
      <c r="AE53" s="49">
        <f t="shared" ca="1" si="0"/>
        <v>3665</v>
      </c>
      <c r="AF53" s="48"/>
    </row>
    <row r="54" spans="1:32" ht="179.4">
      <c r="A54" s="51" t="s">
        <v>88</v>
      </c>
      <c r="B54" s="51"/>
      <c r="C54" s="76" t="s">
        <v>258</v>
      </c>
      <c r="D54" s="32" t="s">
        <v>259</v>
      </c>
      <c r="E54" s="32" t="s">
        <v>260</v>
      </c>
      <c r="F54" s="32" t="s">
        <v>261</v>
      </c>
      <c r="G54" s="32" t="s">
        <v>103</v>
      </c>
      <c r="H54" s="32" t="s">
        <v>114</v>
      </c>
      <c r="I54" s="32" t="s">
        <v>262</v>
      </c>
      <c r="J54" s="60" t="s">
        <v>263</v>
      </c>
      <c r="K54" s="60" t="s">
        <v>264</v>
      </c>
      <c r="L54" s="32" t="s">
        <v>107</v>
      </c>
      <c r="M54" s="32" t="s">
        <v>108</v>
      </c>
      <c r="N54" s="32">
        <v>17</v>
      </c>
      <c r="O54" s="32">
        <v>7</v>
      </c>
      <c r="P54" s="57"/>
      <c r="Q54" s="32" t="s">
        <v>265</v>
      </c>
      <c r="R54" s="32" t="s">
        <v>266</v>
      </c>
      <c r="S54" s="32">
        <f ca="1">IFERROR(__xludf.DUMMYFUNCTION("""COMPUTED_VALUE"""),1)</f>
        <v>1</v>
      </c>
      <c r="T54" s="32">
        <f ca="1">IFERROR(__xludf.DUMMYFUNCTION("""COMPUTED_VALUE"""),1)</f>
        <v>1</v>
      </c>
      <c r="U54" s="32">
        <f ca="1">IFERROR(__xludf.DUMMYFUNCTION("""COMPUTED_VALUE"""),2)</f>
        <v>2</v>
      </c>
      <c r="V54" s="32">
        <f ca="1">IFERROR(__xludf.DUMMYFUNCTION("""COMPUTED_VALUE"""),7)</f>
        <v>7</v>
      </c>
      <c r="W54" s="32">
        <f ca="1">IFERROR(__xludf.DUMMYFUNCTION("""COMPUTED_VALUE"""),0)</f>
        <v>0</v>
      </c>
      <c r="X54" s="32">
        <f ca="1">IFERROR(__xludf.DUMMYFUNCTION("""COMPUTED_VALUE"""),1)</f>
        <v>1</v>
      </c>
      <c r="Y54" s="32">
        <f ca="1">IFERROR(__xludf.DUMMYFUNCTION("""COMPUTED_VALUE"""),0)</f>
        <v>0</v>
      </c>
      <c r="Z54" s="32">
        <f ca="1">IFERROR(__xludf.DUMMYFUNCTION("""COMPUTED_VALUE"""),0)</f>
        <v>0</v>
      </c>
      <c r="AA54" s="32">
        <f ca="1">IFERROR(__xludf.DUMMYFUNCTION("""COMPUTED_VALUE"""),0)</f>
        <v>0</v>
      </c>
      <c r="AB54" s="32">
        <f ca="1">IFERROR(__xludf.DUMMYFUNCTION("""COMPUTED_VALUE"""),0)</f>
        <v>0</v>
      </c>
      <c r="AC54" s="32">
        <f ca="1">IFERROR(__xludf.DUMMYFUNCTION("""COMPUTED_VALUE"""),0)</f>
        <v>0</v>
      </c>
      <c r="AD54" s="32">
        <f ca="1">IFERROR(__xludf.DUMMYFUNCTION("""COMPUTED_VALUE"""),0)</f>
        <v>0</v>
      </c>
      <c r="AE54" s="49">
        <f t="shared" ca="1" si="0"/>
        <v>4</v>
      </c>
      <c r="AF54" s="48"/>
    </row>
    <row r="55" spans="1:32" ht="124.2">
      <c r="A55" s="24" t="s">
        <v>88</v>
      </c>
      <c r="B55" s="77" t="s">
        <v>98</v>
      </c>
      <c r="C55" s="46" t="s">
        <v>267</v>
      </c>
      <c r="D55" s="32" t="s">
        <v>268</v>
      </c>
      <c r="E55" s="32" t="s">
        <v>269</v>
      </c>
      <c r="F55" s="32" t="s">
        <v>270</v>
      </c>
      <c r="G55" s="32" t="s">
        <v>103</v>
      </c>
      <c r="H55" s="32" t="s">
        <v>79</v>
      </c>
      <c r="I55" s="32" t="s">
        <v>271</v>
      </c>
      <c r="J55" s="78" t="s">
        <v>272</v>
      </c>
      <c r="K55" s="79" t="s">
        <v>273</v>
      </c>
      <c r="L55" s="32" t="s">
        <v>107</v>
      </c>
      <c r="M55" s="32" t="s">
        <v>108</v>
      </c>
      <c r="N55" s="80" t="s">
        <v>85</v>
      </c>
      <c r="O55" s="32">
        <v>1100</v>
      </c>
      <c r="P55" s="37"/>
      <c r="Q55" s="32" t="s">
        <v>274</v>
      </c>
      <c r="R55" s="32" t="s">
        <v>275</v>
      </c>
      <c r="S55" s="32">
        <f ca="1">IFERROR(__xludf.DUMMYFUNCTION("ARRAYFORMULA(VALUE(QUERY((importrange(""1VEztdOMa-Y0eWUiFHDIS4eRbaAmfDSqM1-Yeu47QVEY"",""TOTALES!E2:P4"")),""Select*"",1)))"),89)</f>
        <v>89</v>
      </c>
      <c r="T55" s="32">
        <f ca="1">IFERROR(__xludf.DUMMYFUNCTION("""COMPUTED_VALUE"""),101)</f>
        <v>101</v>
      </c>
      <c r="U55" s="32">
        <f ca="1">IFERROR(__xludf.DUMMYFUNCTION("""COMPUTED_VALUE"""),90)</f>
        <v>90</v>
      </c>
      <c r="V55" s="32">
        <f ca="1">IFERROR(__xludf.DUMMYFUNCTION("""COMPUTED_VALUE"""),49)</f>
        <v>49</v>
      </c>
      <c r="W55" s="32">
        <f ca="1">IFERROR(__xludf.DUMMYFUNCTION("""COMPUTED_VALUE"""),113)</f>
        <v>113</v>
      </c>
      <c r="X55" s="32">
        <f ca="1">IFERROR(__xludf.DUMMYFUNCTION("""COMPUTED_VALUE"""),107)</f>
        <v>107</v>
      </c>
      <c r="Y55" s="32">
        <f ca="1">IFERROR(__xludf.DUMMYFUNCTION("""COMPUTED_VALUE"""),0)</f>
        <v>0</v>
      </c>
      <c r="Z55" s="32">
        <f ca="1">IFERROR(__xludf.DUMMYFUNCTION("""COMPUTED_VALUE"""),0)</f>
        <v>0</v>
      </c>
      <c r="AA55" s="32">
        <f ca="1">IFERROR(__xludf.DUMMYFUNCTION("""COMPUTED_VALUE"""),0)</f>
        <v>0</v>
      </c>
      <c r="AB55" s="32">
        <f ca="1">IFERROR(__xludf.DUMMYFUNCTION("""COMPUTED_VALUE"""),0)</f>
        <v>0</v>
      </c>
      <c r="AC55" s="32">
        <f ca="1">IFERROR(__xludf.DUMMYFUNCTION("""COMPUTED_VALUE"""),0)</f>
        <v>0</v>
      </c>
      <c r="AD55" s="32">
        <f ca="1">IFERROR(__xludf.DUMMYFUNCTION("""COMPUTED_VALUE"""),0)</f>
        <v>0</v>
      </c>
      <c r="AE55" s="49">
        <f t="shared" ca="1" si="0"/>
        <v>280</v>
      </c>
      <c r="AF55" s="48"/>
    </row>
    <row r="56" spans="1:32" ht="138">
      <c r="A56" s="50" t="s">
        <v>74</v>
      </c>
      <c r="B56" s="81"/>
      <c r="C56" s="52" t="s">
        <v>276</v>
      </c>
      <c r="D56" s="32" t="s">
        <v>277</v>
      </c>
      <c r="E56" s="32" t="s">
        <v>278</v>
      </c>
      <c r="F56" s="32" t="s">
        <v>279</v>
      </c>
      <c r="G56" s="32" t="s">
        <v>103</v>
      </c>
      <c r="H56" s="32" t="s">
        <v>114</v>
      </c>
      <c r="I56" s="32" t="s">
        <v>280</v>
      </c>
      <c r="J56" s="60" t="s">
        <v>281</v>
      </c>
      <c r="K56" s="60" t="s">
        <v>282</v>
      </c>
      <c r="L56" s="32" t="s">
        <v>107</v>
      </c>
      <c r="M56" s="32" t="s">
        <v>108</v>
      </c>
      <c r="N56" s="80" t="s">
        <v>85</v>
      </c>
      <c r="O56" s="32">
        <v>700</v>
      </c>
      <c r="P56" s="37"/>
      <c r="Q56" s="32" t="s">
        <v>283</v>
      </c>
      <c r="R56" s="32" t="s">
        <v>284</v>
      </c>
      <c r="S56" s="32">
        <f ca="1">IFERROR(__xludf.DUMMYFUNCTION("""COMPUTED_VALUE"""),46)</f>
        <v>46</v>
      </c>
      <c r="T56" s="32">
        <f ca="1">IFERROR(__xludf.DUMMYFUNCTION("""COMPUTED_VALUE"""),61)</f>
        <v>61</v>
      </c>
      <c r="U56" s="32">
        <f ca="1">IFERROR(__xludf.DUMMYFUNCTION("""COMPUTED_VALUE"""),71)</f>
        <v>71</v>
      </c>
      <c r="V56" s="32">
        <f ca="1">IFERROR(__xludf.DUMMYFUNCTION("""COMPUTED_VALUE"""),30)</f>
        <v>30</v>
      </c>
      <c r="W56" s="32">
        <f ca="1">IFERROR(__xludf.DUMMYFUNCTION("""COMPUTED_VALUE"""),85)</f>
        <v>85</v>
      </c>
      <c r="X56" s="32">
        <f ca="1">IFERROR(__xludf.DUMMYFUNCTION("""COMPUTED_VALUE"""),68)</f>
        <v>68</v>
      </c>
      <c r="Y56" s="32">
        <f ca="1">IFERROR(__xludf.DUMMYFUNCTION("""COMPUTED_VALUE"""),0)</f>
        <v>0</v>
      </c>
      <c r="Z56" s="32">
        <f ca="1">IFERROR(__xludf.DUMMYFUNCTION("""COMPUTED_VALUE"""),0)</f>
        <v>0</v>
      </c>
      <c r="AA56" s="32">
        <f ca="1">IFERROR(__xludf.DUMMYFUNCTION("""COMPUTED_VALUE"""),0)</f>
        <v>0</v>
      </c>
      <c r="AB56" s="32">
        <f ca="1">IFERROR(__xludf.DUMMYFUNCTION("""COMPUTED_VALUE"""),0)</f>
        <v>0</v>
      </c>
      <c r="AC56" s="32">
        <f ca="1">IFERROR(__xludf.DUMMYFUNCTION("""COMPUTED_VALUE"""),0)</f>
        <v>0</v>
      </c>
      <c r="AD56" s="32">
        <f ca="1">IFERROR(__xludf.DUMMYFUNCTION("""COMPUTED_VALUE"""),0)</f>
        <v>0</v>
      </c>
      <c r="AE56" s="49">
        <f t="shared" ca="1" si="0"/>
        <v>178</v>
      </c>
      <c r="AF56" s="48">
        <f t="shared" ref="AF56:AF60" ca="1" si="5">AE56/O56</f>
        <v>0.25428571428571428</v>
      </c>
    </row>
    <row r="57" spans="1:32" ht="96.6">
      <c r="A57" s="73" t="s">
        <v>88</v>
      </c>
      <c r="B57" s="81"/>
      <c r="C57" s="52" t="s">
        <v>285</v>
      </c>
      <c r="D57" s="32" t="s">
        <v>286</v>
      </c>
      <c r="E57" s="32" t="s">
        <v>287</v>
      </c>
      <c r="F57" s="32" t="s">
        <v>288</v>
      </c>
      <c r="G57" s="32" t="s">
        <v>103</v>
      </c>
      <c r="H57" s="32" t="s">
        <v>114</v>
      </c>
      <c r="I57" s="32" t="s">
        <v>289</v>
      </c>
      <c r="J57" s="60" t="s">
        <v>290</v>
      </c>
      <c r="K57" s="60" t="s">
        <v>291</v>
      </c>
      <c r="L57" s="32" t="s">
        <v>107</v>
      </c>
      <c r="M57" s="32" t="s">
        <v>108</v>
      </c>
      <c r="N57" s="80" t="s">
        <v>85</v>
      </c>
      <c r="O57" s="32">
        <v>400</v>
      </c>
      <c r="P57" s="82"/>
      <c r="Q57" s="32" t="s">
        <v>292</v>
      </c>
      <c r="R57" s="32" t="s">
        <v>293</v>
      </c>
      <c r="S57" s="32">
        <f ca="1">IFERROR(__xludf.DUMMYFUNCTION("""COMPUTED_VALUE"""),36)</f>
        <v>36</v>
      </c>
      <c r="T57" s="32">
        <f ca="1">IFERROR(__xludf.DUMMYFUNCTION("""COMPUTED_VALUE"""),29)</f>
        <v>29</v>
      </c>
      <c r="U57" s="32">
        <f ca="1">IFERROR(__xludf.DUMMYFUNCTION("""COMPUTED_VALUE"""),31)</f>
        <v>31</v>
      </c>
      <c r="V57" s="32">
        <f ca="1">IFERROR(__xludf.DUMMYFUNCTION("""COMPUTED_VALUE"""),19)</f>
        <v>19</v>
      </c>
      <c r="W57" s="32">
        <f ca="1">IFERROR(__xludf.DUMMYFUNCTION("""COMPUTED_VALUE"""),28)</f>
        <v>28</v>
      </c>
      <c r="X57" s="32">
        <f ca="1">IFERROR(__xludf.DUMMYFUNCTION("""COMPUTED_VALUE"""),39)</f>
        <v>39</v>
      </c>
      <c r="Y57" s="32">
        <f ca="1">IFERROR(__xludf.DUMMYFUNCTION("""COMPUTED_VALUE"""),0)</f>
        <v>0</v>
      </c>
      <c r="Z57" s="32">
        <f ca="1">IFERROR(__xludf.DUMMYFUNCTION("""COMPUTED_VALUE"""),0)</f>
        <v>0</v>
      </c>
      <c r="AA57" s="32">
        <f ca="1">IFERROR(__xludf.DUMMYFUNCTION("""COMPUTED_VALUE"""),0)</f>
        <v>0</v>
      </c>
      <c r="AB57" s="32">
        <f ca="1">IFERROR(__xludf.DUMMYFUNCTION("""COMPUTED_VALUE"""),0)</f>
        <v>0</v>
      </c>
      <c r="AC57" s="32">
        <f ca="1">IFERROR(__xludf.DUMMYFUNCTION("""COMPUTED_VALUE"""),0)</f>
        <v>0</v>
      </c>
      <c r="AD57" s="32">
        <f ca="1">IFERROR(__xludf.DUMMYFUNCTION("""COMPUTED_VALUE"""),0)</f>
        <v>0</v>
      </c>
      <c r="AE57" s="49">
        <f t="shared" ca="1" si="0"/>
        <v>96</v>
      </c>
      <c r="AF57" s="48">
        <f t="shared" ca="1" si="5"/>
        <v>0.24</v>
      </c>
    </row>
    <row r="58" spans="1:32" ht="124.2">
      <c r="B58" s="74" t="s">
        <v>294</v>
      </c>
      <c r="C58" s="46" t="s">
        <v>295</v>
      </c>
      <c r="D58" s="32" t="s">
        <v>296</v>
      </c>
      <c r="E58" s="32" t="s">
        <v>297</v>
      </c>
      <c r="F58" s="32" t="s">
        <v>298</v>
      </c>
      <c r="G58" s="32" t="s">
        <v>103</v>
      </c>
      <c r="H58" s="32" t="s">
        <v>79</v>
      </c>
      <c r="I58" s="32" t="s">
        <v>299</v>
      </c>
      <c r="J58" s="60" t="s">
        <v>300</v>
      </c>
      <c r="K58" s="60" t="s">
        <v>301</v>
      </c>
      <c r="L58" s="32" t="s">
        <v>107</v>
      </c>
      <c r="M58" s="32" t="s">
        <v>108</v>
      </c>
      <c r="N58" s="83">
        <v>12</v>
      </c>
      <c r="O58" s="32">
        <v>12</v>
      </c>
      <c r="P58" s="82"/>
      <c r="Q58" s="32" t="s">
        <v>302</v>
      </c>
      <c r="R58" s="32" t="s">
        <v>303</v>
      </c>
      <c r="S58" s="32">
        <f ca="1">IFERROR(__xludf.DUMMYFUNCTION("ARRAYFORMULA(VALUE(QUERY((importrange(""1KdaFVqJFJ9ZqFh7rOAds5taz4NRv7kh6I4IScrpooUQ"",""TOTALES!E2:P4"")),""Select*"",1)))"),1)</f>
        <v>1</v>
      </c>
      <c r="T58" s="32">
        <f ca="1">IFERROR(__xludf.DUMMYFUNCTION("""COMPUTED_VALUE"""),1)</f>
        <v>1</v>
      </c>
      <c r="U58" s="32">
        <f ca="1">IFERROR(__xludf.DUMMYFUNCTION("""COMPUTED_VALUE"""),1)</f>
        <v>1</v>
      </c>
      <c r="V58" s="32">
        <f ca="1">IFERROR(__xludf.DUMMYFUNCTION("""COMPUTED_VALUE"""),0)</f>
        <v>0</v>
      </c>
      <c r="W58" s="32">
        <f ca="1">IFERROR(__xludf.DUMMYFUNCTION("""COMPUTED_VALUE"""),1)</f>
        <v>1</v>
      </c>
      <c r="X58" s="32">
        <f ca="1">IFERROR(__xludf.DUMMYFUNCTION("""COMPUTED_VALUE"""),1)</f>
        <v>1</v>
      </c>
      <c r="Y58" s="32">
        <f ca="1">IFERROR(__xludf.DUMMYFUNCTION("""COMPUTED_VALUE"""),0)</f>
        <v>0</v>
      </c>
      <c r="Z58" s="32">
        <f ca="1">IFERROR(__xludf.DUMMYFUNCTION("""COMPUTED_VALUE"""),0)</f>
        <v>0</v>
      </c>
      <c r="AA58" s="32">
        <f ca="1">IFERROR(__xludf.DUMMYFUNCTION("""COMPUTED_VALUE"""),0)</f>
        <v>0</v>
      </c>
      <c r="AB58" s="32">
        <f ca="1">IFERROR(__xludf.DUMMYFUNCTION("""COMPUTED_VALUE"""),0)</f>
        <v>0</v>
      </c>
      <c r="AC58" s="32">
        <f ca="1">IFERROR(__xludf.DUMMYFUNCTION("""COMPUTED_VALUE"""),0)</f>
        <v>0</v>
      </c>
      <c r="AD58" s="32">
        <f ca="1">IFERROR(__xludf.DUMMYFUNCTION("""COMPUTED_VALUE"""),0)</f>
        <v>0</v>
      </c>
      <c r="AE58" s="49">
        <f t="shared" ca="1" si="0"/>
        <v>3</v>
      </c>
      <c r="AF58" s="48">
        <f t="shared" ca="1" si="5"/>
        <v>0.25</v>
      </c>
    </row>
    <row r="59" spans="1:32" ht="110.4">
      <c r="A59" s="51" t="s">
        <v>74</v>
      </c>
      <c r="B59" s="51"/>
      <c r="C59" s="52" t="s">
        <v>304</v>
      </c>
      <c r="D59" s="32" t="s">
        <v>305</v>
      </c>
      <c r="E59" s="32" t="s">
        <v>306</v>
      </c>
      <c r="F59" s="33" t="s">
        <v>307</v>
      </c>
      <c r="G59" s="32" t="s">
        <v>103</v>
      </c>
      <c r="H59" s="32" t="s">
        <v>114</v>
      </c>
      <c r="I59" s="32" t="s">
        <v>374</v>
      </c>
      <c r="J59" s="60" t="s">
        <v>309</v>
      </c>
      <c r="K59" s="60" t="s">
        <v>394</v>
      </c>
      <c r="L59" s="32" t="s">
        <v>107</v>
      </c>
      <c r="M59" s="32" t="s">
        <v>184</v>
      </c>
      <c r="N59" s="80" t="s">
        <v>85</v>
      </c>
      <c r="O59" s="32">
        <v>110</v>
      </c>
      <c r="P59" s="37"/>
      <c r="Q59" s="32" t="s">
        <v>310</v>
      </c>
      <c r="R59" s="32" t="s">
        <v>311</v>
      </c>
      <c r="S59" s="32">
        <f ca="1">IFERROR(__xludf.DUMMYFUNCTION("""COMPUTED_VALUE"""),82)</f>
        <v>82</v>
      </c>
      <c r="T59" s="32">
        <f ca="1">IFERROR(__xludf.DUMMYFUNCTION("""COMPUTED_VALUE"""),84)</f>
        <v>84</v>
      </c>
      <c r="U59" s="32">
        <f ca="1">IFERROR(__xludf.DUMMYFUNCTION("""COMPUTED_VALUE"""),77)</f>
        <v>77</v>
      </c>
      <c r="V59" s="32">
        <f ca="1">IFERROR(__xludf.DUMMYFUNCTION("""COMPUTED_VALUE"""),109)</f>
        <v>109</v>
      </c>
      <c r="W59" s="32">
        <f ca="1">IFERROR(__xludf.DUMMYFUNCTION("""COMPUTED_VALUE"""),112)</f>
        <v>112</v>
      </c>
      <c r="X59" s="32">
        <f ca="1">IFERROR(__xludf.DUMMYFUNCTION("""COMPUTED_VALUE"""),114)</f>
        <v>114</v>
      </c>
      <c r="Y59" s="32">
        <f ca="1">IFERROR(__xludf.DUMMYFUNCTION("""COMPUTED_VALUE"""),0)</f>
        <v>0</v>
      </c>
      <c r="Z59" s="32">
        <f ca="1">IFERROR(__xludf.DUMMYFUNCTION("""COMPUTED_VALUE"""),0)</f>
        <v>0</v>
      </c>
      <c r="AA59" s="32">
        <f ca="1">IFERROR(__xludf.DUMMYFUNCTION("""COMPUTED_VALUE"""),0)</f>
        <v>0</v>
      </c>
      <c r="AB59" s="32">
        <f ca="1">IFERROR(__xludf.DUMMYFUNCTION("""COMPUTED_VALUE"""),0)</f>
        <v>0</v>
      </c>
      <c r="AC59" s="32">
        <f ca="1">IFERROR(__xludf.DUMMYFUNCTION("""COMPUTED_VALUE"""),0)</f>
        <v>0</v>
      </c>
      <c r="AD59" s="32">
        <f ca="1">IFERROR(__xludf.DUMMYFUNCTION("""COMPUTED_VALUE"""),0)</f>
        <v>0</v>
      </c>
      <c r="AE59" s="49">
        <f t="shared" ca="1" si="0"/>
        <v>243</v>
      </c>
      <c r="AF59" s="48">
        <f t="shared" ca="1" si="5"/>
        <v>2.209090909090909</v>
      </c>
    </row>
    <row r="60" spans="1:32" ht="152.4">
      <c r="A60" s="51" t="s">
        <v>88</v>
      </c>
      <c r="B60" s="51"/>
      <c r="C60" s="52" t="s">
        <v>312</v>
      </c>
      <c r="D60" s="84" t="s">
        <v>313</v>
      </c>
      <c r="E60" s="85" t="s">
        <v>314</v>
      </c>
      <c r="F60" s="135" t="s">
        <v>395</v>
      </c>
      <c r="G60" s="85" t="s">
        <v>103</v>
      </c>
      <c r="H60" s="85" t="s">
        <v>114</v>
      </c>
      <c r="I60" s="85" t="s">
        <v>396</v>
      </c>
      <c r="J60" s="87" t="s">
        <v>317</v>
      </c>
      <c r="K60" s="87" t="s">
        <v>397</v>
      </c>
      <c r="L60" s="85" t="s">
        <v>107</v>
      </c>
      <c r="M60" s="85" t="s">
        <v>184</v>
      </c>
      <c r="N60" s="89" t="s">
        <v>85</v>
      </c>
      <c r="O60" s="85">
        <v>150</v>
      </c>
      <c r="P60" s="90"/>
      <c r="Q60" s="85" t="s">
        <v>319</v>
      </c>
      <c r="R60" s="85" t="s">
        <v>311</v>
      </c>
      <c r="S60" s="32">
        <f ca="1">IFERROR(__xludf.DUMMYFUNCTION("""COMPUTED_VALUE"""),155)</f>
        <v>155</v>
      </c>
      <c r="T60" s="32">
        <f ca="1">IFERROR(__xludf.DUMMYFUNCTION("""COMPUTED_VALUE"""),164)</f>
        <v>164</v>
      </c>
      <c r="U60" s="32">
        <f ca="1">IFERROR(__xludf.DUMMYFUNCTION("""COMPUTED_VALUE"""),207)</f>
        <v>207</v>
      </c>
      <c r="V60" s="32">
        <f ca="1">IFERROR(__xludf.DUMMYFUNCTION("""COMPUTED_VALUE"""),0)</f>
        <v>0</v>
      </c>
      <c r="W60" s="32">
        <f ca="1">IFERROR(__xludf.DUMMYFUNCTION("""COMPUTED_VALUE"""),191)</f>
        <v>191</v>
      </c>
      <c r="X60" s="32">
        <f ca="1">IFERROR(__xludf.DUMMYFUNCTION("""COMPUTED_VALUE"""),118)</f>
        <v>118</v>
      </c>
      <c r="Y60" s="32">
        <f ca="1">IFERROR(__xludf.DUMMYFUNCTION("""COMPUTED_VALUE"""),0)</f>
        <v>0</v>
      </c>
      <c r="Z60" s="32">
        <f ca="1">IFERROR(__xludf.DUMMYFUNCTION("""COMPUTED_VALUE"""),0)</f>
        <v>0</v>
      </c>
      <c r="AA60" s="32">
        <f ca="1">IFERROR(__xludf.DUMMYFUNCTION("""COMPUTED_VALUE"""),0)</f>
        <v>0</v>
      </c>
      <c r="AB60" s="32">
        <f ca="1">IFERROR(__xludf.DUMMYFUNCTION("""COMPUTED_VALUE"""),0)</f>
        <v>0</v>
      </c>
      <c r="AC60" s="32">
        <f ca="1">IFERROR(__xludf.DUMMYFUNCTION("""COMPUTED_VALUE"""),0)</f>
        <v>0</v>
      </c>
      <c r="AD60" s="32">
        <f ca="1">IFERROR(__xludf.DUMMYFUNCTION("""COMPUTED_VALUE"""),0)</f>
        <v>0</v>
      </c>
      <c r="AE60" s="49">
        <f t="shared" ca="1" si="0"/>
        <v>526</v>
      </c>
      <c r="AF60" s="48">
        <f t="shared" ca="1" si="5"/>
        <v>3.5066666666666668</v>
      </c>
    </row>
    <row r="61" spans="1:32" ht="15.6">
      <c r="A61" s="91"/>
      <c r="B61" s="92"/>
      <c r="S61" s="10"/>
      <c r="AF61" s="103"/>
    </row>
    <row r="62" spans="1:32" ht="15.6">
      <c r="D62" s="93"/>
      <c r="E62" s="93"/>
      <c r="F62" s="93"/>
      <c r="G62" s="93"/>
      <c r="H62" s="93"/>
      <c r="AF62" s="103"/>
    </row>
    <row r="63" spans="1:32" ht="15.6">
      <c r="D63" s="93"/>
      <c r="E63" s="93"/>
      <c r="F63" s="93"/>
      <c r="G63" s="93"/>
      <c r="H63" s="93"/>
      <c r="AF63" s="103"/>
    </row>
    <row r="64" spans="1:32" ht="15.6">
      <c r="D64" s="93"/>
      <c r="E64" s="93"/>
      <c r="F64" s="93"/>
      <c r="G64" s="93"/>
      <c r="H64" s="93"/>
      <c r="AF64" s="103"/>
    </row>
    <row r="65" spans="4:32" ht="15.6">
      <c r="D65" s="93"/>
      <c r="E65" s="93"/>
      <c r="F65" s="93"/>
      <c r="G65" s="93"/>
      <c r="H65" s="93"/>
      <c r="AF65" s="103"/>
    </row>
    <row r="66" spans="4:32" ht="15.6">
      <c r="D66" s="93"/>
      <c r="E66" s="93"/>
      <c r="F66" s="93"/>
      <c r="G66" s="93"/>
      <c r="H66" s="93"/>
      <c r="AF66" s="103"/>
    </row>
    <row r="67" spans="4:32" ht="15.6">
      <c r="D67" s="93"/>
      <c r="E67" s="93"/>
      <c r="F67" s="93"/>
      <c r="G67" s="93"/>
      <c r="H67" s="93"/>
      <c r="AF67" s="103"/>
    </row>
    <row r="68" spans="4:32" ht="15.6">
      <c r="D68" s="93"/>
      <c r="E68" s="93"/>
      <c r="F68" s="93"/>
      <c r="G68" s="93"/>
      <c r="H68" s="93"/>
      <c r="AF68" s="103"/>
    </row>
    <row r="69" spans="4:32" ht="15.6">
      <c r="D69" s="93"/>
      <c r="E69" s="93"/>
      <c r="F69" s="93"/>
      <c r="G69" s="93"/>
      <c r="H69" s="93"/>
      <c r="AF69" s="103"/>
    </row>
    <row r="70" spans="4:32" ht="15.6">
      <c r="D70" s="93"/>
      <c r="E70" s="93"/>
      <c r="F70" s="93"/>
      <c r="G70" s="93"/>
      <c r="H70" s="93"/>
      <c r="AF70" s="103"/>
    </row>
    <row r="71" spans="4:32" ht="15.6">
      <c r="D71" s="93"/>
      <c r="E71" s="93"/>
      <c r="F71" s="93"/>
      <c r="G71" s="93"/>
      <c r="H71" s="93"/>
      <c r="AF71" s="103"/>
    </row>
    <row r="72" spans="4:32" ht="15.6">
      <c r="D72" s="93"/>
      <c r="E72" s="93"/>
      <c r="F72" s="93"/>
      <c r="G72" s="93"/>
      <c r="H72" s="93"/>
      <c r="AF72" s="103"/>
    </row>
    <row r="73" spans="4:32" ht="15.6">
      <c r="D73" s="93"/>
      <c r="E73" s="93"/>
      <c r="F73" s="93"/>
      <c r="G73" s="93"/>
      <c r="H73" s="93"/>
      <c r="AF73" s="103"/>
    </row>
    <row r="74" spans="4:32" ht="15.6">
      <c r="D74" s="93"/>
      <c r="E74" s="93"/>
      <c r="F74" s="93"/>
      <c r="G74" s="93"/>
      <c r="H74" s="93"/>
      <c r="AF74" s="103"/>
    </row>
    <row r="75" spans="4:32" ht="15.6">
      <c r="D75" s="93"/>
      <c r="E75" s="93"/>
      <c r="F75" s="93"/>
      <c r="G75" s="93"/>
      <c r="H75" s="93"/>
      <c r="AF75" s="103"/>
    </row>
    <row r="76" spans="4:32" ht="15.6">
      <c r="D76" s="93"/>
      <c r="E76" s="93"/>
      <c r="F76" s="93"/>
      <c r="G76" s="93"/>
      <c r="H76" s="93"/>
      <c r="AF76" s="103"/>
    </row>
    <row r="77" spans="4:32" ht="15.6">
      <c r="D77" s="93"/>
      <c r="E77" s="93"/>
      <c r="F77" s="93"/>
      <c r="G77" s="93"/>
      <c r="H77" s="93"/>
      <c r="AF77" s="103"/>
    </row>
    <row r="78" spans="4:32" ht="15.6">
      <c r="D78" s="93"/>
      <c r="E78" s="93"/>
      <c r="F78" s="93"/>
      <c r="G78" s="93"/>
      <c r="H78" s="93"/>
      <c r="AF78" s="103"/>
    </row>
    <row r="79" spans="4:32" ht="15.6">
      <c r="D79" s="93"/>
      <c r="E79" s="93"/>
      <c r="F79" s="93"/>
      <c r="G79" s="93"/>
      <c r="H79" s="93"/>
      <c r="AF79" s="103"/>
    </row>
    <row r="80" spans="4:32" ht="15.6">
      <c r="D80" s="93"/>
      <c r="E80" s="93"/>
      <c r="F80" s="93"/>
      <c r="G80" s="93"/>
      <c r="H80" s="93"/>
      <c r="AF80" s="103"/>
    </row>
    <row r="81" spans="4:32" ht="15.6">
      <c r="D81" s="93"/>
      <c r="E81" s="93"/>
      <c r="F81" s="93"/>
      <c r="G81" s="93"/>
      <c r="H81" s="93"/>
      <c r="AF81" s="103"/>
    </row>
    <row r="82" spans="4:32" ht="15.6">
      <c r="D82" s="93"/>
      <c r="E82" s="93"/>
      <c r="F82" s="93"/>
      <c r="G82" s="93"/>
      <c r="H82" s="93"/>
      <c r="AF82" s="103"/>
    </row>
    <row r="83" spans="4:32" ht="15.6">
      <c r="D83" s="93"/>
      <c r="E83" s="93"/>
      <c r="F83" s="93"/>
      <c r="G83" s="93"/>
      <c r="H83" s="93"/>
      <c r="AF83" s="103"/>
    </row>
    <row r="84" spans="4:32" ht="15.6">
      <c r="D84" s="93"/>
      <c r="E84" s="93"/>
      <c r="F84" s="93"/>
      <c r="G84" s="93"/>
      <c r="H84" s="93"/>
      <c r="AF84" s="103"/>
    </row>
    <row r="85" spans="4:32" ht="15.6">
      <c r="D85" s="93"/>
      <c r="E85" s="93"/>
      <c r="F85" s="93"/>
      <c r="G85" s="93"/>
      <c r="H85" s="93"/>
      <c r="AF85" s="103"/>
    </row>
    <row r="86" spans="4:32" ht="15.6">
      <c r="D86" s="93"/>
      <c r="E86" s="93"/>
      <c r="F86" s="93"/>
      <c r="G86" s="93"/>
      <c r="H86" s="93"/>
      <c r="AF86" s="103"/>
    </row>
    <row r="87" spans="4:32" ht="15.6">
      <c r="D87" s="93"/>
      <c r="E87" s="93"/>
      <c r="F87" s="93"/>
      <c r="G87" s="93"/>
      <c r="H87" s="93"/>
      <c r="AF87" s="103"/>
    </row>
    <row r="88" spans="4:32" ht="15.6">
      <c r="D88" s="93"/>
      <c r="E88" s="93"/>
      <c r="F88" s="93"/>
      <c r="G88" s="93"/>
      <c r="H88" s="93"/>
      <c r="AF88" s="103"/>
    </row>
    <row r="89" spans="4:32" ht="15.6">
      <c r="D89" s="93"/>
      <c r="E89" s="93"/>
      <c r="F89" s="93"/>
      <c r="G89" s="93"/>
      <c r="H89" s="93"/>
      <c r="AF89" s="103"/>
    </row>
    <row r="90" spans="4:32" ht="15.6">
      <c r="D90" s="93"/>
      <c r="E90" s="93"/>
      <c r="F90" s="93"/>
      <c r="G90" s="93"/>
      <c r="H90" s="93"/>
      <c r="AF90" s="103"/>
    </row>
    <row r="91" spans="4:32" ht="15.6">
      <c r="D91" s="93"/>
      <c r="E91" s="93"/>
      <c r="F91" s="93"/>
      <c r="G91" s="93"/>
      <c r="H91" s="93"/>
      <c r="AF91" s="103"/>
    </row>
    <row r="92" spans="4:32" ht="15.6">
      <c r="D92" s="93"/>
      <c r="E92" s="93"/>
      <c r="F92" s="93"/>
      <c r="G92" s="93"/>
      <c r="H92" s="93"/>
      <c r="AF92" s="103"/>
    </row>
    <row r="93" spans="4:32" ht="15.6">
      <c r="D93" s="93"/>
      <c r="E93" s="93"/>
      <c r="F93" s="93"/>
      <c r="G93" s="93"/>
      <c r="H93" s="93"/>
      <c r="AF93" s="103"/>
    </row>
    <row r="94" spans="4:32" ht="15.6">
      <c r="D94" s="93"/>
      <c r="E94" s="93"/>
      <c r="F94" s="93"/>
      <c r="G94" s="93"/>
      <c r="H94" s="93"/>
      <c r="AF94" s="103"/>
    </row>
    <row r="95" spans="4:32" ht="15.6">
      <c r="D95" s="93"/>
      <c r="E95" s="93"/>
      <c r="F95" s="93"/>
      <c r="G95" s="93"/>
      <c r="H95" s="93"/>
      <c r="AF95" s="103"/>
    </row>
    <row r="96" spans="4:32" ht="15.6">
      <c r="D96" s="93"/>
      <c r="E96" s="93"/>
      <c r="F96" s="93"/>
      <c r="G96" s="93"/>
      <c r="H96" s="93"/>
      <c r="AF96" s="103"/>
    </row>
    <row r="97" spans="4:32" ht="15.6">
      <c r="D97" s="93"/>
      <c r="E97" s="93"/>
      <c r="F97" s="93"/>
      <c r="G97" s="93"/>
      <c r="H97" s="93"/>
      <c r="AF97" s="103"/>
    </row>
    <row r="98" spans="4:32" ht="15.6">
      <c r="D98" s="93"/>
      <c r="E98" s="93"/>
      <c r="F98" s="93"/>
      <c r="G98" s="93"/>
      <c r="H98" s="93"/>
      <c r="AF98" s="103"/>
    </row>
    <row r="99" spans="4:32" ht="15.6">
      <c r="D99" s="93"/>
      <c r="E99" s="93"/>
      <c r="F99" s="93"/>
      <c r="G99" s="93"/>
      <c r="H99" s="93"/>
      <c r="AF99" s="103"/>
    </row>
    <row r="100" spans="4:32" ht="15.6">
      <c r="D100" s="93"/>
      <c r="E100" s="93"/>
      <c r="F100" s="93"/>
      <c r="G100" s="93"/>
      <c r="H100" s="93"/>
      <c r="AF100" s="103"/>
    </row>
    <row r="101" spans="4:32" ht="15.6">
      <c r="D101" s="93"/>
      <c r="E101" s="93"/>
      <c r="F101" s="93"/>
      <c r="G101" s="93"/>
      <c r="H101" s="93"/>
      <c r="AF101" s="103"/>
    </row>
    <row r="102" spans="4:32" ht="15.6">
      <c r="D102" s="93"/>
      <c r="E102" s="93"/>
      <c r="F102" s="93"/>
      <c r="G102" s="93"/>
      <c r="H102" s="93"/>
      <c r="AF102" s="103"/>
    </row>
    <row r="103" spans="4:32" ht="15.6">
      <c r="D103" s="93"/>
      <c r="E103" s="93"/>
      <c r="F103" s="93"/>
      <c r="G103" s="93"/>
      <c r="H103" s="93"/>
      <c r="AF103" s="103"/>
    </row>
    <row r="104" spans="4:32" ht="15.6">
      <c r="D104" s="93"/>
      <c r="E104" s="93"/>
      <c r="F104" s="93"/>
      <c r="G104" s="93"/>
      <c r="H104" s="93"/>
      <c r="AF104" s="103"/>
    </row>
    <row r="105" spans="4:32" ht="15.6">
      <c r="D105" s="93"/>
      <c r="E105" s="93"/>
      <c r="F105" s="93"/>
      <c r="G105" s="93"/>
      <c r="H105" s="93"/>
      <c r="AF105" s="103"/>
    </row>
    <row r="106" spans="4:32" ht="15.6">
      <c r="D106" s="93"/>
      <c r="E106" s="93"/>
      <c r="F106" s="93"/>
      <c r="G106" s="93"/>
      <c r="H106" s="93"/>
      <c r="AF106" s="103"/>
    </row>
    <row r="107" spans="4:32" ht="15.6">
      <c r="D107" s="93"/>
      <c r="E107" s="93"/>
      <c r="F107" s="93"/>
      <c r="G107" s="93"/>
      <c r="H107" s="93"/>
      <c r="AF107" s="103"/>
    </row>
    <row r="108" spans="4:32" ht="15.6">
      <c r="D108" s="93"/>
      <c r="E108" s="93"/>
      <c r="F108" s="93"/>
      <c r="G108" s="93"/>
      <c r="H108" s="93"/>
      <c r="AF108" s="103"/>
    </row>
    <row r="109" spans="4:32" ht="15.6">
      <c r="D109" s="93"/>
      <c r="E109" s="93"/>
      <c r="F109" s="93"/>
      <c r="G109" s="93"/>
      <c r="H109" s="93"/>
      <c r="AF109" s="103"/>
    </row>
    <row r="110" spans="4:32" ht="15.6">
      <c r="D110" s="93"/>
      <c r="E110" s="93"/>
      <c r="F110" s="93"/>
      <c r="G110" s="93"/>
      <c r="H110" s="93"/>
      <c r="AF110" s="103"/>
    </row>
    <row r="111" spans="4:32" ht="15.6">
      <c r="D111" s="93"/>
      <c r="E111" s="93"/>
      <c r="F111" s="93"/>
      <c r="G111" s="93"/>
      <c r="H111" s="93"/>
      <c r="AF111" s="103"/>
    </row>
    <row r="112" spans="4:32" ht="15.6">
      <c r="D112" s="93"/>
      <c r="E112" s="93"/>
      <c r="F112" s="93"/>
      <c r="G112" s="93"/>
      <c r="H112" s="93"/>
      <c r="AF112" s="103"/>
    </row>
    <row r="113" spans="3:32" ht="15.6">
      <c r="D113" s="93"/>
      <c r="E113" s="93"/>
      <c r="F113" s="93"/>
      <c r="G113" s="93"/>
      <c r="H113" s="93"/>
      <c r="AF113" s="103"/>
    </row>
    <row r="114" spans="3:32" ht="15.6">
      <c r="D114" s="93"/>
      <c r="E114" s="93"/>
      <c r="F114" s="93"/>
      <c r="G114" s="93"/>
      <c r="H114" s="93"/>
      <c r="AF114" s="103"/>
    </row>
    <row r="115" spans="3:32" ht="15.6">
      <c r="D115" s="93"/>
      <c r="E115" s="93"/>
      <c r="F115" s="93"/>
      <c r="G115" s="93"/>
      <c r="H115" s="93"/>
      <c r="AF115" s="103"/>
    </row>
    <row r="116" spans="3:32" ht="15.6">
      <c r="D116" s="93"/>
      <c r="E116" s="93"/>
      <c r="F116" s="93"/>
      <c r="G116" s="93"/>
      <c r="H116" s="93"/>
      <c r="AF116" s="103"/>
    </row>
    <row r="117" spans="3:32" ht="15.6">
      <c r="D117" s="93"/>
      <c r="E117" s="93"/>
      <c r="F117" s="93"/>
      <c r="G117" s="93"/>
      <c r="H117" s="93"/>
      <c r="AF117" s="103"/>
    </row>
    <row r="118" spans="3:32" ht="15.6">
      <c r="D118" s="93"/>
      <c r="E118" s="93"/>
      <c r="F118" s="93"/>
      <c r="G118" s="93"/>
      <c r="H118" s="93"/>
      <c r="AF118" s="103"/>
    </row>
    <row r="119" spans="3:32" ht="15.6">
      <c r="D119" s="93"/>
      <c r="E119" s="93"/>
      <c r="F119" s="93"/>
      <c r="G119" s="93"/>
      <c r="H119" s="93"/>
      <c r="AF119" s="103"/>
    </row>
    <row r="120" spans="3:32" ht="15.6">
      <c r="D120" s="93"/>
      <c r="E120" s="93"/>
      <c r="F120" s="93"/>
      <c r="G120" s="93"/>
      <c r="H120" s="93"/>
      <c r="AF120" s="103"/>
    </row>
    <row r="121" spans="3:32" ht="15.6">
      <c r="D121" s="93"/>
      <c r="E121" s="93"/>
      <c r="F121" s="93"/>
      <c r="G121" s="93"/>
      <c r="H121" s="93"/>
      <c r="AF121" s="103"/>
    </row>
    <row r="122" spans="3:32" ht="15.6">
      <c r="D122" s="93"/>
      <c r="E122" s="93"/>
      <c r="F122" s="93"/>
      <c r="G122" s="93"/>
      <c r="H122" s="93"/>
      <c r="AF122" s="103"/>
    </row>
    <row r="123" spans="3:32" ht="15.6">
      <c r="D123" s="93"/>
      <c r="E123" s="93"/>
      <c r="F123" s="93"/>
      <c r="G123" s="93"/>
      <c r="H123" s="93"/>
      <c r="AF123" s="103"/>
    </row>
    <row r="124" spans="3:32" ht="15.6">
      <c r="D124" s="93"/>
      <c r="E124" s="93"/>
      <c r="F124" s="93"/>
      <c r="G124" s="93"/>
      <c r="H124" s="93"/>
      <c r="AF124" s="103"/>
    </row>
    <row r="125" spans="3:32" ht="15.6">
      <c r="D125" s="93"/>
      <c r="E125" s="93"/>
      <c r="F125" s="93"/>
      <c r="G125" s="93"/>
      <c r="H125" s="93"/>
      <c r="AF125" s="103"/>
    </row>
    <row r="126" spans="3:32" ht="15.6">
      <c r="D126" s="93"/>
      <c r="E126" s="93"/>
      <c r="F126" s="93"/>
      <c r="G126" s="93"/>
      <c r="H126" s="93"/>
      <c r="AF126" s="103"/>
    </row>
    <row r="127" spans="3:32" ht="15.6">
      <c r="C127" s="94" t="s">
        <v>320</v>
      </c>
      <c r="D127" s="208"/>
      <c r="E127" s="209"/>
      <c r="F127" s="209"/>
      <c r="G127" s="210"/>
      <c r="H127" s="13" t="s">
        <v>7</v>
      </c>
      <c r="I127" s="213" t="s">
        <v>321</v>
      </c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4"/>
      <c r="AF127" s="103"/>
    </row>
    <row r="128" spans="3:32" ht="15.6">
      <c r="C128" s="11" t="s">
        <v>322</v>
      </c>
      <c r="D128" s="206"/>
      <c r="E128" s="203"/>
      <c r="F128" s="203"/>
      <c r="G128" s="204"/>
      <c r="H128" s="13" t="s">
        <v>7</v>
      </c>
      <c r="I128" s="95" t="s">
        <v>323</v>
      </c>
      <c r="J128" s="96" t="s">
        <v>324</v>
      </c>
      <c r="K128" s="96" t="s">
        <v>325</v>
      </c>
      <c r="L128" s="96" t="s">
        <v>326</v>
      </c>
      <c r="M128" s="96" t="s">
        <v>327</v>
      </c>
      <c r="N128" s="96" t="s">
        <v>328</v>
      </c>
      <c r="O128" s="96" t="s">
        <v>329</v>
      </c>
      <c r="P128" s="96" t="s">
        <v>330</v>
      </c>
      <c r="Q128" s="96" t="s">
        <v>331</v>
      </c>
      <c r="R128" s="96" t="s">
        <v>332</v>
      </c>
      <c r="S128" s="96" t="s">
        <v>333</v>
      </c>
      <c r="T128" s="96" t="s">
        <v>334</v>
      </c>
      <c r="AF128" s="103"/>
    </row>
    <row r="129" spans="3:32" ht="15.6">
      <c r="C129" s="11" t="s">
        <v>335</v>
      </c>
      <c r="D129" s="206"/>
      <c r="E129" s="203"/>
      <c r="F129" s="203"/>
      <c r="G129" s="204"/>
      <c r="H129" s="13" t="s">
        <v>7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AF129" s="103"/>
    </row>
    <row r="130" spans="3:32" ht="15.6">
      <c r="C130" s="52" t="s">
        <v>336</v>
      </c>
      <c r="D130" s="211"/>
      <c r="E130" s="203"/>
      <c r="F130" s="203"/>
      <c r="G130" s="204"/>
      <c r="H130" s="93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AF130" s="103"/>
    </row>
    <row r="131" spans="3:32" ht="15.6">
      <c r="C131" s="11" t="s">
        <v>337</v>
      </c>
      <c r="D131" s="212"/>
      <c r="E131" s="203"/>
      <c r="F131" s="203"/>
      <c r="G131" s="204"/>
      <c r="H131" s="13" t="s">
        <v>7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AF131" s="103"/>
    </row>
    <row r="132" spans="3:32" ht="15.6">
      <c r="C132" s="11" t="s">
        <v>338</v>
      </c>
      <c r="D132" s="206"/>
      <c r="E132" s="203"/>
      <c r="F132" s="203"/>
      <c r="G132" s="204"/>
      <c r="H132" s="93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AF132" s="103"/>
    </row>
    <row r="133" spans="3:32" ht="31.2">
      <c r="C133" s="11" t="s">
        <v>339</v>
      </c>
      <c r="D133" s="207"/>
      <c r="E133" s="203"/>
      <c r="F133" s="203"/>
      <c r="G133" s="204"/>
      <c r="H133" s="93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AF133" s="103"/>
    </row>
    <row r="134" spans="3:32" ht="15.6">
      <c r="D134" s="93"/>
      <c r="E134" s="93"/>
      <c r="F134" s="93"/>
      <c r="G134" s="93"/>
      <c r="H134" s="93"/>
      <c r="AF134" s="103"/>
    </row>
    <row r="135" spans="3:32" ht="15.6">
      <c r="D135" s="93"/>
      <c r="E135" s="93"/>
      <c r="F135" s="93"/>
      <c r="G135" s="93"/>
      <c r="H135" s="93"/>
      <c r="AF135" s="103"/>
    </row>
    <row r="136" spans="3:32" ht="15.6">
      <c r="D136" s="93"/>
      <c r="E136" s="93"/>
      <c r="F136" s="93"/>
      <c r="G136" s="93"/>
      <c r="H136" s="93"/>
      <c r="AF136" s="103"/>
    </row>
    <row r="137" spans="3:32" ht="15.6">
      <c r="D137" s="93"/>
      <c r="E137" s="93"/>
      <c r="F137" s="93"/>
      <c r="G137" s="93"/>
      <c r="H137" s="93"/>
      <c r="AF137" s="103"/>
    </row>
    <row r="138" spans="3:32" ht="15.6">
      <c r="D138" s="93"/>
      <c r="E138" s="93"/>
      <c r="F138" s="93"/>
      <c r="G138" s="93"/>
      <c r="H138" s="93"/>
      <c r="AF138" s="103"/>
    </row>
    <row r="139" spans="3:32" ht="15.6">
      <c r="D139" s="93"/>
      <c r="E139" s="93"/>
      <c r="F139" s="93"/>
      <c r="G139" s="93"/>
      <c r="H139" s="93"/>
      <c r="AF139" s="103"/>
    </row>
    <row r="140" spans="3:32" ht="15.6">
      <c r="D140" s="93"/>
      <c r="E140" s="93"/>
      <c r="F140" s="93"/>
      <c r="G140" s="93"/>
      <c r="H140" s="93"/>
      <c r="AF140" s="103"/>
    </row>
    <row r="141" spans="3:32" ht="15.6">
      <c r="D141" s="93"/>
      <c r="E141" s="93"/>
      <c r="F141" s="93"/>
      <c r="G141" s="93"/>
      <c r="H141" s="93"/>
      <c r="AF141" s="103"/>
    </row>
    <row r="142" spans="3:32" ht="15.6">
      <c r="D142" s="93"/>
      <c r="E142" s="93"/>
      <c r="F142" s="93"/>
      <c r="G142" s="93"/>
      <c r="H142" s="93"/>
      <c r="AF142" s="103"/>
    </row>
    <row r="143" spans="3:32" ht="15.6">
      <c r="D143" s="93"/>
      <c r="E143" s="93"/>
      <c r="F143" s="93"/>
      <c r="G143" s="93"/>
      <c r="H143" s="93"/>
      <c r="AF143" s="103"/>
    </row>
    <row r="144" spans="3:32" ht="15.6">
      <c r="D144" s="93"/>
      <c r="E144" s="93"/>
      <c r="F144" s="93"/>
      <c r="G144" s="93"/>
      <c r="H144" s="93"/>
      <c r="AF144" s="103"/>
    </row>
    <row r="145" spans="4:32" ht="15.6">
      <c r="D145" s="93"/>
      <c r="E145" s="93"/>
      <c r="F145" s="93"/>
      <c r="G145" s="93"/>
      <c r="H145" s="93"/>
      <c r="AF145" s="103"/>
    </row>
    <row r="146" spans="4:32" ht="15.6">
      <c r="D146" s="93"/>
      <c r="E146" s="93"/>
      <c r="F146" s="93"/>
      <c r="G146" s="93"/>
      <c r="H146" s="93"/>
      <c r="AF146" s="103"/>
    </row>
    <row r="147" spans="4:32" ht="15.6">
      <c r="D147" s="93"/>
      <c r="E147" s="93"/>
      <c r="F147" s="93"/>
      <c r="G147" s="93"/>
      <c r="H147" s="93"/>
      <c r="AF147" s="103"/>
    </row>
    <row r="148" spans="4:32" ht="15.6">
      <c r="D148" s="93"/>
      <c r="E148" s="93"/>
      <c r="F148" s="93"/>
      <c r="G148" s="93"/>
      <c r="H148" s="93"/>
      <c r="AF148" s="103"/>
    </row>
    <row r="149" spans="4:32" ht="15.6">
      <c r="D149" s="93"/>
      <c r="E149" s="93"/>
      <c r="F149" s="93"/>
      <c r="G149" s="93"/>
      <c r="H149" s="93"/>
      <c r="AF149" s="103"/>
    </row>
    <row r="150" spans="4:32" ht="15.6">
      <c r="D150" s="93"/>
      <c r="E150" s="93"/>
      <c r="F150" s="93"/>
      <c r="G150" s="93"/>
      <c r="H150" s="93"/>
      <c r="AF150" s="103"/>
    </row>
    <row r="151" spans="4:32" ht="15.6">
      <c r="D151" s="93"/>
      <c r="E151" s="93"/>
      <c r="F151" s="93"/>
      <c r="G151" s="93"/>
      <c r="H151" s="93"/>
      <c r="AF151" s="103"/>
    </row>
    <row r="152" spans="4:32" ht="15.6">
      <c r="D152" s="93"/>
      <c r="E152" s="93"/>
      <c r="F152" s="93"/>
      <c r="G152" s="93"/>
      <c r="H152" s="93"/>
      <c r="AF152" s="103"/>
    </row>
    <row r="153" spans="4:32" ht="15.6">
      <c r="D153" s="93"/>
      <c r="E153" s="93"/>
      <c r="F153" s="93"/>
      <c r="G153" s="93"/>
      <c r="H153" s="93"/>
      <c r="AF153" s="103"/>
    </row>
    <row r="154" spans="4:32" ht="15.6">
      <c r="D154" s="93"/>
      <c r="E154" s="93"/>
      <c r="F154" s="93"/>
      <c r="G154" s="93"/>
      <c r="H154" s="93"/>
      <c r="AF154" s="103"/>
    </row>
    <row r="155" spans="4:32" ht="15.6">
      <c r="D155" s="93"/>
      <c r="E155" s="93"/>
      <c r="F155" s="93"/>
      <c r="G155" s="93"/>
      <c r="H155" s="93"/>
      <c r="AF155" s="103"/>
    </row>
    <row r="156" spans="4:32" ht="15.6">
      <c r="D156" s="93"/>
      <c r="E156" s="93"/>
      <c r="F156" s="93"/>
      <c r="G156" s="93"/>
      <c r="H156" s="93"/>
      <c r="AF156" s="103"/>
    </row>
    <row r="157" spans="4:32" ht="15.6">
      <c r="D157" s="93"/>
      <c r="E157" s="93"/>
      <c r="F157" s="93"/>
      <c r="G157" s="93"/>
      <c r="H157" s="93"/>
      <c r="AF157" s="103"/>
    </row>
    <row r="158" spans="4:32" ht="15.6">
      <c r="D158" s="93"/>
      <c r="E158" s="93"/>
      <c r="F158" s="93"/>
      <c r="G158" s="93"/>
      <c r="H158" s="93"/>
      <c r="AF158" s="103"/>
    </row>
    <row r="159" spans="4:32" ht="15.6">
      <c r="D159" s="93"/>
      <c r="E159" s="93"/>
      <c r="F159" s="93"/>
      <c r="G159" s="93"/>
      <c r="H159" s="93"/>
      <c r="AF159" s="103"/>
    </row>
    <row r="160" spans="4:32" ht="15.6">
      <c r="D160" s="93"/>
      <c r="E160" s="93"/>
      <c r="F160" s="93"/>
      <c r="G160" s="93"/>
      <c r="H160" s="93"/>
      <c r="AF160" s="103"/>
    </row>
    <row r="161" spans="4:32" ht="15.6">
      <c r="D161" s="93"/>
      <c r="E161" s="93"/>
      <c r="F161" s="93"/>
      <c r="G161" s="93"/>
      <c r="H161" s="93"/>
      <c r="AF161" s="103"/>
    </row>
    <row r="162" spans="4:32" ht="15.6">
      <c r="D162" s="93"/>
      <c r="E162" s="93"/>
      <c r="F162" s="93"/>
      <c r="G162" s="93"/>
      <c r="H162" s="93"/>
      <c r="AF162" s="103"/>
    </row>
    <row r="163" spans="4:32" ht="15.6">
      <c r="D163" s="93"/>
      <c r="E163" s="93"/>
      <c r="F163" s="93"/>
      <c r="G163" s="93"/>
      <c r="H163" s="93"/>
      <c r="AF163" s="103"/>
    </row>
    <row r="164" spans="4:32" ht="15.6">
      <c r="D164" s="93"/>
      <c r="E164" s="93"/>
      <c r="F164" s="93"/>
      <c r="G164" s="93"/>
      <c r="H164" s="93"/>
      <c r="AF164" s="103"/>
    </row>
    <row r="165" spans="4:32" ht="15.6">
      <c r="D165" s="93"/>
      <c r="E165" s="93"/>
      <c r="F165" s="93"/>
      <c r="G165" s="93"/>
      <c r="H165" s="93"/>
      <c r="AF165" s="103"/>
    </row>
    <row r="166" spans="4:32" ht="15.6">
      <c r="D166" s="93"/>
      <c r="E166" s="93"/>
      <c r="F166" s="93"/>
      <c r="G166" s="93"/>
      <c r="H166" s="93"/>
      <c r="AF166" s="103"/>
    </row>
    <row r="167" spans="4:32" ht="15.6">
      <c r="D167" s="93"/>
      <c r="E167" s="93"/>
      <c r="F167" s="93"/>
      <c r="G167" s="93"/>
      <c r="H167" s="93"/>
      <c r="AF167" s="103"/>
    </row>
    <row r="168" spans="4:32" ht="15.6">
      <c r="D168" s="93"/>
      <c r="E168" s="93"/>
      <c r="F168" s="93"/>
      <c r="G168" s="93"/>
      <c r="H168" s="93"/>
      <c r="AF168" s="103"/>
    </row>
    <row r="169" spans="4:32" ht="15.6">
      <c r="D169" s="93"/>
      <c r="E169" s="93"/>
      <c r="F169" s="93"/>
      <c r="G169" s="93"/>
      <c r="H169" s="93"/>
      <c r="AF169" s="103"/>
    </row>
    <row r="170" spans="4:32" ht="15.6">
      <c r="D170" s="93"/>
      <c r="E170" s="93"/>
      <c r="F170" s="93"/>
      <c r="G170" s="93"/>
      <c r="H170" s="93"/>
      <c r="AF170" s="103"/>
    </row>
    <row r="171" spans="4:32" ht="15.6">
      <c r="D171" s="93"/>
      <c r="E171" s="93"/>
      <c r="F171" s="93"/>
      <c r="G171" s="93"/>
      <c r="H171" s="93"/>
      <c r="AF171" s="103"/>
    </row>
    <row r="172" spans="4:32" ht="15.6">
      <c r="D172" s="93"/>
      <c r="E172" s="93"/>
      <c r="F172" s="93"/>
      <c r="G172" s="93"/>
      <c r="H172" s="93"/>
      <c r="AF172" s="103"/>
    </row>
    <row r="173" spans="4:32" ht="15.6">
      <c r="D173" s="93"/>
      <c r="E173" s="93"/>
      <c r="F173" s="93"/>
      <c r="G173" s="93"/>
      <c r="H173" s="93"/>
      <c r="AF173" s="103"/>
    </row>
    <row r="174" spans="4:32" ht="15.6">
      <c r="D174" s="93"/>
      <c r="E174" s="93"/>
      <c r="F174" s="93"/>
      <c r="G174" s="93"/>
      <c r="H174" s="93"/>
      <c r="AF174" s="103"/>
    </row>
    <row r="175" spans="4:32" ht="15.6">
      <c r="D175" s="93"/>
      <c r="E175" s="93"/>
      <c r="F175" s="93"/>
      <c r="G175" s="93"/>
      <c r="H175" s="93"/>
      <c r="AF175" s="103"/>
    </row>
    <row r="176" spans="4:32" ht="15.6">
      <c r="D176" s="93"/>
      <c r="E176" s="93"/>
      <c r="F176" s="93"/>
      <c r="G176" s="93"/>
      <c r="H176" s="93"/>
      <c r="AF176" s="103"/>
    </row>
    <row r="177" spans="4:32" ht="15.6">
      <c r="D177" s="93"/>
      <c r="E177" s="93"/>
      <c r="F177" s="93"/>
      <c r="G177" s="93"/>
      <c r="H177" s="93"/>
      <c r="AF177" s="103"/>
    </row>
    <row r="178" spans="4:32" ht="15.6">
      <c r="D178" s="93"/>
      <c r="E178" s="93"/>
      <c r="F178" s="93"/>
      <c r="G178" s="93"/>
      <c r="H178" s="93"/>
      <c r="AF178" s="103"/>
    </row>
    <row r="179" spans="4:32" ht="15.6">
      <c r="D179" s="93"/>
      <c r="E179" s="93"/>
      <c r="F179" s="93"/>
      <c r="G179" s="93"/>
      <c r="H179" s="93"/>
      <c r="AF179" s="103"/>
    </row>
    <row r="180" spans="4:32" ht="15.6">
      <c r="D180" s="93"/>
      <c r="E180" s="93"/>
      <c r="F180" s="93"/>
      <c r="G180" s="93"/>
      <c r="H180" s="93"/>
      <c r="AF180" s="103"/>
    </row>
    <row r="181" spans="4:32" ht="15.6">
      <c r="D181" s="93"/>
      <c r="E181" s="93"/>
      <c r="F181" s="93"/>
      <c r="G181" s="93"/>
      <c r="H181" s="93"/>
      <c r="AF181" s="103"/>
    </row>
    <row r="182" spans="4:32" ht="15.6">
      <c r="D182" s="93"/>
      <c r="E182" s="93"/>
      <c r="F182" s="93"/>
      <c r="G182" s="93"/>
      <c r="H182" s="93"/>
      <c r="AF182" s="103"/>
    </row>
    <row r="183" spans="4:32" ht="15.6">
      <c r="D183" s="93"/>
      <c r="E183" s="93"/>
      <c r="F183" s="93"/>
      <c r="G183" s="93"/>
      <c r="H183" s="93"/>
      <c r="AF183" s="103"/>
    </row>
    <row r="184" spans="4:32" ht="15.6">
      <c r="D184" s="93"/>
      <c r="E184" s="93"/>
      <c r="F184" s="93"/>
      <c r="G184" s="93"/>
      <c r="H184" s="93"/>
      <c r="AF184" s="103"/>
    </row>
    <row r="185" spans="4:32" ht="15.6">
      <c r="D185" s="93"/>
      <c r="E185" s="93"/>
      <c r="F185" s="93"/>
      <c r="G185" s="93"/>
      <c r="H185" s="93"/>
      <c r="AF185" s="103"/>
    </row>
    <row r="186" spans="4:32" ht="15.6">
      <c r="D186" s="93"/>
      <c r="E186" s="93"/>
      <c r="F186" s="93"/>
      <c r="G186" s="93"/>
      <c r="H186" s="93"/>
      <c r="AF186" s="103"/>
    </row>
    <row r="187" spans="4:32" ht="15.6">
      <c r="D187" s="93"/>
      <c r="E187" s="93"/>
      <c r="F187" s="93"/>
      <c r="G187" s="93"/>
      <c r="H187" s="93"/>
      <c r="AF187" s="103"/>
    </row>
    <row r="188" spans="4:32" ht="15.6">
      <c r="D188" s="93"/>
      <c r="E188" s="93"/>
      <c r="F188" s="93"/>
      <c r="G188" s="93"/>
      <c r="H188" s="93"/>
      <c r="AF188" s="103"/>
    </row>
    <row r="189" spans="4:32" ht="15.6">
      <c r="D189" s="93"/>
      <c r="E189" s="93"/>
      <c r="F189" s="93"/>
      <c r="G189" s="93"/>
      <c r="H189" s="93"/>
      <c r="AF189" s="103"/>
    </row>
    <row r="190" spans="4:32" ht="15.6">
      <c r="D190" s="93"/>
      <c r="E190" s="93"/>
      <c r="F190" s="93"/>
      <c r="G190" s="93"/>
      <c r="H190" s="93"/>
      <c r="AF190" s="103"/>
    </row>
    <row r="191" spans="4:32" ht="15.6">
      <c r="D191" s="93"/>
      <c r="E191" s="93"/>
      <c r="F191" s="93"/>
      <c r="G191" s="93"/>
      <c r="H191" s="93"/>
      <c r="AF191" s="103"/>
    </row>
    <row r="192" spans="4:32" ht="15.6">
      <c r="D192" s="93"/>
      <c r="E192" s="93"/>
      <c r="F192" s="93"/>
      <c r="G192" s="93"/>
      <c r="H192" s="93"/>
      <c r="AF192" s="103"/>
    </row>
    <row r="193" spans="4:32" ht="15.6">
      <c r="D193" s="93"/>
      <c r="E193" s="93"/>
      <c r="F193" s="93"/>
      <c r="G193" s="93"/>
      <c r="H193" s="93"/>
      <c r="AF193" s="103"/>
    </row>
    <row r="194" spans="4:32" ht="15.6">
      <c r="D194" s="93"/>
      <c r="E194" s="93"/>
      <c r="F194" s="93"/>
      <c r="G194" s="93"/>
      <c r="H194" s="93"/>
      <c r="AF194" s="103"/>
    </row>
    <row r="195" spans="4:32" ht="15.6">
      <c r="D195" s="93"/>
      <c r="E195" s="93"/>
      <c r="F195" s="93"/>
      <c r="G195" s="93"/>
      <c r="H195" s="93"/>
      <c r="AF195" s="103"/>
    </row>
    <row r="196" spans="4:32" ht="15.6">
      <c r="D196" s="93"/>
      <c r="E196" s="93"/>
      <c r="F196" s="93"/>
      <c r="G196" s="93"/>
      <c r="H196" s="93"/>
      <c r="AF196" s="103"/>
    </row>
    <row r="197" spans="4:32" ht="15.6">
      <c r="D197" s="93"/>
      <c r="E197" s="93"/>
      <c r="F197" s="93"/>
      <c r="G197" s="93"/>
      <c r="H197" s="93"/>
      <c r="AF197" s="103"/>
    </row>
    <row r="198" spans="4:32" ht="15.6">
      <c r="D198" s="93"/>
      <c r="E198" s="93"/>
      <c r="F198" s="93"/>
      <c r="G198" s="93"/>
      <c r="H198" s="93"/>
      <c r="AF198" s="103"/>
    </row>
    <row r="199" spans="4:32" ht="15.6">
      <c r="D199" s="93"/>
      <c r="E199" s="93"/>
      <c r="F199" s="93"/>
      <c r="G199" s="93"/>
      <c r="H199" s="93"/>
      <c r="AF199" s="103"/>
    </row>
    <row r="200" spans="4:32" ht="15.6">
      <c r="D200" s="93"/>
      <c r="E200" s="93"/>
      <c r="F200" s="93"/>
      <c r="G200" s="93"/>
      <c r="H200" s="93"/>
      <c r="AF200" s="103"/>
    </row>
    <row r="201" spans="4:32" ht="15.6">
      <c r="D201" s="93"/>
      <c r="E201" s="93"/>
      <c r="F201" s="93"/>
      <c r="G201" s="93"/>
      <c r="H201" s="93"/>
      <c r="AF201" s="103"/>
    </row>
    <row r="202" spans="4:32" ht="15.6">
      <c r="D202" s="93"/>
      <c r="E202" s="93"/>
      <c r="F202" s="93"/>
      <c r="G202" s="93"/>
      <c r="H202" s="93"/>
      <c r="AF202" s="103"/>
    </row>
    <row r="203" spans="4:32" ht="15.6">
      <c r="D203" s="93"/>
      <c r="E203" s="93"/>
      <c r="F203" s="93"/>
      <c r="G203" s="93"/>
      <c r="H203" s="93"/>
      <c r="AF203" s="103"/>
    </row>
    <row r="204" spans="4:32" ht="15.6">
      <c r="D204" s="93"/>
      <c r="E204" s="93"/>
      <c r="F204" s="93"/>
      <c r="G204" s="93"/>
      <c r="H204" s="93"/>
      <c r="AF204" s="103"/>
    </row>
    <row r="205" spans="4:32" ht="15.6">
      <c r="D205" s="93"/>
      <c r="E205" s="93"/>
      <c r="F205" s="93"/>
      <c r="G205" s="93"/>
      <c r="H205" s="93"/>
      <c r="AF205" s="103"/>
    </row>
    <row r="206" spans="4:32" ht="15.6">
      <c r="D206" s="93"/>
      <c r="E206" s="93"/>
      <c r="F206" s="93"/>
      <c r="G206" s="93"/>
      <c r="H206" s="93"/>
      <c r="AF206" s="103"/>
    </row>
    <row r="207" spans="4:32" ht="15.6">
      <c r="D207" s="93"/>
      <c r="E207" s="93"/>
      <c r="F207" s="93"/>
      <c r="G207" s="93"/>
      <c r="H207" s="93"/>
      <c r="AF207" s="103"/>
    </row>
    <row r="208" spans="4:32" ht="15.6">
      <c r="D208" s="93"/>
      <c r="E208" s="93"/>
      <c r="F208" s="93"/>
      <c r="G208" s="93"/>
      <c r="H208" s="93"/>
      <c r="AF208" s="103"/>
    </row>
    <row r="209" spans="4:32" ht="15.6">
      <c r="D209" s="93"/>
      <c r="E209" s="93"/>
      <c r="F209" s="93"/>
      <c r="G209" s="93"/>
      <c r="H209" s="93"/>
      <c r="AF209" s="103"/>
    </row>
    <row r="210" spans="4:32" ht="15.6">
      <c r="D210" s="93"/>
      <c r="E210" s="93"/>
      <c r="F210" s="93"/>
      <c r="G210" s="93"/>
      <c r="H210" s="93"/>
      <c r="AF210" s="103"/>
    </row>
    <row r="211" spans="4:32" ht="15.6">
      <c r="D211" s="93"/>
      <c r="E211" s="93"/>
      <c r="F211" s="93"/>
      <c r="G211" s="93"/>
      <c r="H211" s="93"/>
      <c r="AF211" s="103"/>
    </row>
    <row r="212" spans="4:32" ht="15.6">
      <c r="D212" s="93"/>
      <c r="E212" s="93"/>
      <c r="F212" s="93"/>
      <c r="G212" s="93"/>
      <c r="H212" s="93"/>
      <c r="AF212" s="103"/>
    </row>
    <row r="213" spans="4:32" ht="15.6">
      <c r="D213" s="93"/>
      <c r="E213" s="93"/>
      <c r="F213" s="93"/>
      <c r="G213" s="93"/>
      <c r="H213" s="93"/>
      <c r="AF213" s="103"/>
    </row>
    <row r="214" spans="4:32" ht="15.6">
      <c r="D214" s="93"/>
      <c r="E214" s="93"/>
      <c r="F214" s="93"/>
      <c r="G214" s="93"/>
      <c r="H214" s="93"/>
      <c r="AF214" s="103"/>
    </row>
    <row r="215" spans="4:32" ht="15.6">
      <c r="D215" s="93"/>
      <c r="E215" s="93"/>
      <c r="F215" s="93"/>
      <c r="G215" s="93"/>
      <c r="H215" s="93"/>
      <c r="AF215" s="103"/>
    </row>
    <row r="216" spans="4:32" ht="15.6">
      <c r="D216" s="93"/>
      <c r="E216" s="93"/>
      <c r="F216" s="93"/>
      <c r="G216" s="93"/>
      <c r="H216" s="93"/>
      <c r="AF216" s="103"/>
    </row>
    <row r="217" spans="4:32" ht="15.6">
      <c r="D217" s="93"/>
      <c r="E217" s="93"/>
      <c r="F217" s="93"/>
      <c r="G217" s="93"/>
      <c r="H217" s="93"/>
      <c r="AF217" s="103"/>
    </row>
    <row r="218" spans="4:32" ht="15.6">
      <c r="D218" s="93"/>
      <c r="E218" s="93"/>
      <c r="F218" s="93"/>
      <c r="G218" s="93"/>
      <c r="H218" s="93"/>
      <c r="AF218" s="103"/>
    </row>
    <row r="219" spans="4:32" ht="15.6">
      <c r="D219" s="93"/>
      <c r="E219" s="93"/>
      <c r="F219" s="93"/>
      <c r="G219" s="93"/>
      <c r="H219" s="93"/>
      <c r="AF219" s="103"/>
    </row>
    <row r="220" spans="4:32" ht="15.6">
      <c r="D220" s="93"/>
      <c r="E220" s="93"/>
      <c r="F220" s="93"/>
      <c r="G220" s="93"/>
      <c r="H220" s="93"/>
      <c r="AF220" s="103"/>
    </row>
    <row r="221" spans="4:32" ht="15.6">
      <c r="D221" s="93"/>
      <c r="E221" s="93"/>
      <c r="F221" s="93"/>
      <c r="G221" s="93"/>
      <c r="H221" s="93"/>
      <c r="AF221" s="103"/>
    </row>
    <row r="222" spans="4:32" ht="15.6">
      <c r="D222" s="93"/>
      <c r="E222" s="93"/>
      <c r="F222" s="93"/>
      <c r="G222" s="93"/>
      <c r="H222" s="93"/>
      <c r="AF222" s="103"/>
    </row>
    <row r="223" spans="4:32" ht="15.6">
      <c r="D223" s="93"/>
      <c r="E223" s="93"/>
      <c r="F223" s="93"/>
      <c r="G223" s="93"/>
      <c r="H223" s="93"/>
      <c r="AF223" s="103"/>
    </row>
    <row r="224" spans="4:32" ht="15.6">
      <c r="D224" s="93"/>
      <c r="E224" s="93"/>
      <c r="F224" s="93"/>
      <c r="G224" s="93"/>
      <c r="H224" s="93"/>
      <c r="AF224" s="103"/>
    </row>
    <row r="225" spans="4:32" ht="15.6">
      <c r="D225" s="93"/>
      <c r="E225" s="93"/>
      <c r="F225" s="93"/>
      <c r="G225" s="93"/>
      <c r="H225" s="93"/>
      <c r="AF225" s="103"/>
    </row>
    <row r="226" spans="4:32" ht="15.6">
      <c r="D226" s="93"/>
      <c r="E226" s="93"/>
      <c r="F226" s="93"/>
      <c r="G226" s="93"/>
      <c r="H226" s="93"/>
      <c r="AF226" s="103"/>
    </row>
    <row r="227" spans="4:32" ht="15.6">
      <c r="D227" s="93"/>
      <c r="E227" s="93"/>
      <c r="F227" s="93"/>
      <c r="G227" s="93"/>
      <c r="H227" s="93"/>
      <c r="AF227" s="103"/>
    </row>
    <row r="228" spans="4:32" ht="15.6">
      <c r="D228" s="93"/>
      <c r="E228" s="93"/>
      <c r="F228" s="93"/>
      <c r="G228" s="93"/>
      <c r="H228" s="93"/>
      <c r="AF228" s="103"/>
    </row>
    <row r="229" spans="4:32" ht="15.6">
      <c r="D229" s="93"/>
      <c r="E229" s="93"/>
      <c r="F229" s="93"/>
      <c r="G229" s="93"/>
      <c r="H229" s="93"/>
      <c r="AF229" s="103"/>
    </row>
    <row r="230" spans="4:32" ht="15.6">
      <c r="D230" s="93"/>
      <c r="E230" s="93"/>
      <c r="F230" s="93"/>
      <c r="G230" s="93"/>
      <c r="H230" s="93"/>
      <c r="AF230" s="103"/>
    </row>
    <row r="231" spans="4:32" ht="15.6">
      <c r="D231" s="93"/>
      <c r="E231" s="93"/>
      <c r="F231" s="93"/>
      <c r="G231" s="93"/>
      <c r="H231" s="93"/>
      <c r="AF231" s="103"/>
    </row>
    <row r="232" spans="4:32" ht="15.6">
      <c r="D232" s="93"/>
      <c r="E232" s="93"/>
      <c r="F232" s="93"/>
      <c r="G232" s="93"/>
      <c r="H232" s="93"/>
      <c r="AF232" s="103"/>
    </row>
    <row r="233" spans="4:32" ht="15.6">
      <c r="D233" s="93"/>
      <c r="E233" s="93"/>
      <c r="F233" s="93"/>
      <c r="G233" s="93"/>
      <c r="H233" s="93"/>
      <c r="AF233" s="103"/>
    </row>
    <row r="234" spans="4:32" ht="15.6">
      <c r="D234" s="93"/>
      <c r="E234" s="93"/>
      <c r="F234" s="93"/>
      <c r="G234" s="93"/>
      <c r="H234" s="93"/>
      <c r="AF234" s="103"/>
    </row>
    <row r="235" spans="4:32" ht="15.6">
      <c r="D235" s="93"/>
      <c r="E235" s="93"/>
      <c r="F235" s="93"/>
      <c r="G235" s="93"/>
      <c r="H235" s="93"/>
      <c r="AF235" s="103"/>
    </row>
    <row r="236" spans="4:32" ht="15.6">
      <c r="D236" s="93"/>
      <c r="E236" s="93"/>
      <c r="F236" s="93"/>
      <c r="G236" s="93"/>
      <c r="H236" s="93"/>
      <c r="AF236" s="103"/>
    </row>
    <row r="237" spans="4:32" ht="15.6">
      <c r="D237" s="93"/>
      <c r="E237" s="93"/>
      <c r="F237" s="93"/>
      <c r="G237" s="93"/>
      <c r="H237" s="93"/>
      <c r="AF237" s="103"/>
    </row>
    <row r="238" spans="4:32" ht="15.6">
      <c r="D238" s="93"/>
      <c r="E238" s="93"/>
      <c r="F238" s="93"/>
      <c r="G238" s="93"/>
      <c r="H238" s="93"/>
      <c r="AF238" s="103"/>
    </row>
    <row r="239" spans="4:32" ht="15.6">
      <c r="D239" s="93"/>
      <c r="E239" s="93"/>
      <c r="F239" s="93"/>
      <c r="G239" s="93"/>
      <c r="H239" s="93"/>
      <c r="AF239" s="103"/>
    </row>
    <row r="240" spans="4:32" ht="15.6">
      <c r="D240" s="93"/>
      <c r="E240" s="93"/>
      <c r="F240" s="93"/>
      <c r="G240" s="93"/>
      <c r="H240" s="93"/>
      <c r="AF240" s="103"/>
    </row>
    <row r="241" spans="4:32" ht="15.6">
      <c r="D241" s="93"/>
      <c r="E241" s="93"/>
      <c r="F241" s="93"/>
      <c r="G241" s="93"/>
      <c r="H241" s="93"/>
      <c r="AF241" s="103"/>
    </row>
    <row r="242" spans="4:32" ht="15.6">
      <c r="D242" s="93"/>
      <c r="E242" s="93"/>
      <c r="F242" s="93"/>
      <c r="G242" s="93"/>
      <c r="H242" s="93"/>
      <c r="AF242" s="103"/>
    </row>
    <row r="243" spans="4:32" ht="15.6">
      <c r="D243" s="93"/>
      <c r="E243" s="93"/>
      <c r="F243" s="93"/>
      <c r="G243" s="93"/>
      <c r="H243" s="93"/>
      <c r="AF243" s="103"/>
    </row>
    <row r="244" spans="4:32" ht="15.6">
      <c r="D244" s="93"/>
      <c r="E244" s="93"/>
      <c r="F244" s="93"/>
      <c r="G244" s="93"/>
      <c r="H244" s="93"/>
      <c r="AF244" s="103"/>
    </row>
    <row r="245" spans="4:32" ht="15.6">
      <c r="D245" s="93"/>
      <c r="E245" s="93"/>
      <c r="F245" s="93"/>
      <c r="G245" s="93"/>
      <c r="H245" s="93"/>
      <c r="AF245" s="103"/>
    </row>
    <row r="246" spans="4:32" ht="15.6">
      <c r="D246" s="93"/>
      <c r="E246" s="93"/>
      <c r="F246" s="93"/>
      <c r="G246" s="93"/>
      <c r="H246" s="93"/>
      <c r="AF246" s="103"/>
    </row>
    <row r="247" spans="4:32" ht="15.6">
      <c r="D247" s="93"/>
      <c r="E247" s="93"/>
      <c r="F247" s="93"/>
      <c r="G247" s="93"/>
      <c r="H247" s="93"/>
      <c r="AF247" s="103"/>
    </row>
    <row r="248" spans="4:32" ht="15.6">
      <c r="D248" s="93"/>
      <c r="E248" s="93"/>
      <c r="F248" s="93"/>
      <c r="G248" s="93"/>
      <c r="H248" s="93"/>
      <c r="AF248" s="103"/>
    </row>
    <row r="249" spans="4:32" ht="15.6">
      <c r="D249" s="93"/>
      <c r="E249" s="93"/>
      <c r="F249" s="93"/>
      <c r="G249" s="93"/>
      <c r="H249" s="93"/>
      <c r="AF249" s="103"/>
    </row>
    <row r="250" spans="4:32" ht="15.6">
      <c r="D250" s="93"/>
      <c r="E250" s="93"/>
      <c r="F250" s="93"/>
      <c r="G250" s="93"/>
      <c r="H250" s="93"/>
      <c r="AF250" s="103"/>
    </row>
    <row r="251" spans="4:32" ht="15.6">
      <c r="D251" s="93"/>
      <c r="E251" s="93"/>
      <c r="F251" s="93"/>
      <c r="G251" s="93"/>
      <c r="H251" s="93"/>
      <c r="AF251" s="103"/>
    </row>
    <row r="252" spans="4:32" ht="15.6">
      <c r="D252" s="93"/>
      <c r="E252" s="93"/>
      <c r="F252" s="93"/>
      <c r="G252" s="93"/>
      <c r="H252" s="93"/>
      <c r="AF252" s="103"/>
    </row>
    <row r="253" spans="4:32" ht="15.6">
      <c r="D253" s="93"/>
      <c r="E253" s="93"/>
      <c r="F253" s="93"/>
      <c r="G253" s="93"/>
      <c r="H253" s="93"/>
      <c r="AF253" s="103"/>
    </row>
    <row r="254" spans="4:32" ht="15.6">
      <c r="D254" s="93"/>
      <c r="E254" s="93"/>
      <c r="F254" s="93"/>
      <c r="G254" s="93"/>
      <c r="H254" s="93"/>
      <c r="AF254" s="103"/>
    </row>
    <row r="255" spans="4:32" ht="15.6">
      <c r="D255" s="93"/>
      <c r="E255" s="93"/>
      <c r="F255" s="93"/>
      <c r="G255" s="93"/>
      <c r="H255" s="93"/>
      <c r="AF255" s="103"/>
    </row>
    <row r="256" spans="4:32" ht="15.6">
      <c r="D256" s="93"/>
      <c r="E256" s="93"/>
      <c r="F256" s="93"/>
      <c r="G256" s="93"/>
      <c r="H256" s="93"/>
      <c r="AF256" s="103"/>
    </row>
    <row r="257" spans="4:32" ht="15.6">
      <c r="D257" s="93"/>
      <c r="E257" s="93"/>
      <c r="F257" s="93"/>
      <c r="G257" s="93"/>
      <c r="H257" s="93"/>
      <c r="AF257" s="103"/>
    </row>
    <row r="258" spans="4:32" ht="15.6">
      <c r="D258" s="93"/>
      <c r="E258" s="93"/>
      <c r="F258" s="93"/>
      <c r="G258" s="93"/>
      <c r="H258" s="93"/>
      <c r="AF258" s="103"/>
    </row>
    <row r="259" spans="4:32" ht="15.6">
      <c r="D259" s="93"/>
      <c r="E259" s="93"/>
      <c r="F259" s="93"/>
      <c r="G259" s="93"/>
      <c r="H259" s="93"/>
      <c r="AF259" s="103"/>
    </row>
    <row r="260" spans="4:32" ht="15.6">
      <c r="D260" s="93"/>
      <c r="E260" s="93"/>
      <c r="F260" s="93"/>
      <c r="G260" s="93"/>
      <c r="H260" s="93"/>
      <c r="AF260" s="103"/>
    </row>
    <row r="261" spans="4:32" ht="15.6">
      <c r="D261" s="93"/>
      <c r="E261" s="93"/>
      <c r="F261" s="93"/>
      <c r="G261" s="93"/>
      <c r="H261" s="93"/>
      <c r="AF261" s="103"/>
    </row>
    <row r="262" spans="4:32" ht="15.6">
      <c r="D262" s="93"/>
      <c r="E262" s="93"/>
      <c r="F262" s="93"/>
      <c r="G262" s="93"/>
      <c r="H262" s="93"/>
      <c r="AF262" s="103"/>
    </row>
    <row r="263" spans="4:32" ht="15.6">
      <c r="D263" s="93"/>
      <c r="E263" s="93"/>
      <c r="F263" s="93"/>
      <c r="G263" s="93"/>
      <c r="H263" s="93"/>
      <c r="AF263" s="103"/>
    </row>
    <row r="264" spans="4:32" ht="15.6">
      <c r="D264" s="93"/>
      <c r="E264" s="93"/>
      <c r="F264" s="93"/>
      <c r="G264" s="93"/>
      <c r="H264" s="93"/>
      <c r="AF264" s="103"/>
    </row>
    <row r="265" spans="4:32" ht="15.6">
      <c r="D265" s="93"/>
      <c r="E265" s="93"/>
      <c r="F265" s="93"/>
      <c r="G265" s="93"/>
      <c r="H265" s="93"/>
      <c r="AF265" s="103"/>
    </row>
    <row r="266" spans="4:32" ht="15.6">
      <c r="D266" s="93"/>
      <c r="E266" s="93"/>
      <c r="F266" s="93"/>
      <c r="G266" s="93"/>
      <c r="H266" s="93"/>
      <c r="AF266" s="103"/>
    </row>
    <row r="267" spans="4:32" ht="15.6">
      <c r="D267" s="93"/>
      <c r="E267" s="93"/>
      <c r="F267" s="93"/>
      <c r="G267" s="93"/>
      <c r="H267" s="93"/>
      <c r="AF267" s="103"/>
    </row>
    <row r="268" spans="4:32" ht="15.6">
      <c r="D268" s="93"/>
      <c r="E268" s="93"/>
      <c r="F268" s="93"/>
      <c r="G268" s="93"/>
      <c r="H268" s="93"/>
      <c r="AF268" s="103"/>
    </row>
    <row r="269" spans="4:32" ht="15.6">
      <c r="D269" s="93"/>
      <c r="E269" s="93"/>
      <c r="F269" s="93"/>
      <c r="G269" s="93"/>
      <c r="H269" s="93"/>
      <c r="AF269" s="103"/>
    </row>
    <row r="270" spans="4:32" ht="15.6">
      <c r="D270" s="93"/>
      <c r="E270" s="93"/>
      <c r="F270" s="93"/>
      <c r="G270" s="93"/>
      <c r="H270" s="93"/>
      <c r="AF270" s="103"/>
    </row>
    <row r="271" spans="4:32" ht="15.6">
      <c r="D271" s="93"/>
      <c r="E271" s="93"/>
      <c r="F271" s="93"/>
      <c r="G271" s="93"/>
      <c r="H271" s="93"/>
      <c r="AF271" s="103"/>
    </row>
    <row r="272" spans="4:32" ht="15.6">
      <c r="D272" s="93"/>
      <c r="E272" s="93"/>
      <c r="F272" s="93"/>
      <c r="G272" s="93"/>
      <c r="H272" s="93"/>
      <c r="AF272" s="103"/>
    </row>
    <row r="273" spans="4:32" ht="15.6">
      <c r="D273" s="93"/>
      <c r="E273" s="93"/>
      <c r="F273" s="93"/>
      <c r="G273" s="93"/>
      <c r="H273" s="93"/>
      <c r="AF273" s="103"/>
    </row>
    <row r="274" spans="4:32" ht="15.6">
      <c r="D274" s="93"/>
      <c r="E274" s="93"/>
      <c r="F274" s="93"/>
      <c r="G274" s="93"/>
      <c r="H274" s="93"/>
      <c r="AF274" s="103"/>
    </row>
    <row r="275" spans="4:32" ht="15.6">
      <c r="D275" s="93"/>
      <c r="E275" s="93"/>
      <c r="F275" s="93"/>
      <c r="G275" s="93"/>
      <c r="H275" s="93"/>
      <c r="AF275" s="103"/>
    </row>
    <row r="276" spans="4:32" ht="15.6">
      <c r="D276" s="93"/>
      <c r="E276" s="93"/>
      <c r="F276" s="93"/>
      <c r="G276" s="93"/>
      <c r="H276" s="93"/>
      <c r="AF276" s="103"/>
    </row>
    <row r="277" spans="4:32" ht="15.6">
      <c r="D277" s="93"/>
      <c r="E277" s="93"/>
      <c r="F277" s="93"/>
      <c r="G277" s="93"/>
      <c r="H277" s="93"/>
      <c r="AF277" s="103"/>
    </row>
    <row r="278" spans="4:32" ht="15.6">
      <c r="D278" s="93"/>
      <c r="E278" s="93"/>
      <c r="F278" s="93"/>
      <c r="G278" s="93"/>
      <c r="H278" s="93"/>
      <c r="AF278" s="103"/>
    </row>
    <row r="279" spans="4:32" ht="15.6">
      <c r="D279" s="93"/>
      <c r="E279" s="93"/>
      <c r="F279" s="93"/>
      <c r="G279" s="93"/>
      <c r="H279" s="93"/>
      <c r="AF279" s="103"/>
    </row>
    <row r="280" spans="4:32" ht="15.6">
      <c r="D280" s="93"/>
      <c r="E280" s="93"/>
      <c r="F280" s="93"/>
      <c r="G280" s="93"/>
      <c r="H280" s="93"/>
      <c r="AF280" s="103"/>
    </row>
    <row r="281" spans="4:32" ht="15.6">
      <c r="D281" s="93"/>
      <c r="E281" s="93"/>
      <c r="F281" s="93"/>
      <c r="G281" s="93"/>
      <c r="H281" s="93"/>
      <c r="AF281" s="103"/>
    </row>
    <row r="282" spans="4:32" ht="15.6">
      <c r="D282" s="93"/>
      <c r="E282" s="93"/>
      <c r="F282" s="93"/>
      <c r="G282" s="93"/>
      <c r="H282" s="93"/>
      <c r="AF282" s="103"/>
    </row>
    <row r="283" spans="4:32" ht="15.6">
      <c r="D283" s="93"/>
      <c r="E283" s="93"/>
      <c r="F283" s="93"/>
      <c r="G283" s="93"/>
      <c r="H283" s="93"/>
      <c r="AF283" s="103"/>
    </row>
    <row r="284" spans="4:32" ht="15.6">
      <c r="D284" s="93"/>
      <c r="E284" s="93"/>
      <c r="F284" s="93"/>
      <c r="G284" s="93"/>
      <c r="H284" s="93"/>
      <c r="AF284" s="103"/>
    </row>
    <row r="285" spans="4:32" ht="15.6">
      <c r="D285" s="93"/>
      <c r="E285" s="93"/>
      <c r="F285" s="93"/>
      <c r="G285" s="93"/>
      <c r="H285" s="93"/>
      <c r="AF285" s="103"/>
    </row>
    <row r="286" spans="4:32" ht="15.6">
      <c r="D286" s="93"/>
      <c r="E286" s="93"/>
      <c r="F286" s="93"/>
      <c r="G286" s="93"/>
      <c r="H286" s="93"/>
      <c r="AF286" s="103"/>
    </row>
    <row r="287" spans="4:32" ht="15.6">
      <c r="D287" s="93"/>
      <c r="E287" s="93"/>
      <c r="F287" s="93"/>
      <c r="G287" s="93"/>
      <c r="H287" s="93"/>
      <c r="AF287" s="103"/>
    </row>
    <row r="288" spans="4:32" ht="15.6">
      <c r="D288" s="93"/>
      <c r="E288" s="93"/>
      <c r="F288" s="93"/>
      <c r="G288" s="93"/>
      <c r="H288" s="93"/>
      <c r="AF288" s="103"/>
    </row>
    <row r="289" spans="4:32" ht="15.6">
      <c r="D289" s="93"/>
      <c r="E289" s="93"/>
      <c r="F289" s="93"/>
      <c r="G289" s="93"/>
      <c r="H289" s="93"/>
      <c r="AF289" s="103"/>
    </row>
    <row r="290" spans="4:32" ht="15.6">
      <c r="D290" s="93"/>
      <c r="E290" s="93"/>
      <c r="F290" s="93"/>
      <c r="G290" s="93"/>
      <c r="H290" s="93"/>
      <c r="AF290" s="103"/>
    </row>
    <row r="291" spans="4:32" ht="15.6">
      <c r="D291" s="93"/>
      <c r="E291" s="93"/>
      <c r="F291" s="93"/>
      <c r="G291" s="93"/>
      <c r="H291" s="93"/>
      <c r="AF291" s="103"/>
    </row>
    <row r="292" spans="4:32" ht="15.6">
      <c r="D292" s="93"/>
      <c r="E292" s="93"/>
      <c r="F292" s="93"/>
      <c r="G292" s="93"/>
      <c r="H292" s="93"/>
      <c r="AF292" s="103"/>
    </row>
    <row r="293" spans="4:32" ht="15.6">
      <c r="D293" s="93"/>
      <c r="E293" s="93"/>
      <c r="F293" s="93"/>
      <c r="G293" s="93"/>
      <c r="H293" s="93"/>
      <c r="AF293" s="103"/>
    </row>
    <row r="294" spans="4:32" ht="15.6">
      <c r="D294" s="93"/>
      <c r="E294" s="93"/>
      <c r="F294" s="93"/>
      <c r="G294" s="93"/>
      <c r="H294" s="93"/>
      <c r="AF294" s="103"/>
    </row>
    <row r="295" spans="4:32" ht="15.6">
      <c r="D295" s="93"/>
      <c r="E295" s="93"/>
      <c r="F295" s="93"/>
      <c r="G295" s="93"/>
      <c r="H295" s="93"/>
      <c r="AF295" s="103"/>
    </row>
    <row r="296" spans="4:32" ht="15.6">
      <c r="D296" s="93"/>
      <c r="E296" s="93"/>
      <c r="F296" s="93"/>
      <c r="G296" s="93"/>
      <c r="H296" s="93"/>
      <c r="AF296" s="103"/>
    </row>
    <row r="297" spans="4:32" ht="15.6">
      <c r="D297" s="93"/>
      <c r="E297" s="93"/>
      <c r="F297" s="93"/>
      <c r="G297" s="93"/>
      <c r="H297" s="93"/>
      <c r="AF297" s="103"/>
    </row>
    <row r="298" spans="4:32" ht="15.6">
      <c r="D298" s="93"/>
      <c r="E298" s="93"/>
      <c r="F298" s="93"/>
      <c r="G298" s="93"/>
      <c r="H298" s="93"/>
      <c r="AF298" s="103"/>
    </row>
    <row r="299" spans="4:32" ht="15.6">
      <c r="D299" s="93"/>
      <c r="E299" s="93"/>
      <c r="F299" s="93"/>
      <c r="G299" s="93"/>
      <c r="H299" s="93"/>
      <c r="AF299" s="103"/>
    </row>
    <row r="300" spans="4:32" ht="15.6">
      <c r="D300" s="93"/>
      <c r="E300" s="93"/>
      <c r="F300" s="93"/>
      <c r="G300" s="93"/>
      <c r="H300" s="93"/>
      <c r="AF300" s="103"/>
    </row>
    <row r="301" spans="4:32" ht="15.6">
      <c r="D301" s="93"/>
      <c r="E301" s="93"/>
      <c r="F301" s="93"/>
      <c r="G301" s="93"/>
      <c r="H301" s="93"/>
      <c r="AF301" s="103"/>
    </row>
    <row r="302" spans="4:32" ht="15.6">
      <c r="D302" s="93"/>
      <c r="E302" s="93"/>
      <c r="F302" s="93"/>
      <c r="G302" s="93"/>
      <c r="H302" s="93"/>
      <c r="AF302" s="103"/>
    </row>
    <row r="303" spans="4:32" ht="15.6">
      <c r="D303" s="93"/>
      <c r="E303" s="93"/>
      <c r="F303" s="93"/>
      <c r="G303" s="93"/>
      <c r="H303" s="93"/>
      <c r="AF303" s="103"/>
    </row>
    <row r="304" spans="4:32" ht="15.6">
      <c r="D304" s="93"/>
      <c r="E304" s="93"/>
      <c r="F304" s="93"/>
      <c r="G304" s="93"/>
      <c r="H304" s="93"/>
      <c r="AF304" s="103"/>
    </row>
    <row r="305" spans="4:32" ht="15.6">
      <c r="D305" s="93"/>
      <c r="E305" s="93"/>
      <c r="F305" s="93"/>
      <c r="G305" s="93"/>
      <c r="H305" s="93"/>
      <c r="AF305" s="103"/>
    </row>
    <row r="306" spans="4:32" ht="15.6">
      <c r="D306" s="93"/>
      <c r="E306" s="93"/>
      <c r="F306" s="93"/>
      <c r="G306" s="93"/>
      <c r="H306" s="93"/>
      <c r="AF306" s="103"/>
    </row>
    <row r="307" spans="4:32" ht="15.6">
      <c r="D307" s="93"/>
      <c r="E307" s="93"/>
      <c r="F307" s="93"/>
      <c r="G307" s="93"/>
      <c r="H307" s="93"/>
      <c r="AF307" s="103"/>
    </row>
    <row r="308" spans="4:32" ht="15.6">
      <c r="D308" s="93"/>
      <c r="E308" s="93"/>
      <c r="F308" s="93"/>
      <c r="G308" s="93"/>
      <c r="H308" s="93"/>
      <c r="AF308" s="103"/>
    </row>
    <row r="309" spans="4:32" ht="15.6">
      <c r="D309" s="93"/>
      <c r="E309" s="93"/>
      <c r="F309" s="93"/>
      <c r="G309" s="93"/>
      <c r="H309" s="93"/>
      <c r="AF309" s="103"/>
    </row>
    <row r="310" spans="4:32" ht="15.6">
      <c r="D310" s="93"/>
      <c r="E310" s="93"/>
      <c r="F310" s="93"/>
      <c r="G310" s="93"/>
      <c r="H310" s="93"/>
      <c r="AF310" s="103"/>
    </row>
    <row r="311" spans="4:32" ht="15.6">
      <c r="D311" s="93"/>
      <c r="E311" s="93"/>
      <c r="F311" s="93"/>
      <c r="G311" s="93"/>
      <c r="H311" s="93"/>
      <c r="AF311" s="103"/>
    </row>
    <row r="312" spans="4:32" ht="15.6">
      <c r="D312" s="93"/>
      <c r="E312" s="93"/>
      <c r="F312" s="93"/>
      <c r="G312" s="93"/>
      <c r="H312" s="93"/>
      <c r="AF312" s="103"/>
    </row>
    <row r="313" spans="4:32" ht="15.6">
      <c r="D313" s="93"/>
      <c r="E313" s="93"/>
      <c r="F313" s="93"/>
      <c r="G313" s="93"/>
      <c r="H313" s="93"/>
      <c r="AF313" s="103"/>
    </row>
    <row r="314" spans="4:32" ht="15.6">
      <c r="D314" s="93"/>
      <c r="E314" s="93"/>
      <c r="F314" s="93"/>
      <c r="G314" s="93"/>
      <c r="H314" s="93"/>
      <c r="AF314" s="103"/>
    </row>
    <row r="315" spans="4:32" ht="15.6">
      <c r="D315" s="93"/>
      <c r="E315" s="93"/>
      <c r="F315" s="93"/>
      <c r="G315" s="93"/>
      <c r="H315" s="93"/>
      <c r="AF315" s="103"/>
    </row>
    <row r="316" spans="4:32" ht="15.6">
      <c r="D316" s="93"/>
      <c r="E316" s="93"/>
      <c r="F316" s="93"/>
      <c r="G316" s="93"/>
      <c r="H316" s="93"/>
      <c r="AF316" s="103"/>
    </row>
    <row r="317" spans="4:32" ht="15.6">
      <c r="D317" s="93"/>
      <c r="E317" s="93"/>
      <c r="F317" s="93"/>
      <c r="G317" s="93"/>
      <c r="H317" s="93"/>
      <c r="AF317" s="103"/>
    </row>
    <row r="318" spans="4:32" ht="15.6">
      <c r="D318" s="93"/>
      <c r="E318" s="93"/>
      <c r="F318" s="93"/>
      <c r="G318" s="93"/>
      <c r="H318" s="93"/>
      <c r="AF318" s="103"/>
    </row>
    <row r="319" spans="4:32" ht="15.6">
      <c r="D319" s="93"/>
      <c r="E319" s="93"/>
      <c r="F319" s="93"/>
      <c r="G319" s="93"/>
      <c r="H319" s="93"/>
      <c r="AF319" s="103"/>
    </row>
    <row r="320" spans="4:32" ht="15.6">
      <c r="D320" s="93"/>
      <c r="E320" s="93"/>
      <c r="F320" s="93"/>
      <c r="G320" s="93"/>
      <c r="H320" s="93"/>
      <c r="AF320" s="103"/>
    </row>
    <row r="321" spans="4:32" ht="15.6">
      <c r="D321" s="93"/>
      <c r="E321" s="93"/>
      <c r="F321" s="93"/>
      <c r="G321" s="93"/>
      <c r="H321" s="93"/>
      <c r="AF321" s="103"/>
    </row>
    <row r="322" spans="4:32" ht="15.6">
      <c r="D322" s="93"/>
      <c r="E322" s="93"/>
      <c r="F322" s="93"/>
      <c r="G322" s="93"/>
      <c r="H322" s="93"/>
      <c r="AF322" s="103"/>
    </row>
    <row r="323" spans="4:32" ht="15.6">
      <c r="D323" s="93"/>
      <c r="E323" s="93"/>
      <c r="F323" s="93"/>
      <c r="G323" s="93"/>
      <c r="H323" s="93"/>
      <c r="AF323" s="103"/>
    </row>
    <row r="324" spans="4:32" ht="15.6">
      <c r="D324" s="93"/>
      <c r="E324" s="93"/>
      <c r="F324" s="93"/>
      <c r="G324" s="93"/>
      <c r="H324" s="93"/>
      <c r="AF324" s="103"/>
    </row>
    <row r="325" spans="4:32" ht="15.6">
      <c r="D325" s="93"/>
      <c r="E325" s="93"/>
      <c r="F325" s="93"/>
      <c r="G325" s="93"/>
      <c r="H325" s="93"/>
      <c r="AF325" s="103"/>
    </row>
    <row r="326" spans="4:32" ht="15.6">
      <c r="D326" s="93"/>
      <c r="E326" s="93"/>
      <c r="F326" s="93"/>
      <c r="G326" s="93"/>
      <c r="H326" s="93"/>
      <c r="AF326" s="103"/>
    </row>
    <row r="327" spans="4:32" ht="15.6">
      <c r="D327" s="93"/>
      <c r="E327" s="93"/>
      <c r="F327" s="93"/>
      <c r="G327" s="93"/>
      <c r="H327" s="93"/>
      <c r="AF327" s="103"/>
    </row>
    <row r="328" spans="4:32" ht="15.6">
      <c r="D328" s="93"/>
      <c r="E328" s="93"/>
      <c r="F328" s="93"/>
      <c r="G328" s="93"/>
      <c r="H328" s="93"/>
      <c r="AF328" s="103"/>
    </row>
    <row r="329" spans="4:32" ht="15.6">
      <c r="D329" s="93"/>
      <c r="E329" s="93"/>
      <c r="F329" s="93"/>
      <c r="G329" s="93"/>
      <c r="H329" s="93"/>
      <c r="AF329" s="103"/>
    </row>
    <row r="330" spans="4:32" ht="15.6">
      <c r="D330" s="93"/>
      <c r="E330" s="93"/>
      <c r="F330" s="93"/>
      <c r="G330" s="93"/>
      <c r="H330" s="93"/>
      <c r="AF330" s="103"/>
    </row>
    <row r="331" spans="4:32" ht="15.6">
      <c r="D331" s="93"/>
      <c r="E331" s="93"/>
      <c r="F331" s="93"/>
      <c r="G331" s="93"/>
      <c r="H331" s="93"/>
      <c r="AF331" s="103"/>
    </row>
    <row r="332" spans="4:32" ht="15.6">
      <c r="D332" s="93"/>
      <c r="E332" s="93"/>
      <c r="F332" s="93"/>
      <c r="G332" s="93"/>
      <c r="H332" s="93"/>
      <c r="AF332" s="103"/>
    </row>
    <row r="333" spans="4:32" ht="15.6">
      <c r="D333" s="93"/>
      <c r="E333" s="93"/>
      <c r="F333" s="93"/>
      <c r="G333" s="93"/>
      <c r="H333" s="93"/>
      <c r="AF333" s="103"/>
    </row>
    <row r="334" spans="4:32" ht="15.6">
      <c r="D334" s="93"/>
      <c r="E334" s="93"/>
      <c r="F334" s="93"/>
      <c r="G334" s="93"/>
      <c r="H334" s="93"/>
      <c r="AF334" s="103"/>
    </row>
    <row r="335" spans="4:32" ht="15.6">
      <c r="D335" s="93"/>
      <c r="E335" s="93"/>
      <c r="F335" s="93"/>
      <c r="G335" s="93"/>
      <c r="H335" s="93"/>
      <c r="AF335" s="103"/>
    </row>
    <row r="336" spans="4:32" ht="15.6">
      <c r="D336" s="93"/>
      <c r="E336" s="93"/>
      <c r="F336" s="93"/>
      <c r="G336" s="93"/>
      <c r="H336" s="93"/>
      <c r="AF336" s="103"/>
    </row>
    <row r="337" spans="4:32" ht="15.6">
      <c r="D337" s="93"/>
      <c r="E337" s="93"/>
      <c r="F337" s="93"/>
      <c r="G337" s="93"/>
      <c r="H337" s="93"/>
      <c r="AF337" s="103"/>
    </row>
    <row r="338" spans="4:32" ht="15.6">
      <c r="D338" s="93"/>
      <c r="E338" s="93"/>
      <c r="F338" s="93"/>
      <c r="G338" s="93"/>
      <c r="H338" s="93"/>
      <c r="AF338" s="103"/>
    </row>
    <row r="339" spans="4:32" ht="15.6">
      <c r="D339" s="93"/>
      <c r="E339" s="93"/>
      <c r="F339" s="93"/>
      <c r="G339" s="93"/>
      <c r="H339" s="93"/>
      <c r="AF339" s="103"/>
    </row>
    <row r="340" spans="4:32" ht="15.6">
      <c r="D340" s="93"/>
      <c r="E340" s="93"/>
      <c r="F340" s="93"/>
      <c r="G340" s="93"/>
      <c r="H340" s="93"/>
      <c r="AF340" s="103"/>
    </row>
    <row r="341" spans="4:32" ht="15.6">
      <c r="D341" s="93"/>
      <c r="E341" s="93"/>
      <c r="F341" s="93"/>
      <c r="G341" s="93"/>
      <c r="H341" s="93"/>
      <c r="AF341" s="103"/>
    </row>
    <row r="342" spans="4:32" ht="15.6">
      <c r="D342" s="93"/>
      <c r="E342" s="93"/>
      <c r="F342" s="93"/>
      <c r="G342" s="93"/>
      <c r="H342" s="93"/>
      <c r="AF342" s="103"/>
    </row>
    <row r="343" spans="4:32" ht="15.6">
      <c r="D343" s="93"/>
      <c r="E343" s="93"/>
      <c r="F343" s="93"/>
      <c r="G343" s="93"/>
      <c r="H343" s="93"/>
      <c r="AF343" s="103"/>
    </row>
    <row r="344" spans="4:32" ht="15.6">
      <c r="D344" s="93"/>
      <c r="E344" s="93"/>
      <c r="F344" s="93"/>
      <c r="G344" s="93"/>
      <c r="H344" s="93"/>
      <c r="AF344" s="103"/>
    </row>
    <row r="345" spans="4:32" ht="15.6">
      <c r="D345" s="93"/>
      <c r="E345" s="93"/>
      <c r="F345" s="93"/>
      <c r="G345" s="93"/>
      <c r="H345" s="93"/>
      <c r="AF345" s="103"/>
    </row>
    <row r="346" spans="4:32" ht="15.6">
      <c r="D346" s="93"/>
      <c r="E346" s="93"/>
      <c r="F346" s="93"/>
      <c r="G346" s="93"/>
      <c r="H346" s="93"/>
      <c r="AF346" s="103"/>
    </row>
    <row r="347" spans="4:32" ht="15.6">
      <c r="D347" s="93"/>
      <c r="E347" s="93"/>
      <c r="F347" s="93"/>
      <c r="G347" s="93"/>
      <c r="H347" s="93"/>
      <c r="AF347" s="103"/>
    </row>
    <row r="348" spans="4:32" ht="15.6">
      <c r="D348" s="93"/>
      <c r="E348" s="93"/>
      <c r="F348" s="93"/>
      <c r="G348" s="93"/>
      <c r="H348" s="93"/>
      <c r="AF348" s="103"/>
    </row>
    <row r="349" spans="4:32" ht="15.6">
      <c r="D349" s="93"/>
      <c r="E349" s="93"/>
      <c r="F349" s="93"/>
      <c r="G349" s="93"/>
      <c r="H349" s="93"/>
      <c r="AF349" s="103"/>
    </row>
    <row r="350" spans="4:32" ht="15.6">
      <c r="D350" s="93"/>
      <c r="E350" s="93"/>
      <c r="F350" s="93"/>
      <c r="G350" s="93"/>
      <c r="H350" s="93"/>
      <c r="AF350" s="103"/>
    </row>
    <row r="351" spans="4:32" ht="15.6">
      <c r="D351" s="93"/>
      <c r="E351" s="93"/>
      <c r="F351" s="93"/>
      <c r="G351" s="93"/>
      <c r="H351" s="93"/>
      <c r="AF351" s="103"/>
    </row>
    <row r="352" spans="4:32" ht="15.6">
      <c r="D352" s="93"/>
      <c r="E352" s="93"/>
      <c r="F352" s="93"/>
      <c r="G352" s="93"/>
      <c r="H352" s="93"/>
      <c r="AF352" s="103"/>
    </row>
    <row r="353" spans="4:32" ht="15.6">
      <c r="D353" s="93"/>
      <c r="E353" s="93"/>
      <c r="F353" s="93"/>
      <c r="G353" s="93"/>
      <c r="H353" s="93"/>
      <c r="AF353" s="103"/>
    </row>
    <row r="354" spans="4:32" ht="15.6">
      <c r="D354" s="93"/>
      <c r="E354" s="93"/>
      <c r="F354" s="93"/>
      <c r="G354" s="93"/>
      <c r="H354" s="93"/>
      <c r="AF354" s="103"/>
    </row>
    <row r="355" spans="4:32" ht="15.6">
      <c r="D355" s="93"/>
      <c r="E355" s="93"/>
      <c r="F355" s="93"/>
      <c r="G355" s="93"/>
      <c r="H355" s="93"/>
      <c r="AF355" s="103"/>
    </row>
    <row r="356" spans="4:32" ht="15.6">
      <c r="D356" s="93"/>
      <c r="E356" s="93"/>
      <c r="F356" s="93"/>
      <c r="G356" s="93"/>
      <c r="H356" s="93"/>
      <c r="AF356" s="103"/>
    </row>
    <row r="357" spans="4:32" ht="15.6">
      <c r="D357" s="93"/>
      <c r="E357" s="93"/>
      <c r="F357" s="93"/>
      <c r="G357" s="93"/>
      <c r="H357" s="93"/>
      <c r="AF357" s="103"/>
    </row>
    <row r="358" spans="4:32" ht="15.6">
      <c r="D358" s="93"/>
      <c r="E358" s="93"/>
      <c r="F358" s="93"/>
      <c r="G358" s="93"/>
      <c r="H358" s="93"/>
      <c r="AF358" s="103"/>
    </row>
    <row r="359" spans="4:32" ht="15.6">
      <c r="D359" s="93"/>
      <c r="E359" s="93"/>
      <c r="F359" s="93"/>
      <c r="G359" s="93"/>
      <c r="H359" s="93"/>
      <c r="AF359" s="103"/>
    </row>
    <row r="360" spans="4:32" ht="15.6">
      <c r="D360" s="93"/>
      <c r="E360" s="93"/>
      <c r="F360" s="93"/>
      <c r="G360" s="93"/>
      <c r="H360" s="93"/>
      <c r="AF360" s="103"/>
    </row>
    <row r="361" spans="4:32" ht="15.6">
      <c r="D361" s="93"/>
      <c r="E361" s="93"/>
      <c r="F361" s="93"/>
      <c r="G361" s="93"/>
      <c r="H361" s="93"/>
      <c r="AF361" s="103"/>
    </row>
    <row r="362" spans="4:32" ht="15.6">
      <c r="D362" s="93"/>
      <c r="E362" s="93"/>
      <c r="F362" s="93"/>
      <c r="G362" s="93"/>
      <c r="H362" s="93"/>
      <c r="AF362" s="103"/>
    </row>
    <row r="363" spans="4:32" ht="15.6">
      <c r="D363" s="93"/>
      <c r="E363" s="93"/>
      <c r="F363" s="93"/>
      <c r="G363" s="93"/>
      <c r="H363" s="93"/>
      <c r="AF363" s="103"/>
    </row>
    <row r="364" spans="4:32" ht="15.6">
      <c r="D364" s="93"/>
      <c r="E364" s="93"/>
      <c r="F364" s="93"/>
      <c r="G364" s="93"/>
      <c r="H364" s="93"/>
      <c r="AF364" s="103"/>
    </row>
    <row r="365" spans="4:32" ht="15.6">
      <c r="D365" s="93"/>
      <c r="E365" s="93"/>
      <c r="F365" s="93"/>
      <c r="G365" s="93"/>
      <c r="H365" s="93"/>
      <c r="AF365" s="103"/>
    </row>
    <row r="366" spans="4:32" ht="15.6">
      <c r="D366" s="93"/>
      <c r="E366" s="93"/>
      <c r="F366" s="93"/>
      <c r="G366" s="93"/>
      <c r="H366" s="93"/>
      <c r="AF366" s="103"/>
    </row>
    <row r="367" spans="4:32" ht="15.6">
      <c r="D367" s="93"/>
      <c r="E367" s="93"/>
      <c r="F367" s="93"/>
      <c r="G367" s="93"/>
      <c r="H367" s="93"/>
      <c r="AF367" s="103"/>
    </row>
    <row r="368" spans="4:32" ht="15.6">
      <c r="D368" s="93"/>
      <c r="E368" s="93"/>
      <c r="F368" s="93"/>
      <c r="G368" s="93"/>
      <c r="H368" s="93"/>
      <c r="AF368" s="103"/>
    </row>
    <row r="369" spans="4:32" ht="15.6">
      <c r="D369" s="93"/>
      <c r="E369" s="93"/>
      <c r="F369" s="93"/>
      <c r="G369" s="93"/>
      <c r="H369" s="93"/>
      <c r="AF369" s="103"/>
    </row>
    <row r="370" spans="4:32" ht="15.6">
      <c r="D370" s="93"/>
      <c r="E370" s="93"/>
      <c r="F370" s="93"/>
      <c r="G370" s="93"/>
      <c r="H370" s="93"/>
      <c r="AF370" s="103"/>
    </row>
    <row r="371" spans="4:32" ht="15.6">
      <c r="D371" s="93"/>
      <c r="E371" s="93"/>
      <c r="F371" s="93"/>
      <c r="G371" s="93"/>
      <c r="H371" s="93"/>
      <c r="AF371" s="103"/>
    </row>
    <row r="372" spans="4:32" ht="15.6">
      <c r="D372" s="93"/>
      <c r="E372" s="93"/>
      <c r="F372" s="93"/>
      <c r="G372" s="93"/>
      <c r="H372" s="93"/>
      <c r="AF372" s="103"/>
    </row>
    <row r="373" spans="4:32" ht="15.6">
      <c r="D373" s="93"/>
      <c r="E373" s="93"/>
      <c r="F373" s="93"/>
      <c r="G373" s="93"/>
      <c r="H373" s="93"/>
      <c r="AF373" s="103"/>
    </row>
    <row r="374" spans="4:32" ht="15.6">
      <c r="D374" s="93"/>
      <c r="E374" s="93"/>
      <c r="F374" s="93"/>
      <c r="G374" s="93"/>
      <c r="H374" s="93"/>
      <c r="AF374" s="103"/>
    </row>
    <row r="375" spans="4:32" ht="15.6">
      <c r="D375" s="93"/>
      <c r="E375" s="93"/>
      <c r="F375" s="93"/>
      <c r="G375" s="93"/>
      <c r="H375" s="93"/>
      <c r="AF375" s="103"/>
    </row>
    <row r="376" spans="4:32" ht="15.6">
      <c r="D376" s="93"/>
      <c r="E376" s="93"/>
      <c r="F376" s="93"/>
      <c r="G376" s="93"/>
      <c r="H376" s="93"/>
      <c r="AF376" s="103"/>
    </row>
    <row r="377" spans="4:32" ht="15.6">
      <c r="D377" s="93"/>
      <c r="E377" s="93"/>
      <c r="F377" s="93"/>
      <c r="G377" s="93"/>
      <c r="H377" s="93"/>
      <c r="AF377" s="103"/>
    </row>
    <row r="378" spans="4:32" ht="15.6">
      <c r="D378" s="93"/>
      <c r="E378" s="93"/>
      <c r="F378" s="93"/>
      <c r="G378" s="93"/>
      <c r="H378" s="93"/>
      <c r="AF378" s="103"/>
    </row>
    <row r="379" spans="4:32" ht="15.6">
      <c r="D379" s="93"/>
      <c r="E379" s="93"/>
      <c r="F379" s="93"/>
      <c r="G379" s="93"/>
      <c r="H379" s="93"/>
      <c r="AF379" s="103"/>
    </row>
    <row r="380" spans="4:32" ht="15.6">
      <c r="D380" s="93"/>
      <c r="E380" s="93"/>
      <c r="F380" s="93"/>
      <c r="G380" s="93"/>
      <c r="H380" s="93"/>
      <c r="AF380" s="103"/>
    </row>
    <row r="381" spans="4:32" ht="15.6">
      <c r="D381" s="93"/>
      <c r="E381" s="93"/>
      <c r="F381" s="93"/>
      <c r="G381" s="93"/>
      <c r="H381" s="93"/>
      <c r="AF381" s="103"/>
    </row>
    <row r="382" spans="4:32" ht="15.6">
      <c r="D382" s="93"/>
      <c r="E382" s="93"/>
      <c r="F382" s="93"/>
      <c r="G382" s="93"/>
      <c r="H382" s="93"/>
      <c r="AF382" s="103"/>
    </row>
    <row r="383" spans="4:32" ht="15.6">
      <c r="D383" s="93"/>
      <c r="E383" s="93"/>
      <c r="F383" s="93"/>
      <c r="G383" s="93"/>
      <c r="H383" s="93"/>
      <c r="AF383" s="103"/>
    </row>
    <row r="384" spans="4:32" ht="15.6">
      <c r="D384" s="93"/>
      <c r="E384" s="93"/>
      <c r="F384" s="93"/>
      <c r="G384" s="93"/>
      <c r="H384" s="93"/>
      <c r="AF384" s="103"/>
    </row>
    <row r="385" spans="4:32" ht="15.6">
      <c r="D385" s="93"/>
      <c r="E385" s="93"/>
      <c r="F385" s="93"/>
      <c r="G385" s="93"/>
      <c r="H385" s="93"/>
      <c r="AF385" s="103"/>
    </row>
    <row r="386" spans="4:32" ht="15.6">
      <c r="D386" s="93"/>
      <c r="E386" s="93"/>
      <c r="F386" s="93"/>
      <c r="G386" s="93"/>
      <c r="H386" s="93"/>
      <c r="AF386" s="103"/>
    </row>
    <row r="387" spans="4:32" ht="15.6">
      <c r="D387" s="93"/>
      <c r="E387" s="93"/>
      <c r="F387" s="93"/>
      <c r="G387" s="93"/>
      <c r="H387" s="93"/>
      <c r="AF387" s="103"/>
    </row>
    <row r="388" spans="4:32" ht="15.6">
      <c r="D388" s="93"/>
      <c r="E388" s="93"/>
      <c r="F388" s="93"/>
      <c r="G388" s="93"/>
      <c r="H388" s="93"/>
      <c r="AF388" s="103"/>
    </row>
    <row r="389" spans="4:32" ht="15.6">
      <c r="D389" s="93"/>
      <c r="E389" s="93"/>
      <c r="F389" s="93"/>
      <c r="G389" s="93"/>
      <c r="H389" s="93"/>
      <c r="AF389" s="103"/>
    </row>
    <row r="390" spans="4:32" ht="15.6">
      <c r="D390" s="93"/>
      <c r="E390" s="93"/>
      <c r="F390" s="93"/>
      <c r="G390" s="93"/>
      <c r="H390" s="93"/>
      <c r="AF390" s="103"/>
    </row>
    <row r="391" spans="4:32" ht="15.6">
      <c r="D391" s="93"/>
      <c r="E391" s="93"/>
      <c r="F391" s="93"/>
      <c r="G391" s="93"/>
      <c r="H391" s="93"/>
      <c r="AF391" s="103"/>
    </row>
    <row r="392" spans="4:32" ht="15.6">
      <c r="D392" s="93"/>
      <c r="E392" s="93"/>
      <c r="F392" s="93"/>
      <c r="G392" s="93"/>
      <c r="H392" s="93"/>
      <c r="AF392" s="103"/>
    </row>
    <row r="393" spans="4:32" ht="15.6">
      <c r="D393" s="93"/>
      <c r="E393" s="93"/>
      <c r="F393" s="93"/>
      <c r="G393" s="93"/>
      <c r="H393" s="93"/>
      <c r="AF393" s="103"/>
    </row>
    <row r="394" spans="4:32" ht="15.6">
      <c r="D394" s="93"/>
      <c r="E394" s="93"/>
      <c r="F394" s="93"/>
      <c r="G394" s="93"/>
      <c r="H394" s="93"/>
      <c r="AF394" s="103"/>
    </row>
    <row r="395" spans="4:32" ht="15.6">
      <c r="D395" s="93"/>
      <c r="E395" s="93"/>
      <c r="F395" s="93"/>
      <c r="G395" s="93"/>
      <c r="H395" s="93"/>
      <c r="AF395" s="103"/>
    </row>
    <row r="396" spans="4:32" ht="15.6">
      <c r="D396" s="93"/>
      <c r="E396" s="93"/>
      <c r="F396" s="93"/>
      <c r="G396" s="93"/>
      <c r="H396" s="93"/>
      <c r="AF396" s="103"/>
    </row>
    <row r="397" spans="4:32" ht="15.6">
      <c r="D397" s="93"/>
      <c r="E397" s="93"/>
      <c r="F397" s="93"/>
      <c r="G397" s="93"/>
      <c r="H397" s="93"/>
      <c r="AF397" s="103"/>
    </row>
    <row r="398" spans="4:32" ht="15.6">
      <c r="D398" s="93"/>
      <c r="E398" s="93"/>
      <c r="F398" s="93"/>
      <c r="G398" s="93"/>
      <c r="H398" s="93"/>
      <c r="AF398" s="103"/>
    </row>
    <row r="399" spans="4:32" ht="15.6">
      <c r="D399" s="93"/>
      <c r="E399" s="93"/>
      <c r="F399" s="93"/>
      <c r="G399" s="93"/>
      <c r="H399" s="93"/>
      <c r="AF399" s="103"/>
    </row>
    <row r="400" spans="4:32" ht="15.6">
      <c r="D400" s="93"/>
      <c r="E400" s="93"/>
      <c r="F400" s="93"/>
      <c r="G400" s="93"/>
      <c r="H400" s="93"/>
      <c r="AF400" s="103"/>
    </row>
    <row r="401" spans="4:32" ht="15.6">
      <c r="D401" s="93"/>
      <c r="E401" s="93"/>
      <c r="F401" s="93"/>
      <c r="G401" s="93"/>
      <c r="H401" s="93"/>
      <c r="AF401" s="103"/>
    </row>
    <row r="402" spans="4:32" ht="15.6">
      <c r="D402" s="93"/>
      <c r="E402" s="93"/>
      <c r="F402" s="93"/>
      <c r="G402" s="93"/>
      <c r="H402" s="93"/>
      <c r="AF402" s="103"/>
    </row>
    <row r="403" spans="4:32" ht="15.6">
      <c r="D403" s="93"/>
      <c r="E403" s="93"/>
      <c r="F403" s="93"/>
      <c r="G403" s="93"/>
      <c r="H403" s="93"/>
      <c r="AF403" s="103"/>
    </row>
    <row r="404" spans="4:32" ht="15.6">
      <c r="D404" s="93"/>
      <c r="E404" s="93"/>
      <c r="F404" s="93"/>
      <c r="G404" s="93"/>
      <c r="H404" s="93"/>
      <c r="AF404" s="103"/>
    </row>
    <row r="405" spans="4:32" ht="15.6">
      <c r="D405" s="93"/>
      <c r="E405" s="93"/>
      <c r="F405" s="93"/>
      <c r="G405" s="93"/>
      <c r="H405" s="93"/>
      <c r="AF405" s="103"/>
    </row>
    <row r="406" spans="4:32" ht="15.6">
      <c r="D406" s="93"/>
      <c r="E406" s="93"/>
      <c r="F406" s="93"/>
      <c r="G406" s="93"/>
      <c r="H406" s="93"/>
      <c r="AF406" s="103"/>
    </row>
    <row r="407" spans="4:32" ht="15.6">
      <c r="D407" s="93"/>
      <c r="E407" s="93"/>
      <c r="F407" s="93"/>
      <c r="G407" s="93"/>
      <c r="H407" s="93"/>
      <c r="AF407" s="103"/>
    </row>
    <row r="408" spans="4:32" ht="15.6">
      <c r="D408" s="93"/>
      <c r="E408" s="93"/>
      <c r="F408" s="93"/>
      <c r="G408" s="93"/>
      <c r="H408" s="93"/>
      <c r="AF408" s="103"/>
    </row>
    <row r="409" spans="4:32" ht="15.6">
      <c r="D409" s="93"/>
      <c r="E409" s="93"/>
      <c r="F409" s="93"/>
      <c r="G409" s="93"/>
      <c r="H409" s="93"/>
      <c r="AF409" s="103"/>
    </row>
    <row r="410" spans="4:32" ht="15.6">
      <c r="D410" s="93"/>
      <c r="E410" s="93"/>
      <c r="F410" s="93"/>
      <c r="G410" s="93"/>
      <c r="H410" s="93"/>
      <c r="AF410" s="103"/>
    </row>
    <row r="411" spans="4:32" ht="15.6">
      <c r="D411" s="93"/>
      <c r="E411" s="93"/>
      <c r="F411" s="93"/>
      <c r="G411" s="93"/>
      <c r="H411" s="93"/>
      <c r="AF411" s="103"/>
    </row>
    <row r="412" spans="4:32" ht="15.6">
      <c r="D412" s="93"/>
      <c r="E412" s="93"/>
      <c r="F412" s="93"/>
      <c r="G412" s="93"/>
      <c r="H412" s="93"/>
      <c r="AF412" s="103"/>
    </row>
    <row r="413" spans="4:32" ht="15.6">
      <c r="D413" s="93"/>
      <c r="E413" s="93"/>
      <c r="F413" s="93"/>
      <c r="G413" s="93"/>
      <c r="H413" s="93"/>
      <c r="AF413" s="103"/>
    </row>
    <row r="414" spans="4:32" ht="15.6">
      <c r="D414" s="93"/>
      <c r="E414" s="93"/>
      <c r="F414" s="93"/>
      <c r="G414" s="93"/>
      <c r="H414" s="93"/>
      <c r="AF414" s="103"/>
    </row>
    <row r="415" spans="4:32" ht="15.6">
      <c r="D415" s="93"/>
      <c r="E415" s="93"/>
      <c r="F415" s="93"/>
      <c r="G415" s="93"/>
      <c r="H415" s="93"/>
      <c r="AF415" s="103"/>
    </row>
    <row r="416" spans="4:32" ht="15.6">
      <c r="D416" s="93"/>
      <c r="E416" s="93"/>
      <c r="F416" s="93"/>
      <c r="G416" s="93"/>
      <c r="H416" s="93"/>
      <c r="AF416" s="103"/>
    </row>
    <row r="417" spans="4:32" ht="15.6">
      <c r="D417" s="93"/>
      <c r="E417" s="93"/>
      <c r="F417" s="93"/>
      <c r="G417" s="93"/>
      <c r="H417" s="93"/>
      <c r="AF417" s="103"/>
    </row>
    <row r="418" spans="4:32" ht="15.6">
      <c r="D418" s="93"/>
      <c r="E418" s="93"/>
      <c r="F418" s="93"/>
      <c r="G418" s="93"/>
      <c r="H418" s="93"/>
      <c r="AF418" s="103"/>
    </row>
    <row r="419" spans="4:32" ht="15.6">
      <c r="D419" s="93"/>
      <c r="E419" s="93"/>
      <c r="F419" s="93"/>
      <c r="G419" s="93"/>
      <c r="H419" s="93"/>
      <c r="AF419" s="103"/>
    </row>
    <row r="420" spans="4:32" ht="15.6">
      <c r="D420" s="93"/>
      <c r="E420" s="93"/>
      <c r="F420" s="93"/>
      <c r="G420" s="93"/>
      <c r="H420" s="93"/>
      <c r="AF420" s="103"/>
    </row>
    <row r="421" spans="4:32" ht="15.6">
      <c r="D421" s="93"/>
      <c r="E421" s="93"/>
      <c r="F421" s="93"/>
      <c r="G421" s="93"/>
      <c r="H421" s="93"/>
      <c r="AF421" s="103"/>
    </row>
    <row r="422" spans="4:32" ht="15.6">
      <c r="D422" s="93"/>
      <c r="E422" s="93"/>
      <c r="F422" s="93"/>
      <c r="G422" s="93"/>
      <c r="H422" s="93"/>
      <c r="AF422" s="103"/>
    </row>
    <row r="423" spans="4:32" ht="15.6">
      <c r="D423" s="93"/>
      <c r="E423" s="93"/>
      <c r="F423" s="93"/>
      <c r="G423" s="93"/>
      <c r="H423" s="93"/>
      <c r="AF423" s="103"/>
    </row>
    <row r="424" spans="4:32" ht="15.6">
      <c r="D424" s="93"/>
      <c r="E424" s="93"/>
      <c r="F424" s="93"/>
      <c r="G424" s="93"/>
      <c r="H424" s="93"/>
      <c r="AF424" s="103"/>
    </row>
    <row r="425" spans="4:32" ht="15.6">
      <c r="D425" s="93"/>
      <c r="E425" s="93"/>
      <c r="F425" s="93"/>
      <c r="G425" s="93"/>
      <c r="H425" s="93"/>
      <c r="AF425" s="103"/>
    </row>
    <row r="426" spans="4:32" ht="15.6">
      <c r="D426" s="93"/>
      <c r="E426" s="93"/>
      <c r="F426" s="93"/>
      <c r="G426" s="93"/>
      <c r="H426" s="93"/>
      <c r="AF426" s="103"/>
    </row>
    <row r="427" spans="4:32" ht="15.6">
      <c r="D427" s="93"/>
      <c r="E427" s="93"/>
      <c r="F427" s="93"/>
      <c r="G427" s="93"/>
      <c r="H427" s="93"/>
      <c r="AF427" s="103"/>
    </row>
    <row r="428" spans="4:32" ht="15.6">
      <c r="D428" s="93"/>
      <c r="E428" s="93"/>
      <c r="F428" s="93"/>
      <c r="G428" s="93"/>
      <c r="H428" s="93"/>
      <c r="AF428" s="103"/>
    </row>
    <row r="429" spans="4:32" ht="15.6">
      <c r="D429" s="93"/>
      <c r="E429" s="93"/>
      <c r="F429" s="93"/>
      <c r="G429" s="93"/>
      <c r="H429" s="93"/>
      <c r="AF429" s="103"/>
    </row>
    <row r="430" spans="4:32" ht="15.6">
      <c r="D430" s="93"/>
      <c r="E430" s="93"/>
      <c r="F430" s="93"/>
      <c r="G430" s="93"/>
      <c r="H430" s="93"/>
      <c r="AF430" s="103"/>
    </row>
    <row r="431" spans="4:32" ht="15.6">
      <c r="D431" s="93"/>
      <c r="E431" s="93"/>
      <c r="F431" s="93"/>
      <c r="G431" s="93"/>
      <c r="H431" s="93"/>
      <c r="AF431" s="103"/>
    </row>
    <row r="432" spans="4:32" ht="15.6">
      <c r="D432" s="93"/>
      <c r="E432" s="93"/>
      <c r="F432" s="93"/>
      <c r="G432" s="93"/>
      <c r="H432" s="93"/>
      <c r="AF432" s="103"/>
    </row>
    <row r="433" spans="4:32" ht="15.6">
      <c r="D433" s="93"/>
      <c r="E433" s="93"/>
      <c r="F433" s="93"/>
      <c r="G433" s="93"/>
      <c r="H433" s="93"/>
      <c r="AF433" s="103"/>
    </row>
    <row r="434" spans="4:32" ht="15.6">
      <c r="D434" s="93"/>
      <c r="E434" s="93"/>
      <c r="F434" s="93"/>
      <c r="G434" s="93"/>
      <c r="H434" s="93"/>
      <c r="AF434" s="103"/>
    </row>
    <row r="435" spans="4:32" ht="15.6">
      <c r="D435" s="93"/>
      <c r="E435" s="93"/>
      <c r="F435" s="93"/>
      <c r="G435" s="93"/>
      <c r="H435" s="93"/>
      <c r="AF435" s="103"/>
    </row>
    <row r="436" spans="4:32" ht="15.6">
      <c r="D436" s="93"/>
      <c r="E436" s="93"/>
      <c r="F436" s="93"/>
      <c r="G436" s="93"/>
      <c r="H436" s="93"/>
      <c r="AF436" s="103"/>
    </row>
    <row r="437" spans="4:32" ht="15.6">
      <c r="D437" s="93"/>
      <c r="E437" s="93"/>
      <c r="F437" s="93"/>
      <c r="G437" s="93"/>
      <c r="H437" s="93"/>
      <c r="AF437" s="103"/>
    </row>
    <row r="438" spans="4:32" ht="15.6">
      <c r="D438" s="93"/>
      <c r="E438" s="93"/>
      <c r="F438" s="93"/>
      <c r="G438" s="93"/>
      <c r="H438" s="93"/>
      <c r="AF438" s="103"/>
    </row>
    <row r="439" spans="4:32" ht="15.6">
      <c r="D439" s="93"/>
      <c r="E439" s="93"/>
      <c r="F439" s="93"/>
      <c r="G439" s="93"/>
      <c r="H439" s="93"/>
      <c r="AF439" s="103"/>
    </row>
    <row r="440" spans="4:32" ht="15.6">
      <c r="D440" s="93"/>
      <c r="E440" s="93"/>
      <c r="F440" s="93"/>
      <c r="G440" s="93"/>
      <c r="H440" s="93"/>
      <c r="AF440" s="103"/>
    </row>
    <row r="441" spans="4:32" ht="15.6">
      <c r="D441" s="93"/>
      <c r="E441" s="93"/>
      <c r="F441" s="93"/>
      <c r="G441" s="93"/>
      <c r="H441" s="93"/>
      <c r="AF441" s="103"/>
    </row>
    <row r="442" spans="4:32" ht="15.6">
      <c r="D442" s="93"/>
      <c r="E442" s="93"/>
      <c r="F442" s="93"/>
      <c r="G442" s="93"/>
      <c r="H442" s="93"/>
      <c r="AF442" s="103"/>
    </row>
    <row r="443" spans="4:32" ht="15.6">
      <c r="D443" s="93"/>
      <c r="E443" s="93"/>
      <c r="F443" s="93"/>
      <c r="G443" s="93"/>
      <c r="H443" s="93"/>
      <c r="AF443" s="103"/>
    </row>
    <row r="444" spans="4:32" ht="15.6">
      <c r="D444" s="93"/>
      <c r="E444" s="93"/>
      <c r="F444" s="93"/>
      <c r="G444" s="93"/>
      <c r="H444" s="93"/>
      <c r="AF444" s="103"/>
    </row>
    <row r="445" spans="4:32" ht="15.6">
      <c r="D445" s="93"/>
      <c r="E445" s="93"/>
      <c r="F445" s="93"/>
      <c r="G445" s="93"/>
      <c r="H445" s="93"/>
      <c r="AF445" s="103"/>
    </row>
    <row r="446" spans="4:32" ht="15.6">
      <c r="D446" s="93"/>
      <c r="E446" s="93"/>
      <c r="F446" s="93"/>
      <c r="G446" s="93"/>
      <c r="H446" s="93"/>
      <c r="AF446" s="103"/>
    </row>
    <row r="447" spans="4:32" ht="15.6">
      <c r="D447" s="93"/>
      <c r="E447" s="93"/>
      <c r="F447" s="93"/>
      <c r="G447" s="93"/>
      <c r="H447" s="93"/>
      <c r="AF447" s="103"/>
    </row>
    <row r="448" spans="4:32" ht="15.6">
      <c r="D448" s="93"/>
      <c r="E448" s="93"/>
      <c r="F448" s="93"/>
      <c r="G448" s="93"/>
      <c r="H448" s="93"/>
      <c r="AF448" s="103"/>
    </row>
    <row r="449" spans="4:32" ht="15.6">
      <c r="D449" s="93"/>
      <c r="E449" s="93"/>
      <c r="F449" s="93"/>
      <c r="G449" s="93"/>
      <c r="H449" s="93"/>
      <c r="AF449" s="103"/>
    </row>
    <row r="450" spans="4:32" ht="15.6">
      <c r="D450" s="93"/>
      <c r="E450" s="93"/>
      <c r="F450" s="93"/>
      <c r="G450" s="93"/>
      <c r="H450" s="93"/>
      <c r="AF450" s="103"/>
    </row>
    <row r="451" spans="4:32" ht="15.6">
      <c r="D451" s="93"/>
      <c r="E451" s="93"/>
      <c r="F451" s="93"/>
      <c r="G451" s="93"/>
      <c r="H451" s="93"/>
      <c r="AF451" s="103"/>
    </row>
    <row r="452" spans="4:32" ht="15.6">
      <c r="D452" s="93"/>
      <c r="E452" s="93"/>
      <c r="F452" s="93"/>
      <c r="G452" s="93"/>
      <c r="H452" s="93"/>
      <c r="AF452" s="103"/>
    </row>
    <row r="453" spans="4:32" ht="15.6">
      <c r="D453" s="93"/>
      <c r="E453" s="93"/>
      <c r="F453" s="93"/>
      <c r="G453" s="93"/>
      <c r="H453" s="93"/>
      <c r="AF453" s="103"/>
    </row>
    <row r="454" spans="4:32" ht="15.6">
      <c r="D454" s="93"/>
      <c r="E454" s="93"/>
      <c r="F454" s="93"/>
      <c r="G454" s="93"/>
      <c r="H454" s="93"/>
      <c r="AF454" s="103"/>
    </row>
    <row r="455" spans="4:32" ht="15.6">
      <c r="D455" s="93"/>
      <c r="E455" s="93"/>
      <c r="F455" s="93"/>
      <c r="G455" s="93"/>
      <c r="H455" s="93"/>
      <c r="AF455" s="103"/>
    </row>
    <row r="456" spans="4:32" ht="15.6">
      <c r="D456" s="93"/>
      <c r="E456" s="93"/>
      <c r="F456" s="93"/>
      <c r="G456" s="93"/>
      <c r="H456" s="93"/>
      <c r="AF456" s="103"/>
    </row>
    <row r="457" spans="4:32" ht="15.6">
      <c r="D457" s="93"/>
      <c r="E457" s="93"/>
      <c r="F457" s="93"/>
      <c r="G457" s="93"/>
      <c r="H457" s="93"/>
      <c r="AF457" s="103"/>
    </row>
    <row r="458" spans="4:32" ht="15.6">
      <c r="D458" s="93"/>
      <c r="E458" s="93"/>
      <c r="F458" s="93"/>
      <c r="G458" s="93"/>
      <c r="H458" s="93"/>
      <c r="AF458" s="103"/>
    </row>
    <row r="459" spans="4:32" ht="15.6">
      <c r="D459" s="93"/>
      <c r="E459" s="93"/>
      <c r="F459" s="93"/>
      <c r="G459" s="93"/>
      <c r="H459" s="93"/>
      <c r="AF459" s="103"/>
    </row>
    <row r="460" spans="4:32" ht="15.6">
      <c r="D460" s="93"/>
      <c r="E460" s="93"/>
      <c r="F460" s="93"/>
      <c r="G460" s="93"/>
      <c r="H460" s="93"/>
      <c r="AF460" s="103"/>
    </row>
    <row r="461" spans="4:32" ht="15.6">
      <c r="D461" s="93"/>
      <c r="E461" s="93"/>
      <c r="F461" s="93"/>
      <c r="G461" s="93"/>
      <c r="H461" s="93"/>
      <c r="AF461" s="103"/>
    </row>
    <row r="462" spans="4:32" ht="15.6">
      <c r="D462" s="93"/>
      <c r="E462" s="93"/>
      <c r="F462" s="93"/>
      <c r="G462" s="93"/>
      <c r="H462" s="93"/>
      <c r="AF462" s="103"/>
    </row>
    <row r="463" spans="4:32" ht="15.6">
      <c r="D463" s="93"/>
      <c r="E463" s="93"/>
      <c r="F463" s="93"/>
      <c r="G463" s="93"/>
      <c r="H463" s="93"/>
      <c r="AF463" s="103"/>
    </row>
    <row r="464" spans="4:32" ht="15.6">
      <c r="D464" s="93"/>
      <c r="E464" s="93"/>
      <c r="F464" s="93"/>
      <c r="G464" s="93"/>
      <c r="H464" s="93"/>
      <c r="AF464" s="103"/>
    </row>
    <row r="465" spans="4:32" ht="15.6">
      <c r="D465" s="93"/>
      <c r="E465" s="93"/>
      <c r="F465" s="93"/>
      <c r="G465" s="93"/>
      <c r="H465" s="93"/>
      <c r="AF465" s="103"/>
    </row>
    <row r="466" spans="4:32" ht="15.6">
      <c r="D466" s="93"/>
      <c r="E466" s="93"/>
      <c r="F466" s="93"/>
      <c r="G466" s="93"/>
      <c r="H466" s="93"/>
      <c r="AF466" s="103"/>
    </row>
    <row r="467" spans="4:32" ht="15.6">
      <c r="D467" s="93"/>
      <c r="E467" s="93"/>
      <c r="F467" s="93"/>
      <c r="G467" s="93"/>
      <c r="H467" s="93"/>
      <c r="AF467" s="103"/>
    </row>
    <row r="468" spans="4:32" ht="15.6">
      <c r="D468" s="93"/>
      <c r="E468" s="93"/>
      <c r="F468" s="93"/>
      <c r="G468" s="93"/>
      <c r="H468" s="93"/>
      <c r="AF468" s="103"/>
    </row>
    <row r="469" spans="4:32" ht="15.6">
      <c r="D469" s="93"/>
      <c r="E469" s="93"/>
      <c r="F469" s="93"/>
      <c r="G469" s="93"/>
      <c r="H469" s="93"/>
      <c r="AF469" s="103"/>
    </row>
    <row r="470" spans="4:32" ht="15.6">
      <c r="D470" s="93"/>
      <c r="E470" s="93"/>
      <c r="F470" s="93"/>
      <c r="G470" s="93"/>
      <c r="H470" s="93"/>
      <c r="AF470" s="103"/>
    </row>
    <row r="471" spans="4:32" ht="15.6">
      <c r="D471" s="93"/>
      <c r="E471" s="93"/>
      <c r="F471" s="93"/>
      <c r="G471" s="93"/>
      <c r="H471" s="93"/>
      <c r="AF471" s="103"/>
    </row>
    <row r="472" spans="4:32" ht="15.6">
      <c r="D472" s="93"/>
      <c r="E472" s="93"/>
      <c r="F472" s="93"/>
      <c r="G472" s="93"/>
      <c r="H472" s="93"/>
      <c r="AF472" s="103"/>
    </row>
    <row r="473" spans="4:32" ht="15.6">
      <c r="D473" s="93"/>
      <c r="E473" s="93"/>
      <c r="F473" s="93"/>
      <c r="G473" s="93"/>
      <c r="H473" s="93"/>
      <c r="AF473" s="103"/>
    </row>
    <row r="474" spans="4:32" ht="15.6">
      <c r="D474" s="93"/>
      <c r="E474" s="93"/>
      <c r="F474" s="93"/>
      <c r="G474" s="93"/>
      <c r="H474" s="93"/>
      <c r="AF474" s="103"/>
    </row>
    <row r="475" spans="4:32" ht="15.6">
      <c r="D475" s="93"/>
      <c r="E475" s="93"/>
      <c r="F475" s="93"/>
      <c r="G475" s="93"/>
      <c r="H475" s="93"/>
      <c r="AF475" s="103"/>
    </row>
    <row r="476" spans="4:32" ht="15.6">
      <c r="D476" s="93"/>
      <c r="E476" s="93"/>
      <c r="F476" s="93"/>
      <c r="G476" s="93"/>
      <c r="H476" s="93"/>
      <c r="AF476" s="103"/>
    </row>
    <row r="477" spans="4:32" ht="15.6">
      <c r="D477" s="93"/>
      <c r="E477" s="93"/>
      <c r="F477" s="93"/>
      <c r="G477" s="93"/>
      <c r="H477" s="93"/>
      <c r="AF477" s="103"/>
    </row>
    <row r="478" spans="4:32" ht="15.6">
      <c r="D478" s="93"/>
      <c r="E478" s="93"/>
      <c r="F478" s="93"/>
      <c r="G478" s="93"/>
      <c r="H478" s="93"/>
      <c r="AF478" s="103"/>
    </row>
    <row r="479" spans="4:32" ht="15.6">
      <c r="D479" s="93"/>
      <c r="E479" s="93"/>
      <c r="F479" s="93"/>
      <c r="G479" s="93"/>
      <c r="H479" s="93"/>
      <c r="AF479" s="103"/>
    </row>
    <row r="480" spans="4:32" ht="15.6">
      <c r="D480" s="93"/>
      <c r="E480" s="93"/>
      <c r="F480" s="93"/>
      <c r="G480" s="93"/>
      <c r="H480" s="93"/>
      <c r="AF480" s="103"/>
    </row>
    <row r="481" spans="4:32" ht="15.6">
      <c r="D481" s="93"/>
      <c r="E481" s="93"/>
      <c r="F481" s="93"/>
      <c r="G481" s="93"/>
      <c r="H481" s="93"/>
      <c r="AF481" s="103"/>
    </row>
    <row r="482" spans="4:32" ht="15.6">
      <c r="D482" s="93"/>
      <c r="E482" s="93"/>
      <c r="F482" s="93"/>
      <c r="G482" s="93"/>
      <c r="H482" s="93"/>
      <c r="AF482" s="103"/>
    </row>
    <row r="483" spans="4:32" ht="15.6">
      <c r="D483" s="93"/>
      <c r="E483" s="93"/>
      <c r="F483" s="93"/>
      <c r="G483" s="93"/>
      <c r="H483" s="93"/>
      <c r="AF483" s="103"/>
    </row>
    <row r="484" spans="4:32" ht="15.6">
      <c r="D484" s="93"/>
      <c r="E484" s="93"/>
      <c r="F484" s="93"/>
      <c r="G484" s="93"/>
      <c r="H484" s="93"/>
      <c r="AF484" s="103"/>
    </row>
    <row r="485" spans="4:32" ht="15.6">
      <c r="D485" s="93"/>
      <c r="E485" s="93"/>
      <c r="F485" s="93"/>
      <c r="G485" s="93"/>
      <c r="H485" s="93"/>
      <c r="AF485" s="103"/>
    </row>
    <row r="486" spans="4:32" ht="15.6">
      <c r="D486" s="93"/>
      <c r="E486" s="93"/>
      <c r="F486" s="93"/>
      <c r="G486" s="93"/>
      <c r="H486" s="93"/>
      <c r="AF486" s="103"/>
    </row>
    <row r="487" spans="4:32" ht="15.6">
      <c r="D487" s="93"/>
      <c r="E487" s="93"/>
      <c r="F487" s="93"/>
      <c r="G487" s="93"/>
      <c r="H487" s="93"/>
      <c r="AF487" s="103"/>
    </row>
    <row r="488" spans="4:32" ht="15.6">
      <c r="D488" s="93"/>
      <c r="E488" s="93"/>
      <c r="F488" s="93"/>
      <c r="G488" s="93"/>
      <c r="H488" s="93"/>
      <c r="AF488" s="103"/>
    </row>
    <row r="489" spans="4:32" ht="15.6">
      <c r="D489" s="93"/>
      <c r="E489" s="93"/>
      <c r="F489" s="93"/>
      <c r="G489" s="93"/>
      <c r="H489" s="93"/>
      <c r="AF489" s="103"/>
    </row>
    <row r="490" spans="4:32" ht="15.6">
      <c r="D490" s="93"/>
      <c r="E490" s="93"/>
      <c r="F490" s="93"/>
      <c r="G490" s="93"/>
      <c r="H490" s="93"/>
      <c r="AF490" s="103"/>
    </row>
    <row r="491" spans="4:32" ht="15.6">
      <c r="D491" s="93"/>
      <c r="E491" s="93"/>
      <c r="F491" s="93"/>
      <c r="G491" s="93"/>
      <c r="H491" s="93"/>
      <c r="AF491" s="103"/>
    </row>
    <row r="492" spans="4:32" ht="15.6">
      <c r="D492" s="93"/>
      <c r="E492" s="93"/>
      <c r="F492" s="93"/>
      <c r="G492" s="93"/>
      <c r="H492" s="93"/>
      <c r="AF492" s="103"/>
    </row>
    <row r="493" spans="4:32" ht="15.6">
      <c r="D493" s="93"/>
      <c r="E493" s="93"/>
      <c r="F493" s="93"/>
      <c r="G493" s="93"/>
      <c r="H493" s="93"/>
      <c r="AF493" s="103"/>
    </row>
    <row r="494" spans="4:32" ht="15.6">
      <c r="D494" s="93"/>
      <c r="E494" s="93"/>
      <c r="F494" s="93"/>
      <c r="G494" s="93"/>
      <c r="H494" s="93"/>
      <c r="AF494" s="103"/>
    </row>
    <row r="495" spans="4:32" ht="15.6">
      <c r="D495" s="93"/>
      <c r="E495" s="93"/>
      <c r="F495" s="93"/>
      <c r="G495" s="93"/>
      <c r="H495" s="93"/>
      <c r="AF495" s="103"/>
    </row>
    <row r="496" spans="4:32" ht="15.6">
      <c r="D496" s="93"/>
      <c r="E496" s="93"/>
      <c r="F496" s="93"/>
      <c r="G496" s="93"/>
      <c r="H496" s="93"/>
      <c r="AF496" s="103"/>
    </row>
    <row r="497" spans="4:32" ht="15.6">
      <c r="D497" s="93"/>
      <c r="E497" s="93"/>
      <c r="F497" s="93"/>
      <c r="G497" s="93"/>
      <c r="H497" s="93"/>
      <c r="AF497" s="103"/>
    </row>
    <row r="498" spans="4:32" ht="15.6">
      <c r="D498" s="93"/>
      <c r="E498" s="93"/>
      <c r="F498" s="93"/>
      <c r="G498" s="93"/>
      <c r="H498" s="93"/>
      <c r="AF498" s="103"/>
    </row>
    <row r="499" spans="4:32" ht="15.6">
      <c r="D499" s="93"/>
      <c r="E499" s="93"/>
      <c r="F499" s="93"/>
      <c r="G499" s="93"/>
      <c r="H499" s="93"/>
      <c r="AF499" s="103"/>
    </row>
    <row r="500" spans="4:32" ht="15.6">
      <c r="D500" s="93"/>
      <c r="E500" s="93"/>
      <c r="F500" s="93"/>
      <c r="G500" s="93"/>
      <c r="H500" s="93"/>
      <c r="AF500" s="103"/>
    </row>
    <row r="501" spans="4:32" ht="15.6">
      <c r="D501" s="93"/>
      <c r="E501" s="93"/>
      <c r="F501" s="93"/>
      <c r="G501" s="93"/>
      <c r="H501" s="93"/>
      <c r="AF501" s="103"/>
    </row>
    <row r="502" spans="4:32" ht="15.6">
      <c r="D502" s="93"/>
      <c r="E502" s="93"/>
      <c r="F502" s="93"/>
      <c r="G502" s="93"/>
      <c r="H502" s="93"/>
      <c r="AF502" s="103"/>
    </row>
    <row r="503" spans="4:32" ht="15.6">
      <c r="D503" s="93"/>
      <c r="E503" s="93"/>
      <c r="F503" s="93"/>
      <c r="G503" s="93"/>
      <c r="H503" s="93"/>
      <c r="AF503" s="103"/>
    </row>
    <row r="504" spans="4:32" ht="15.6">
      <c r="D504" s="93"/>
      <c r="E504" s="93"/>
      <c r="F504" s="93"/>
      <c r="G504" s="93"/>
      <c r="H504" s="93"/>
      <c r="AF504" s="103"/>
    </row>
    <row r="505" spans="4:32" ht="15.6">
      <c r="D505" s="93"/>
      <c r="E505" s="93"/>
      <c r="F505" s="93"/>
      <c r="G505" s="93"/>
      <c r="H505" s="93"/>
      <c r="AF505" s="103"/>
    </row>
    <row r="506" spans="4:32" ht="15.6">
      <c r="D506" s="93"/>
      <c r="E506" s="93"/>
      <c r="F506" s="93"/>
      <c r="G506" s="93"/>
      <c r="H506" s="93"/>
      <c r="AF506" s="103"/>
    </row>
    <row r="507" spans="4:32" ht="15.6">
      <c r="D507" s="93"/>
      <c r="E507" s="93"/>
      <c r="F507" s="93"/>
      <c r="G507" s="93"/>
      <c r="H507" s="93"/>
      <c r="AF507" s="103"/>
    </row>
    <row r="508" spans="4:32" ht="15.6">
      <c r="D508" s="93"/>
      <c r="E508" s="93"/>
      <c r="F508" s="93"/>
      <c r="G508" s="93"/>
      <c r="H508" s="93"/>
      <c r="AF508" s="103"/>
    </row>
    <row r="509" spans="4:32" ht="15.6">
      <c r="D509" s="93"/>
      <c r="E509" s="93"/>
      <c r="F509" s="93"/>
      <c r="G509" s="93"/>
      <c r="H509" s="93"/>
      <c r="AF509" s="103"/>
    </row>
    <row r="510" spans="4:32" ht="15.6">
      <c r="D510" s="93"/>
      <c r="E510" s="93"/>
      <c r="F510" s="93"/>
      <c r="G510" s="93"/>
      <c r="H510" s="93"/>
      <c r="AF510" s="103"/>
    </row>
    <row r="511" spans="4:32" ht="15.6">
      <c r="D511" s="93"/>
      <c r="E511" s="93"/>
      <c r="F511" s="93"/>
      <c r="G511" s="93"/>
      <c r="H511" s="93"/>
      <c r="AF511" s="103"/>
    </row>
    <row r="512" spans="4:32" ht="15.6">
      <c r="D512" s="93"/>
      <c r="E512" s="93"/>
      <c r="F512" s="93"/>
      <c r="G512" s="93"/>
      <c r="H512" s="93"/>
      <c r="AF512" s="103"/>
    </row>
    <row r="513" spans="4:32" ht="15.6">
      <c r="D513" s="93"/>
      <c r="E513" s="93"/>
      <c r="F513" s="93"/>
      <c r="G513" s="93"/>
      <c r="H513" s="93"/>
      <c r="AF513" s="103"/>
    </row>
    <row r="514" spans="4:32" ht="15.6">
      <c r="D514" s="93"/>
      <c r="E514" s="93"/>
      <c r="F514" s="93"/>
      <c r="G514" s="93"/>
      <c r="H514" s="93"/>
      <c r="AF514" s="103"/>
    </row>
    <row r="515" spans="4:32" ht="15.6">
      <c r="D515" s="93"/>
      <c r="E515" s="93"/>
      <c r="F515" s="93"/>
      <c r="G515" s="93"/>
      <c r="H515" s="93"/>
      <c r="AF515" s="103"/>
    </row>
    <row r="516" spans="4:32" ht="15.6">
      <c r="D516" s="93"/>
      <c r="E516" s="93"/>
      <c r="F516" s="93"/>
      <c r="G516" s="93"/>
      <c r="H516" s="93"/>
      <c r="AF516" s="103"/>
    </row>
    <row r="517" spans="4:32" ht="15.6">
      <c r="D517" s="93"/>
      <c r="E517" s="93"/>
      <c r="F517" s="93"/>
      <c r="G517" s="93"/>
      <c r="H517" s="93"/>
      <c r="AF517" s="103"/>
    </row>
    <row r="518" spans="4:32" ht="15.6">
      <c r="D518" s="93"/>
      <c r="E518" s="93"/>
      <c r="F518" s="93"/>
      <c r="G518" s="93"/>
      <c r="H518" s="93"/>
      <c r="AF518" s="103"/>
    </row>
    <row r="519" spans="4:32" ht="15.6">
      <c r="D519" s="93"/>
      <c r="E519" s="93"/>
      <c r="F519" s="93"/>
      <c r="G519" s="93"/>
      <c r="H519" s="93"/>
      <c r="AF519" s="103"/>
    </row>
    <row r="520" spans="4:32" ht="15.6">
      <c r="D520" s="93"/>
      <c r="E520" s="93"/>
      <c r="F520" s="93"/>
      <c r="G520" s="93"/>
      <c r="H520" s="93"/>
      <c r="AF520" s="103"/>
    </row>
    <row r="521" spans="4:32" ht="15.6">
      <c r="D521" s="93"/>
      <c r="E521" s="93"/>
      <c r="F521" s="93"/>
      <c r="G521" s="93"/>
      <c r="H521" s="93"/>
      <c r="AF521" s="103"/>
    </row>
    <row r="522" spans="4:32" ht="15.6">
      <c r="D522" s="93"/>
      <c r="E522" s="93"/>
      <c r="F522" s="93"/>
      <c r="G522" s="93"/>
      <c r="H522" s="93"/>
      <c r="AF522" s="103"/>
    </row>
    <row r="523" spans="4:32" ht="15.6">
      <c r="D523" s="93"/>
      <c r="E523" s="93"/>
      <c r="F523" s="93"/>
      <c r="G523" s="93"/>
      <c r="H523" s="93"/>
      <c r="AF523" s="103"/>
    </row>
    <row r="524" spans="4:32" ht="15.6">
      <c r="D524" s="93"/>
      <c r="E524" s="93"/>
      <c r="F524" s="93"/>
      <c r="G524" s="93"/>
      <c r="H524" s="93"/>
      <c r="AF524" s="103"/>
    </row>
    <row r="525" spans="4:32" ht="15.6">
      <c r="D525" s="93"/>
      <c r="E525" s="93"/>
      <c r="F525" s="93"/>
      <c r="G525" s="93"/>
      <c r="H525" s="93"/>
      <c r="AF525" s="103"/>
    </row>
    <row r="526" spans="4:32" ht="15.6">
      <c r="D526" s="93"/>
      <c r="E526" s="93"/>
      <c r="F526" s="93"/>
      <c r="G526" s="93"/>
      <c r="H526" s="93"/>
      <c r="AF526" s="103"/>
    </row>
    <row r="527" spans="4:32" ht="15.6">
      <c r="D527" s="93"/>
      <c r="E527" s="93"/>
      <c r="F527" s="93"/>
      <c r="G527" s="93"/>
      <c r="H527" s="93"/>
      <c r="AF527" s="103"/>
    </row>
    <row r="528" spans="4:32" ht="15.6">
      <c r="D528" s="93"/>
      <c r="E528" s="93"/>
      <c r="F528" s="93"/>
      <c r="G528" s="93"/>
      <c r="H528" s="93"/>
      <c r="AF528" s="103"/>
    </row>
    <row r="529" spans="4:32" ht="15.6">
      <c r="D529" s="93"/>
      <c r="E529" s="93"/>
      <c r="F529" s="93"/>
      <c r="G529" s="93"/>
      <c r="H529" s="93"/>
      <c r="AF529" s="103"/>
    </row>
    <row r="530" spans="4:32" ht="15.6">
      <c r="D530" s="93"/>
      <c r="E530" s="93"/>
      <c r="F530" s="93"/>
      <c r="G530" s="93"/>
      <c r="H530" s="93"/>
      <c r="AF530" s="103"/>
    </row>
    <row r="531" spans="4:32" ht="15.6">
      <c r="D531" s="93"/>
      <c r="E531" s="93"/>
      <c r="F531" s="93"/>
      <c r="G531" s="93"/>
      <c r="H531" s="93"/>
      <c r="AF531" s="103"/>
    </row>
    <row r="532" spans="4:32" ht="15.6">
      <c r="D532" s="93"/>
      <c r="E532" s="93"/>
      <c r="F532" s="93"/>
      <c r="G532" s="93"/>
      <c r="H532" s="93"/>
      <c r="AF532" s="103"/>
    </row>
    <row r="533" spans="4:32" ht="15.6">
      <c r="D533" s="93"/>
      <c r="E533" s="93"/>
      <c r="F533" s="93"/>
      <c r="G533" s="93"/>
      <c r="H533" s="93"/>
      <c r="AF533" s="103"/>
    </row>
    <row r="534" spans="4:32" ht="15.6">
      <c r="D534" s="93"/>
      <c r="E534" s="93"/>
      <c r="F534" s="93"/>
      <c r="G534" s="93"/>
      <c r="H534" s="93"/>
      <c r="AF534" s="103"/>
    </row>
    <row r="535" spans="4:32" ht="15.6">
      <c r="D535" s="93"/>
      <c r="E535" s="93"/>
      <c r="F535" s="93"/>
      <c r="G535" s="93"/>
      <c r="H535" s="93"/>
      <c r="AF535" s="103"/>
    </row>
    <row r="536" spans="4:32" ht="15.6">
      <c r="D536" s="93"/>
      <c r="E536" s="93"/>
      <c r="F536" s="93"/>
      <c r="G536" s="93"/>
      <c r="H536" s="93"/>
      <c r="AF536" s="103"/>
    </row>
    <row r="537" spans="4:32" ht="15.6">
      <c r="D537" s="93"/>
      <c r="E537" s="93"/>
      <c r="F537" s="93"/>
      <c r="G537" s="93"/>
      <c r="H537" s="93"/>
      <c r="AF537" s="103"/>
    </row>
    <row r="538" spans="4:32" ht="15.6">
      <c r="D538" s="93"/>
      <c r="E538" s="93"/>
      <c r="F538" s="93"/>
      <c r="G538" s="93"/>
      <c r="H538" s="93"/>
      <c r="AF538" s="103"/>
    </row>
    <row r="539" spans="4:32" ht="15.6">
      <c r="D539" s="93"/>
      <c r="E539" s="93"/>
      <c r="F539" s="93"/>
      <c r="G539" s="93"/>
      <c r="H539" s="93"/>
      <c r="AF539" s="103"/>
    </row>
    <row r="540" spans="4:32" ht="15.6">
      <c r="D540" s="93"/>
      <c r="E540" s="93"/>
      <c r="F540" s="93"/>
      <c r="G540" s="93"/>
      <c r="H540" s="93"/>
      <c r="AF540" s="103"/>
    </row>
    <row r="541" spans="4:32" ht="15.6">
      <c r="D541" s="93"/>
      <c r="E541" s="93"/>
      <c r="F541" s="93"/>
      <c r="G541" s="93"/>
      <c r="H541" s="93"/>
      <c r="AF541" s="103"/>
    </row>
    <row r="542" spans="4:32" ht="15.6">
      <c r="D542" s="93"/>
      <c r="E542" s="93"/>
      <c r="F542" s="93"/>
      <c r="G542" s="93"/>
      <c r="H542" s="93"/>
      <c r="AF542" s="103"/>
    </row>
    <row r="543" spans="4:32" ht="15.6">
      <c r="D543" s="93"/>
      <c r="E543" s="93"/>
      <c r="F543" s="93"/>
      <c r="G543" s="93"/>
      <c r="H543" s="93"/>
      <c r="AF543" s="103"/>
    </row>
    <row r="544" spans="4:32" ht="15.6">
      <c r="D544" s="93"/>
      <c r="E544" s="93"/>
      <c r="F544" s="93"/>
      <c r="G544" s="93"/>
      <c r="H544" s="93"/>
      <c r="AF544" s="103"/>
    </row>
    <row r="545" spans="4:32" ht="15.6">
      <c r="D545" s="93"/>
      <c r="E545" s="93"/>
      <c r="F545" s="93"/>
      <c r="G545" s="93"/>
      <c r="H545" s="93"/>
      <c r="AF545" s="103"/>
    </row>
    <row r="546" spans="4:32" ht="15.6">
      <c r="D546" s="93"/>
      <c r="E546" s="93"/>
      <c r="F546" s="93"/>
      <c r="G546" s="93"/>
      <c r="H546" s="93"/>
      <c r="AF546" s="103"/>
    </row>
    <row r="547" spans="4:32" ht="15.6">
      <c r="D547" s="93"/>
      <c r="E547" s="93"/>
      <c r="F547" s="93"/>
      <c r="G547" s="93"/>
      <c r="H547" s="93"/>
      <c r="AF547" s="103"/>
    </row>
    <row r="548" spans="4:32" ht="15.6">
      <c r="D548" s="93"/>
      <c r="E548" s="93"/>
      <c r="F548" s="93"/>
      <c r="G548" s="93"/>
      <c r="H548" s="93"/>
      <c r="AF548" s="103"/>
    </row>
    <row r="549" spans="4:32" ht="15.6">
      <c r="D549" s="93"/>
      <c r="E549" s="93"/>
      <c r="F549" s="93"/>
      <c r="G549" s="93"/>
      <c r="H549" s="93"/>
      <c r="AF549" s="103"/>
    </row>
    <row r="550" spans="4:32" ht="15.6">
      <c r="D550" s="93"/>
      <c r="E550" s="93"/>
      <c r="F550" s="93"/>
      <c r="G550" s="93"/>
      <c r="H550" s="93"/>
      <c r="AF550" s="103"/>
    </row>
    <row r="551" spans="4:32" ht="15.6">
      <c r="D551" s="93"/>
      <c r="E551" s="93"/>
      <c r="F551" s="93"/>
      <c r="G551" s="93"/>
      <c r="H551" s="93"/>
      <c r="AF551" s="103"/>
    </row>
    <row r="552" spans="4:32" ht="15.6">
      <c r="D552" s="93"/>
      <c r="E552" s="93"/>
      <c r="F552" s="93"/>
      <c r="G552" s="93"/>
      <c r="H552" s="93"/>
      <c r="AF552" s="103"/>
    </row>
    <row r="553" spans="4:32" ht="15.6">
      <c r="D553" s="93"/>
      <c r="E553" s="93"/>
      <c r="F553" s="93"/>
      <c r="G553" s="93"/>
      <c r="H553" s="93"/>
      <c r="AF553" s="103"/>
    </row>
    <row r="554" spans="4:32" ht="15.6">
      <c r="D554" s="93"/>
      <c r="E554" s="93"/>
      <c r="F554" s="93"/>
      <c r="G554" s="93"/>
      <c r="H554" s="93"/>
      <c r="AF554" s="103"/>
    </row>
    <row r="555" spans="4:32" ht="15.6">
      <c r="D555" s="93"/>
      <c r="E555" s="93"/>
      <c r="F555" s="93"/>
      <c r="G555" s="93"/>
      <c r="H555" s="93"/>
      <c r="AF555" s="103"/>
    </row>
    <row r="556" spans="4:32" ht="15.6">
      <c r="D556" s="93"/>
      <c r="E556" s="93"/>
      <c r="F556" s="93"/>
      <c r="G556" s="93"/>
      <c r="H556" s="93"/>
      <c r="AF556" s="103"/>
    </row>
    <row r="557" spans="4:32" ht="15.6">
      <c r="D557" s="93"/>
      <c r="E557" s="93"/>
      <c r="F557" s="93"/>
      <c r="G557" s="93"/>
      <c r="H557" s="93"/>
      <c r="AF557" s="103"/>
    </row>
    <row r="558" spans="4:32" ht="15.6">
      <c r="D558" s="93"/>
      <c r="E558" s="93"/>
      <c r="F558" s="93"/>
      <c r="G558" s="93"/>
      <c r="H558" s="93"/>
      <c r="AF558" s="103"/>
    </row>
    <row r="559" spans="4:32" ht="15.6">
      <c r="D559" s="93"/>
      <c r="E559" s="93"/>
      <c r="F559" s="93"/>
      <c r="G559" s="93"/>
      <c r="H559" s="93"/>
      <c r="AF559" s="103"/>
    </row>
    <row r="560" spans="4:32" ht="15.6">
      <c r="D560" s="93"/>
      <c r="E560" s="93"/>
      <c r="F560" s="93"/>
      <c r="G560" s="93"/>
      <c r="H560" s="93"/>
      <c r="AF560" s="103"/>
    </row>
    <row r="561" spans="4:32" ht="15.6">
      <c r="D561" s="93"/>
      <c r="E561" s="93"/>
      <c r="F561" s="93"/>
      <c r="G561" s="93"/>
      <c r="H561" s="93"/>
      <c r="AF561" s="103"/>
    </row>
    <row r="562" spans="4:32" ht="15.6">
      <c r="D562" s="93"/>
      <c r="E562" s="93"/>
      <c r="F562" s="93"/>
      <c r="G562" s="93"/>
      <c r="H562" s="93"/>
      <c r="AF562" s="103"/>
    </row>
    <row r="563" spans="4:32" ht="15.6">
      <c r="D563" s="93"/>
      <c r="E563" s="93"/>
      <c r="F563" s="93"/>
      <c r="G563" s="93"/>
      <c r="H563" s="93"/>
      <c r="AF563" s="103"/>
    </row>
    <row r="564" spans="4:32" ht="15.6">
      <c r="D564" s="93"/>
      <c r="E564" s="93"/>
      <c r="F564" s="93"/>
      <c r="G564" s="93"/>
      <c r="H564" s="93"/>
      <c r="AF564" s="103"/>
    </row>
    <row r="565" spans="4:32" ht="15.6">
      <c r="D565" s="93"/>
      <c r="E565" s="93"/>
      <c r="F565" s="93"/>
      <c r="G565" s="93"/>
      <c r="H565" s="93"/>
      <c r="AF565" s="103"/>
    </row>
    <row r="566" spans="4:32" ht="15.6">
      <c r="D566" s="93"/>
      <c r="E566" s="93"/>
      <c r="F566" s="93"/>
      <c r="G566" s="93"/>
      <c r="H566" s="93"/>
      <c r="AF566" s="103"/>
    </row>
    <row r="567" spans="4:32" ht="15.6">
      <c r="D567" s="93"/>
      <c r="E567" s="93"/>
      <c r="F567" s="93"/>
      <c r="G567" s="93"/>
      <c r="H567" s="93"/>
      <c r="AF567" s="103"/>
    </row>
    <row r="568" spans="4:32" ht="15.6">
      <c r="D568" s="93"/>
      <c r="E568" s="93"/>
      <c r="F568" s="93"/>
      <c r="G568" s="93"/>
      <c r="H568" s="93"/>
      <c r="AF568" s="103"/>
    </row>
    <row r="569" spans="4:32" ht="15.6">
      <c r="D569" s="93"/>
      <c r="E569" s="93"/>
      <c r="F569" s="93"/>
      <c r="G569" s="93"/>
      <c r="H569" s="93"/>
      <c r="AF569" s="103"/>
    </row>
    <row r="570" spans="4:32" ht="15.6">
      <c r="D570" s="93"/>
      <c r="E570" s="93"/>
      <c r="F570" s="93"/>
      <c r="G570" s="93"/>
      <c r="H570" s="93"/>
      <c r="AF570" s="103"/>
    </row>
    <row r="571" spans="4:32" ht="15.6">
      <c r="D571" s="93"/>
      <c r="E571" s="93"/>
      <c r="F571" s="93"/>
      <c r="G571" s="93"/>
      <c r="H571" s="93"/>
      <c r="AF571" s="103"/>
    </row>
    <row r="572" spans="4:32" ht="15.6">
      <c r="D572" s="93"/>
      <c r="E572" s="93"/>
      <c r="F572" s="93"/>
      <c r="G572" s="93"/>
      <c r="H572" s="93"/>
      <c r="AF572" s="103"/>
    </row>
    <row r="573" spans="4:32" ht="15.6">
      <c r="D573" s="93"/>
      <c r="E573" s="93"/>
      <c r="F573" s="93"/>
      <c r="G573" s="93"/>
      <c r="H573" s="93"/>
      <c r="AF573" s="103"/>
    </row>
    <row r="574" spans="4:32" ht="15.6">
      <c r="D574" s="93"/>
      <c r="E574" s="93"/>
      <c r="F574" s="93"/>
      <c r="G574" s="93"/>
      <c r="H574" s="93"/>
      <c r="AF574" s="103"/>
    </row>
    <row r="575" spans="4:32" ht="15.6">
      <c r="D575" s="93"/>
      <c r="E575" s="93"/>
      <c r="F575" s="93"/>
      <c r="G575" s="93"/>
      <c r="H575" s="93"/>
      <c r="AF575" s="103"/>
    </row>
    <row r="576" spans="4:32" ht="15.6">
      <c r="D576" s="93"/>
      <c r="E576" s="93"/>
      <c r="F576" s="93"/>
      <c r="G576" s="93"/>
      <c r="H576" s="93"/>
      <c r="AF576" s="103"/>
    </row>
    <row r="577" spans="4:32" ht="15.6">
      <c r="D577" s="93"/>
      <c r="E577" s="93"/>
      <c r="F577" s="93"/>
      <c r="G577" s="93"/>
      <c r="H577" s="93"/>
      <c r="AF577" s="103"/>
    </row>
    <row r="578" spans="4:32" ht="15.6">
      <c r="D578" s="93"/>
      <c r="E578" s="93"/>
      <c r="F578" s="93"/>
      <c r="G578" s="93"/>
      <c r="H578" s="93"/>
      <c r="AF578" s="103"/>
    </row>
    <row r="579" spans="4:32" ht="15.6">
      <c r="D579" s="93"/>
      <c r="E579" s="93"/>
      <c r="F579" s="93"/>
      <c r="G579" s="93"/>
      <c r="H579" s="93"/>
      <c r="AF579" s="103"/>
    </row>
    <row r="580" spans="4:32" ht="15.6">
      <c r="D580" s="93"/>
      <c r="E580" s="93"/>
      <c r="F580" s="93"/>
      <c r="G580" s="93"/>
      <c r="H580" s="93"/>
      <c r="AF580" s="103"/>
    </row>
    <row r="581" spans="4:32" ht="15.6">
      <c r="D581" s="93"/>
      <c r="E581" s="93"/>
      <c r="F581" s="93"/>
      <c r="G581" s="93"/>
      <c r="H581" s="93"/>
      <c r="AF581" s="103"/>
    </row>
    <row r="582" spans="4:32" ht="15.6">
      <c r="D582" s="93"/>
      <c r="E582" s="93"/>
      <c r="F582" s="93"/>
      <c r="G582" s="93"/>
      <c r="H582" s="93"/>
      <c r="AF582" s="103"/>
    </row>
    <row r="583" spans="4:32" ht="15.6">
      <c r="D583" s="93"/>
      <c r="E583" s="93"/>
      <c r="F583" s="93"/>
      <c r="G583" s="93"/>
      <c r="H583" s="93"/>
      <c r="AF583" s="103"/>
    </row>
    <row r="584" spans="4:32" ht="15.6">
      <c r="D584" s="93"/>
      <c r="E584" s="93"/>
      <c r="F584" s="93"/>
      <c r="G584" s="93"/>
      <c r="H584" s="93"/>
      <c r="AF584" s="103"/>
    </row>
    <row r="585" spans="4:32" ht="15.6">
      <c r="D585" s="93"/>
      <c r="E585" s="93"/>
      <c r="F585" s="93"/>
      <c r="G585" s="93"/>
      <c r="H585" s="93"/>
      <c r="AF585" s="103"/>
    </row>
    <row r="586" spans="4:32" ht="15.6">
      <c r="D586" s="93"/>
      <c r="E586" s="93"/>
      <c r="F586" s="93"/>
      <c r="G586" s="93"/>
      <c r="H586" s="93"/>
      <c r="AF586" s="103"/>
    </row>
    <row r="587" spans="4:32" ht="15.6">
      <c r="D587" s="93"/>
      <c r="E587" s="93"/>
      <c r="F587" s="93"/>
      <c r="G587" s="93"/>
      <c r="H587" s="93"/>
      <c r="AF587" s="103"/>
    </row>
    <row r="588" spans="4:32" ht="15.6">
      <c r="D588" s="93"/>
      <c r="E588" s="93"/>
      <c r="F588" s="93"/>
      <c r="G588" s="93"/>
      <c r="H588" s="93"/>
      <c r="AF588" s="103"/>
    </row>
    <row r="589" spans="4:32" ht="15.6">
      <c r="D589" s="93"/>
      <c r="E589" s="93"/>
      <c r="F589" s="93"/>
      <c r="G589" s="93"/>
      <c r="H589" s="93"/>
      <c r="AF589" s="103"/>
    </row>
    <row r="590" spans="4:32" ht="15.6">
      <c r="D590" s="93"/>
      <c r="E590" s="93"/>
      <c r="F590" s="93"/>
      <c r="G590" s="93"/>
      <c r="H590" s="93"/>
      <c r="AF590" s="103"/>
    </row>
    <row r="591" spans="4:32" ht="15.6">
      <c r="D591" s="93"/>
      <c r="E591" s="93"/>
      <c r="F591" s="93"/>
      <c r="G591" s="93"/>
      <c r="H591" s="93"/>
      <c r="AF591" s="103"/>
    </row>
    <row r="592" spans="4:32" ht="15.6">
      <c r="D592" s="93"/>
      <c r="E592" s="93"/>
      <c r="F592" s="93"/>
      <c r="G592" s="93"/>
      <c r="H592" s="93"/>
      <c r="AF592" s="103"/>
    </row>
    <row r="593" spans="4:32" ht="15.6">
      <c r="D593" s="93"/>
      <c r="E593" s="93"/>
      <c r="F593" s="93"/>
      <c r="G593" s="93"/>
      <c r="H593" s="93"/>
      <c r="AF593" s="103"/>
    </row>
    <row r="594" spans="4:32" ht="15.6">
      <c r="D594" s="93"/>
      <c r="E594" s="93"/>
      <c r="F594" s="93"/>
      <c r="G594" s="93"/>
      <c r="H594" s="93"/>
      <c r="AF594" s="103"/>
    </row>
    <row r="595" spans="4:32" ht="15.6">
      <c r="D595" s="93"/>
      <c r="E595" s="93"/>
      <c r="F595" s="93"/>
      <c r="G595" s="93"/>
      <c r="H595" s="93"/>
      <c r="AF595" s="103"/>
    </row>
    <row r="596" spans="4:32" ht="15.6">
      <c r="D596" s="93"/>
      <c r="E596" s="93"/>
      <c r="F596" s="93"/>
      <c r="G596" s="93"/>
      <c r="H596" s="93"/>
      <c r="AF596" s="103"/>
    </row>
    <row r="597" spans="4:32" ht="15.6">
      <c r="D597" s="93"/>
      <c r="E597" s="93"/>
      <c r="F597" s="93"/>
      <c r="G597" s="93"/>
      <c r="H597" s="93"/>
      <c r="AF597" s="103"/>
    </row>
    <row r="598" spans="4:32" ht="15.6">
      <c r="D598" s="93"/>
      <c r="E598" s="93"/>
      <c r="F598" s="93"/>
      <c r="G598" s="93"/>
      <c r="H598" s="93"/>
      <c r="AF598" s="103"/>
    </row>
    <row r="599" spans="4:32" ht="15.6">
      <c r="D599" s="93"/>
      <c r="E599" s="93"/>
      <c r="F599" s="93"/>
      <c r="G599" s="93"/>
      <c r="H599" s="93"/>
      <c r="AF599" s="103"/>
    </row>
    <row r="600" spans="4:32" ht="15.6">
      <c r="D600" s="93"/>
      <c r="E600" s="93"/>
      <c r="F600" s="93"/>
      <c r="G600" s="93"/>
      <c r="H600" s="93"/>
      <c r="AF600" s="103"/>
    </row>
    <row r="601" spans="4:32" ht="15.6">
      <c r="D601" s="93"/>
      <c r="E601" s="93"/>
      <c r="F601" s="93"/>
      <c r="G601" s="93"/>
      <c r="H601" s="93"/>
      <c r="AF601" s="103"/>
    </row>
    <row r="602" spans="4:32" ht="15.6">
      <c r="D602" s="93"/>
      <c r="E602" s="93"/>
      <c r="F602" s="93"/>
      <c r="G602" s="93"/>
      <c r="H602" s="93"/>
      <c r="AF602" s="103"/>
    </row>
    <row r="603" spans="4:32" ht="15.6">
      <c r="D603" s="93"/>
      <c r="E603" s="93"/>
      <c r="F603" s="93"/>
      <c r="G603" s="93"/>
      <c r="H603" s="93"/>
      <c r="AF603" s="103"/>
    </row>
    <row r="604" spans="4:32" ht="15.6">
      <c r="D604" s="93"/>
      <c r="E604" s="93"/>
      <c r="F604" s="93"/>
      <c r="G604" s="93"/>
      <c r="H604" s="93"/>
      <c r="AF604" s="103"/>
    </row>
    <row r="605" spans="4:32" ht="15.6">
      <c r="D605" s="93"/>
      <c r="E605" s="93"/>
      <c r="F605" s="93"/>
      <c r="G605" s="93"/>
      <c r="H605" s="93"/>
      <c r="AF605" s="103"/>
    </row>
    <row r="606" spans="4:32" ht="15.6">
      <c r="D606" s="93"/>
      <c r="E606" s="93"/>
      <c r="F606" s="93"/>
      <c r="G606" s="93"/>
      <c r="H606" s="93"/>
      <c r="AF606" s="103"/>
    </row>
    <row r="607" spans="4:32" ht="15.6">
      <c r="D607" s="93"/>
      <c r="E607" s="93"/>
      <c r="F607" s="93"/>
      <c r="G607" s="93"/>
      <c r="H607" s="93"/>
      <c r="AF607" s="103"/>
    </row>
    <row r="608" spans="4:32" ht="15.6">
      <c r="D608" s="93"/>
      <c r="E608" s="93"/>
      <c r="F608" s="93"/>
      <c r="G608" s="93"/>
      <c r="H608" s="93"/>
      <c r="AF608" s="103"/>
    </row>
    <row r="609" spans="4:32" ht="15.6">
      <c r="D609" s="93"/>
      <c r="E609" s="93"/>
      <c r="F609" s="93"/>
      <c r="G609" s="93"/>
      <c r="H609" s="93"/>
      <c r="AF609" s="103"/>
    </row>
    <row r="610" spans="4:32" ht="15.6">
      <c r="D610" s="93"/>
      <c r="E610" s="93"/>
      <c r="F610" s="93"/>
      <c r="G610" s="93"/>
      <c r="H610" s="93"/>
      <c r="AF610" s="103"/>
    </row>
    <row r="611" spans="4:32" ht="15.6">
      <c r="D611" s="93"/>
      <c r="E611" s="93"/>
      <c r="F611" s="93"/>
      <c r="G611" s="93"/>
      <c r="H611" s="93"/>
      <c r="AF611" s="103"/>
    </row>
    <row r="612" spans="4:32" ht="15.6">
      <c r="D612" s="93"/>
      <c r="E612" s="93"/>
      <c r="F612" s="93"/>
      <c r="G612" s="93"/>
      <c r="H612" s="93"/>
      <c r="AF612" s="103"/>
    </row>
    <row r="613" spans="4:32" ht="15.6">
      <c r="D613" s="93"/>
      <c r="E613" s="93"/>
      <c r="F613" s="93"/>
      <c r="G613" s="93"/>
      <c r="H613" s="93"/>
      <c r="AF613" s="103"/>
    </row>
    <row r="614" spans="4:32" ht="15.6">
      <c r="D614" s="93"/>
      <c r="E614" s="93"/>
      <c r="F614" s="93"/>
      <c r="G614" s="93"/>
      <c r="H614" s="93"/>
      <c r="AF614" s="103"/>
    </row>
    <row r="615" spans="4:32" ht="15.6">
      <c r="D615" s="93"/>
      <c r="E615" s="93"/>
      <c r="F615" s="93"/>
      <c r="G615" s="93"/>
      <c r="H615" s="93"/>
      <c r="AF615" s="103"/>
    </row>
    <row r="616" spans="4:32" ht="15.6">
      <c r="D616" s="93"/>
      <c r="E616" s="93"/>
      <c r="F616" s="93"/>
      <c r="G616" s="93"/>
      <c r="H616" s="93"/>
      <c r="AF616" s="103"/>
    </row>
    <row r="617" spans="4:32" ht="15.6">
      <c r="D617" s="93"/>
      <c r="E617" s="93"/>
      <c r="F617" s="93"/>
      <c r="G617" s="93"/>
      <c r="H617" s="93"/>
      <c r="AF617" s="103"/>
    </row>
    <row r="618" spans="4:32" ht="15.6">
      <c r="D618" s="93"/>
      <c r="E618" s="93"/>
      <c r="F618" s="93"/>
      <c r="G618" s="93"/>
      <c r="H618" s="93"/>
      <c r="AF618" s="103"/>
    </row>
    <row r="619" spans="4:32" ht="15.6">
      <c r="D619" s="93"/>
      <c r="E619" s="93"/>
      <c r="F619" s="93"/>
      <c r="G619" s="93"/>
      <c r="H619" s="93"/>
      <c r="AF619" s="103"/>
    </row>
    <row r="620" spans="4:32" ht="15.6">
      <c r="D620" s="93"/>
      <c r="E620" s="93"/>
      <c r="F620" s="93"/>
      <c r="G620" s="93"/>
      <c r="H620" s="93"/>
      <c r="AF620" s="103"/>
    </row>
    <row r="621" spans="4:32" ht="15.6">
      <c r="D621" s="93"/>
      <c r="E621" s="93"/>
      <c r="F621" s="93"/>
      <c r="G621" s="93"/>
      <c r="H621" s="93"/>
      <c r="AF621" s="103"/>
    </row>
    <row r="622" spans="4:32" ht="15.6">
      <c r="D622" s="93"/>
      <c r="E622" s="93"/>
      <c r="F622" s="93"/>
      <c r="G622" s="93"/>
      <c r="H622" s="93"/>
      <c r="AF622" s="103"/>
    </row>
    <row r="623" spans="4:32" ht="15.6">
      <c r="D623" s="93"/>
      <c r="E623" s="93"/>
      <c r="F623" s="93"/>
      <c r="G623" s="93"/>
      <c r="H623" s="93"/>
      <c r="AF623" s="103"/>
    </row>
    <row r="624" spans="4:32" ht="15.6">
      <c r="D624" s="93"/>
      <c r="E624" s="93"/>
      <c r="F624" s="93"/>
      <c r="G624" s="93"/>
      <c r="H624" s="93"/>
      <c r="AF624" s="103"/>
    </row>
    <row r="625" spans="4:32" ht="15.6">
      <c r="D625" s="93"/>
      <c r="E625" s="93"/>
      <c r="F625" s="93"/>
      <c r="G625" s="93"/>
      <c r="H625" s="93"/>
      <c r="AF625" s="103"/>
    </row>
    <row r="626" spans="4:32" ht="15.6">
      <c r="D626" s="93"/>
      <c r="E626" s="93"/>
      <c r="F626" s="93"/>
      <c r="G626" s="93"/>
      <c r="H626" s="93"/>
      <c r="AF626" s="103"/>
    </row>
    <row r="627" spans="4:32" ht="15.6">
      <c r="D627" s="93"/>
      <c r="E627" s="93"/>
      <c r="F627" s="93"/>
      <c r="G627" s="93"/>
      <c r="H627" s="93"/>
      <c r="AF627" s="103"/>
    </row>
    <row r="628" spans="4:32" ht="15.6">
      <c r="D628" s="93"/>
      <c r="E628" s="93"/>
      <c r="F628" s="93"/>
      <c r="G628" s="93"/>
      <c r="H628" s="93"/>
      <c r="AF628" s="103"/>
    </row>
    <row r="629" spans="4:32" ht="15.6">
      <c r="D629" s="93"/>
      <c r="E629" s="93"/>
      <c r="F629" s="93"/>
      <c r="G629" s="93"/>
      <c r="H629" s="93"/>
      <c r="AF629" s="103"/>
    </row>
    <row r="630" spans="4:32" ht="15.6">
      <c r="D630" s="93"/>
      <c r="E630" s="93"/>
      <c r="F630" s="93"/>
      <c r="G630" s="93"/>
      <c r="H630" s="93"/>
      <c r="AF630" s="103"/>
    </row>
    <row r="631" spans="4:32" ht="15.6">
      <c r="D631" s="93"/>
      <c r="E631" s="93"/>
      <c r="F631" s="93"/>
      <c r="G631" s="93"/>
      <c r="H631" s="93"/>
      <c r="AF631" s="103"/>
    </row>
    <row r="632" spans="4:32" ht="15.6">
      <c r="D632" s="93"/>
      <c r="E632" s="93"/>
      <c r="F632" s="93"/>
      <c r="G632" s="93"/>
      <c r="H632" s="93"/>
      <c r="AF632" s="103"/>
    </row>
    <row r="633" spans="4:32" ht="15.6">
      <c r="D633" s="93"/>
      <c r="E633" s="93"/>
      <c r="F633" s="93"/>
      <c r="G633" s="93"/>
      <c r="H633" s="93"/>
      <c r="AF633" s="103"/>
    </row>
    <row r="634" spans="4:32" ht="15.6">
      <c r="D634" s="93"/>
      <c r="E634" s="93"/>
      <c r="F634" s="93"/>
      <c r="G634" s="93"/>
      <c r="H634" s="93"/>
      <c r="AF634" s="103"/>
    </row>
    <row r="635" spans="4:32" ht="15.6">
      <c r="D635" s="93"/>
      <c r="E635" s="93"/>
      <c r="F635" s="93"/>
      <c r="G635" s="93"/>
      <c r="H635" s="93"/>
      <c r="AF635" s="103"/>
    </row>
    <row r="636" spans="4:32" ht="15.6">
      <c r="D636" s="93"/>
      <c r="E636" s="93"/>
      <c r="F636" s="93"/>
      <c r="G636" s="93"/>
      <c r="H636" s="93"/>
      <c r="AF636" s="103"/>
    </row>
    <row r="637" spans="4:32" ht="15.6">
      <c r="D637" s="93"/>
      <c r="E637" s="93"/>
      <c r="F637" s="93"/>
      <c r="G637" s="93"/>
      <c r="H637" s="93"/>
      <c r="AF637" s="103"/>
    </row>
    <row r="638" spans="4:32" ht="15.6">
      <c r="D638" s="93"/>
      <c r="E638" s="93"/>
      <c r="F638" s="93"/>
      <c r="G638" s="93"/>
      <c r="H638" s="93"/>
      <c r="AF638" s="103"/>
    </row>
    <row r="639" spans="4:32" ht="15.6">
      <c r="D639" s="93"/>
      <c r="E639" s="93"/>
      <c r="F639" s="93"/>
      <c r="G639" s="93"/>
      <c r="H639" s="93"/>
      <c r="AF639" s="103"/>
    </row>
    <row r="640" spans="4:32" ht="15.6">
      <c r="D640" s="93"/>
      <c r="E640" s="93"/>
      <c r="F640" s="93"/>
      <c r="G640" s="93"/>
      <c r="H640" s="93"/>
      <c r="AF640" s="103"/>
    </row>
    <row r="641" spans="4:32" ht="15.6">
      <c r="D641" s="93"/>
      <c r="E641" s="93"/>
      <c r="F641" s="93"/>
      <c r="G641" s="93"/>
      <c r="H641" s="93"/>
      <c r="AF641" s="103"/>
    </row>
    <row r="642" spans="4:32" ht="15.6">
      <c r="D642" s="93"/>
      <c r="E642" s="93"/>
      <c r="F642" s="93"/>
      <c r="G642" s="93"/>
      <c r="H642" s="93"/>
      <c r="AF642" s="103"/>
    </row>
    <row r="643" spans="4:32" ht="15.6">
      <c r="D643" s="93"/>
      <c r="E643" s="93"/>
      <c r="F643" s="93"/>
      <c r="G643" s="93"/>
      <c r="H643" s="93"/>
      <c r="AF643" s="103"/>
    </row>
    <row r="644" spans="4:32" ht="15.6">
      <c r="D644" s="93"/>
      <c r="E644" s="93"/>
      <c r="F644" s="93"/>
      <c r="G644" s="93"/>
      <c r="H644" s="93"/>
      <c r="AF644" s="103"/>
    </row>
    <row r="645" spans="4:32" ht="15.6">
      <c r="D645" s="93"/>
      <c r="E645" s="93"/>
      <c r="F645" s="93"/>
      <c r="G645" s="93"/>
      <c r="H645" s="93"/>
      <c r="AF645" s="103"/>
    </row>
    <row r="646" spans="4:32" ht="15.6">
      <c r="D646" s="93"/>
      <c r="E646" s="93"/>
      <c r="F646" s="93"/>
      <c r="G646" s="93"/>
      <c r="H646" s="93"/>
      <c r="AF646" s="103"/>
    </row>
    <row r="647" spans="4:32" ht="15.6">
      <c r="D647" s="93"/>
      <c r="E647" s="93"/>
      <c r="F647" s="93"/>
      <c r="G647" s="93"/>
      <c r="H647" s="93"/>
      <c r="AF647" s="103"/>
    </row>
    <row r="648" spans="4:32" ht="15.6">
      <c r="D648" s="93"/>
      <c r="E648" s="93"/>
      <c r="F648" s="93"/>
      <c r="G648" s="93"/>
      <c r="H648" s="93"/>
      <c r="AF648" s="103"/>
    </row>
    <row r="649" spans="4:32" ht="15.6">
      <c r="D649" s="93"/>
      <c r="E649" s="93"/>
      <c r="F649" s="93"/>
      <c r="G649" s="93"/>
      <c r="H649" s="93"/>
      <c r="AF649" s="103"/>
    </row>
    <row r="650" spans="4:32" ht="15.6">
      <c r="D650" s="93"/>
      <c r="E650" s="93"/>
      <c r="F650" s="93"/>
      <c r="G650" s="93"/>
      <c r="H650" s="93"/>
      <c r="AF650" s="103"/>
    </row>
    <row r="651" spans="4:32" ht="15.6">
      <c r="D651" s="93"/>
      <c r="E651" s="93"/>
      <c r="F651" s="93"/>
      <c r="G651" s="93"/>
      <c r="H651" s="93"/>
      <c r="AF651" s="103"/>
    </row>
    <row r="652" spans="4:32" ht="15.6">
      <c r="D652" s="93"/>
      <c r="E652" s="93"/>
      <c r="F652" s="93"/>
      <c r="G652" s="93"/>
      <c r="H652" s="93"/>
      <c r="AF652" s="103"/>
    </row>
    <row r="653" spans="4:32" ht="15.6">
      <c r="D653" s="93"/>
      <c r="E653" s="93"/>
      <c r="F653" s="93"/>
      <c r="G653" s="93"/>
      <c r="H653" s="93"/>
      <c r="AF653" s="103"/>
    </row>
    <row r="654" spans="4:32" ht="15.6">
      <c r="D654" s="93"/>
      <c r="E654" s="93"/>
      <c r="F654" s="93"/>
      <c r="G654" s="93"/>
      <c r="H654" s="93"/>
      <c r="AF654" s="103"/>
    </row>
    <row r="655" spans="4:32" ht="15.6">
      <c r="D655" s="93"/>
      <c r="E655" s="93"/>
      <c r="F655" s="93"/>
      <c r="G655" s="93"/>
      <c r="H655" s="93"/>
      <c r="AF655" s="103"/>
    </row>
    <row r="656" spans="4:32" ht="15.6">
      <c r="D656" s="93"/>
      <c r="E656" s="93"/>
      <c r="F656" s="93"/>
      <c r="G656" s="93"/>
      <c r="H656" s="93"/>
      <c r="AF656" s="103"/>
    </row>
    <row r="657" spans="4:32" ht="15.6">
      <c r="D657" s="93"/>
      <c r="E657" s="93"/>
      <c r="F657" s="93"/>
      <c r="G657" s="93"/>
      <c r="H657" s="93"/>
      <c r="AF657" s="103"/>
    </row>
    <row r="658" spans="4:32" ht="15.6">
      <c r="D658" s="93"/>
      <c r="E658" s="93"/>
      <c r="F658" s="93"/>
      <c r="G658" s="93"/>
      <c r="H658" s="93"/>
      <c r="AF658" s="103"/>
    </row>
    <row r="659" spans="4:32" ht="15.6">
      <c r="D659" s="93"/>
      <c r="E659" s="93"/>
      <c r="F659" s="93"/>
      <c r="G659" s="93"/>
      <c r="H659" s="93"/>
      <c r="AF659" s="103"/>
    </row>
    <row r="660" spans="4:32" ht="15.6">
      <c r="D660" s="93"/>
      <c r="E660" s="93"/>
      <c r="F660" s="93"/>
      <c r="G660" s="93"/>
      <c r="H660" s="93"/>
      <c r="AF660" s="103"/>
    </row>
    <row r="661" spans="4:32" ht="15.6">
      <c r="D661" s="93"/>
      <c r="E661" s="93"/>
      <c r="F661" s="93"/>
      <c r="G661" s="93"/>
      <c r="H661" s="93"/>
      <c r="AF661" s="103"/>
    </row>
    <row r="662" spans="4:32" ht="15.6">
      <c r="D662" s="93"/>
      <c r="E662" s="93"/>
      <c r="F662" s="93"/>
      <c r="G662" s="93"/>
      <c r="H662" s="93"/>
      <c r="AF662" s="103"/>
    </row>
    <row r="663" spans="4:32" ht="15.6">
      <c r="D663" s="93"/>
      <c r="E663" s="93"/>
      <c r="F663" s="93"/>
      <c r="G663" s="93"/>
      <c r="H663" s="93"/>
      <c r="AF663" s="103"/>
    </row>
    <row r="664" spans="4:32" ht="15.6">
      <c r="D664" s="93"/>
      <c r="E664" s="93"/>
      <c r="F664" s="93"/>
      <c r="G664" s="93"/>
      <c r="H664" s="93"/>
      <c r="AF664" s="103"/>
    </row>
    <row r="665" spans="4:32" ht="15.6">
      <c r="D665" s="93"/>
      <c r="E665" s="93"/>
      <c r="F665" s="93"/>
      <c r="G665" s="93"/>
      <c r="H665" s="93"/>
      <c r="AF665" s="103"/>
    </row>
    <row r="666" spans="4:32" ht="15.6">
      <c r="D666" s="93"/>
      <c r="E666" s="93"/>
      <c r="F666" s="93"/>
      <c r="G666" s="93"/>
      <c r="H666" s="93"/>
      <c r="AF666" s="103"/>
    </row>
    <row r="667" spans="4:32" ht="15.6">
      <c r="D667" s="93"/>
      <c r="E667" s="93"/>
      <c r="F667" s="93"/>
      <c r="G667" s="93"/>
      <c r="H667" s="93"/>
      <c r="AF667" s="103"/>
    </row>
    <row r="668" spans="4:32" ht="15.6">
      <c r="D668" s="93"/>
      <c r="E668" s="93"/>
      <c r="F668" s="93"/>
      <c r="G668" s="93"/>
      <c r="H668" s="93"/>
      <c r="AF668" s="103"/>
    </row>
    <row r="669" spans="4:32" ht="15.6">
      <c r="D669" s="93"/>
      <c r="E669" s="93"/>
      <c r="F669" s="93"/>
      <c r="G669" s="93"/>
      <c r="H669" s="93"/>
      <c r="AF669" s="103"/>
    </row>
    <row r="670" spans="4:32" ht="15.6">
      <c r="D670" s="93"/>
      <c r="E670" s="93"/>
      <c r="F670" s="93"/>
      <c r="G670" s="93"/>
      <c r="H670" s="93"/>
      <c r="AF670" s="103"/>
    </row>
    <row r="671" spans="4:32" ht="15.6">
      <c r="D671" s="93"/>
      <c r="E671" s="93"/>
      <c r="F671" s="93"/>
      <c r="G671" s="93"/>
      <c r="H671" s="93"/>
      <c r="AF671" s="103"/>
    </row>
    <row r="672" spans="4:32" ht="15.6">
      <c r="D672" s="93"/>
      <c r="E672" s="93"/>
      <c r="F672" s="93"/>
      <c r="G672" s="93"/>
      <c r="H672" s="93"/>
      <c r="AF672" s="103"/>
    </row>
    <row r="673" spans="4:32" ht="15.6">
      <c r="D673" s="93"/>
      <c r="E673" s="93"/>
      <c r="F673" s="93"/>
      <c r="G673" s="93"/>
      <c r="H673" s="93"/>
      <c r="AF673" s="103"/>
    </row>
    <row r="674" spans="4:32" ht="15.6">
      <c r="D674" s="93"/>
      <c r="E674" s="93"/>
      <c r="F674" s="93"/>
      <c r="G674" s="93"/>
      <c r="H674" s="93"/>
      <c r="AF674" s="103"/>
    </row>
    <row r="675" spans="4:32" ht="15.6">
      <c r="D675" s="93"/>
      <c r="E675" s="93"/>
      <c r="F675" s="93"/>
      <c r="G675" s="93"/>
      <c r="H675" s="93"/>
      <c r="AF675" s="103"/>
    </row>
    <row r="676" spans="4:32" ht="15.6">
      <c r="D676" s="93"/>
      <c r="E676" s="93"/>
      <c r="F676" s="93"/>
      <c r="G676" s="93"/>
      <c r="H676" s="93"/>
      <c r="AF676" s="103"/>
    </row>
    <row r="677" spans="4:32" ht="15.6">
      <c r="D677" s="93"/>
      <c r="E677" s="93"/>
      <c r="F677" s="93"/>
      <c r="G677" s="93"/>
      <c r="H677" s="93"/>
      <c r="AF677" s="103"/>
    </row>
    <row r="678" spans="4:32" ht="15.6">
      <c r="D678" s="93"/>
      <c r="E678" s="93"/>
      <c r="F678" s="93"/>
      <c r="G678" s="93"/>
      <c r="H678" s="93"/>
      <c r="AF678" s="103"/>
    </row>
    <row r="679" spans="4:32" ht="15.6">
      <c r="D679" s="93"/>
      <c r="E679" s="93"/>
      <c r="F679" s="93"/>
      <c r="G679" s="93"/>
      <c r="H679" s="93"/>
      <c r="AF679" s="103"/>
    </row>
    <row r="680" spans="4:32" ht="15.6">
      <c r="D680" s="93"/>
      <c r="E680" s="93"/>
      <c r="F680" s="93"/>
      <c r="G680" s="93"/>
      <c r="H680" s="93"/>
      <c r="AF680" s="103"/>
    </row>
    <row r="681" spans="4:32" ht="15.6">
      <c r="D681" s="93"/>
      <c r="E681" s="93"/>
      <c r="F681" s="93"/>
      <c r="G681" s="93"/>
      <c r="H681" s="93"/>
      <c r="AF681" s="103"/>
    </row>
    <row r="682" spans="4:32" ht="15.6">
      <c r="D682" s="93"/>
      <c r="E682" s="93"/>
      <c r="F682" s="93"/>
      <c r="G682" s="93"/>
      <c r="H682" s="93"/>
      <c r="AF682" s="103"/>
    </row>
    <row r="683" spans="4:32" ht="15.6">
      <c r="D683" s="93"/>
      <c r="E683" s="93"/>
      <c r="F683" s="93"/>
      <c r="G683" s="93"/>
      <c r="H683" s="93"/>
      <c r="AF683" s="103"/>
    </row>
    <row r="684" spans="4:32" ht="15.6">
      <c r="D684" s="93"/>
      <c r="E684" s="93"/>
      <c r="F684" s="93"/>
      <c r="G684" s="93"/>
      <c r="H684" s="93"/>
      <c r="AF684" s="103"/>
    </row>
    <row r="685" spans="4:32" ht="15.6">
      <c r="D685" s="93"/>
      <c r="E685" s="93"/>
      <c r="F685" s="93"/>
      <c r="G685" s="93"/>
      <c r="H685" s="93"/>
      <c r="AF685" s="103"/>
    </row>
    <row r="686" spans="4:32" ht="15.6">
      <c r="D686" s="93"/>
      <c r="E686" s="93"/>
      <c r="F686" s="93"/>
      <c r="G686" s="93"/>
      <c r="H686" s="93"/>
      <c r="AF686" s="103"/>
    </row>
    <row r="687" spans="4:32" ht="15.6">
      <c r="D687" s="93"/>
      <c r="E687" s="93"/>
      <c r="F687" s="93"/>
      <c r="G687" s="93"/>
      <c r="H687" s="93"/>
      <c r="AF687" s="103"/>
    </row>
    <row r="688" spans="4:32" ht="15.6">
      <c r="D688" s="93"/>
      <c r="E688" s="93"/>
      <c r="F688" s="93"/>
      <c r="G688" s="93"/>
      <c r="H688" s="93"/>
      <c r="AF688" s="103"/>
    </row>
    <row r="689" spans="4:32" ht="15.6">
      <c r="D689" s="93"/>
      <c r="E689" s="93"/>
      <c r="F689" s="93"/>
      <c r="G689" s="93"/>
      <c r="H689" s="93"/>
      <c r="AF689" s="103"/>
    </row>
    <row r="690" spans="4:32" ht="15.6">
      <c r="D690" s="93"/>
      <c r="E690" s="93"/>
      <c r="F690" s="93"/>
      <c r="G690" s="93"/>
      <c r="H690" s="93"/>
      <c r="AF690" s="103"/>
    </row>
    <row r="691" spans="4:32" ht="15.6">
      <c r="D691" s="93"/>
      <c r="E691" s="93"/>
      <c r="F691" s="93"/>
      <c r="G691" s="93"/>
      <c r="H691" s="93"/>
      <c r="AF691" s="103"/>
    </row>
    <row r="692" spans="4:32" ht="15.6">
      <c r="D692" s="93"/>
      <c r="E692" s="93"/>
      <c r="F692" s="93"/>
      <c r="G692" s="93"/>
      <c r="H692" s="93"/>
      <c r="AF692" s="103"/>
    </row>
    <row r="693" spans="4:32" ht="15.6">
      <c r="D693" s="93"/>
      <c r="E693" s="93"/>
      <c r="F693" s="93"/>
      <c r="G693" s="93"/>
      <c r="H693" s="93"/>
      <c r="AF693" s="103"/>
    </row>
    <row r="694" spans="4:32" ht="15.6">
      <c r="D694" s="93"/>
      <c r="E694" s="93"/>
      <c r="F694" s="93"/>
      <c r="G694" s="93"/>
      <c r="H694" s="93"/>
      <c r="AF694" s="103"/>
    </row>
    <row r="695" spans="4:32" ht="15.6">
      <c r="D695" s="93"/>
      <c r="E695" s="93"/>
      <c r="F695" s="93"/>
      <c r="G695" s="93"/>
      <c r="H695" s="93"/>
      <c r="AF695" s="103"/>
    </row>
    <row r="696" spans="4:32" ht="15.6">
      <c r="D696" s="93"/>
      <c r="E696" s="93"/>
      <c r="F696" s="93"/>
      <c r="G696" s="93"/>
      <c r="H696" s="93"/>
      <c r="AF696" s="103"/>
    </row>
    <row r="697" spans="4:32" ht="15.6">
      <c r="D697" s="93"/>
      <c r="E697" s="93"/>
      <c r="F697" s="93"/>
      <c r="G697" s="93"/>
      <c r="H697" s="93"/>
      <c r="AF697" s="103"/>
    </row>
    <row r="698" spans="4:32" ht="15.6">
      <c r="D698" s="93"/>
      <c r="E698" s="93"/>
      <c r="F698" s="93"/>
      <c r="G698" s="93"/>
      <c r="H698" s="93"/>
      <c r="AF698" s="103"/>
    </row>
    <row r="699" spans="4:32" ht="15.6">
      <c r="D699" s="93"/>
      <c r="E699" s="93"/>
      <c r="F699" s="93"/>
      <c r="G699" s="93"/>
      <c r="H699" s="93"/>
      <c r="AF699" s="103"/>
    </row>
    <row r="700" spans="4:32" ht="15.6">
      <c r="D700" s="93"/>
      <c r="E700" s="93"/>
      <c r="F700" s="93"/>
      <c r="G700" s="93"/>
      <c r="H700" s="93"/>
      <c r="AF700" s="103"/>
    </row>
    <row r="701" spans="4:32" ht="15.6">
      <c r="D701" s="93"/>
      <c r="E701" s="93"/>
      <c r="F701" s="93"/>
      <c r="G701" s="93"/>
      <c r="H701" s="93"/>
      <c r="AF701" s="103"/>
    </row>
    <row r="702" spans="4:32" ht="15.6">
      <c r="D702" s="93"/>
      <c r="E702" s="93"/>
      <c r="F702" s="93"/>
      <c r="G702" s="93"/>
      <c r="H702" s="93"/>
      <c r="AF702" s="103"/>
    </row>
    <row r="703" spans="4:32" ht="15.6">
      <c r="D703" s="93"/>
      <c r="E703" s="93"/>
      <c r="F703" s="93"/>
      <c r="G703" s="93"/>
      <c r="H703" s="93"/>
      <c r="AF703" s="103"/>
    </row>
    <row r="704" spans="4:32" ht="15.6">
      <c r="D704" s="93"/>
      <c r="E704" s="93"/>
      <c r="F704" s="93"/>
      <c r="G704" s="93"/>
      <c r="H704" s="93"/>
      <c r="AF704" s="103"/>
    </row>
    <row r="705" spans="4:32" ht="15.6">
      <c r="D705" s="93"/>
      <c r="E705" s="93"/>
      <c r="F705" s="93"/>
      <c r="G705" s="93"/>
      <c r="H705" s="93"/>
      <c r="AF705" s="103"/>
    </row>
    <row r="706" spans="4:32" ht="15.6">
      <c r="D706" s="93"/>
      <c r="E706" s="93"/>
      <c r="F706" s="93"/>
      <c r="G706" s="93"/>
      <c r="H706" s="93"/>
      <c r="AF706" s="103"/>
    </row>
    <row r="707" spans="4:32" ht="15.6">
      <c r="D707" s="93"/>
      <c r="E707" s="93"/>
      <c r="F707" s="93"/>
      <c r="G707" s="93"/>
      <c r="H707" s="93"/>
      <c r="AF707" s="103"/>
    </row>
    <row r="708" spans="4:32" ht="15.6">
      <c r="D708" s="93"/>
      <c r="E708" s="93"/>
      <c r="F708" s="93"/>
      <c r="G708" s="93"/>
      <c r="H708" s="93"/>
      <c r="AF708" s="103"/>
    </row>
    <row r="709" spans="4:32" ht="15.6">
      <c r="D709" s="93"/>
      <c r="E709" s="93"/>
      <c r="F709" s="93"/>
      <c r="G709" s="93"/>
      <c r="H709" s="93"/>
      <c r="AF709" s="103"/>
    </row>
    <row r="710" spans="4:32" ht="15.6">
      <c r="D710" s="93"/>
      <c r="E710" s="93"/>
      <c r="F710" s="93"/>
      <c r="G710" s="93"/>
      <c r="H710" s="93"/>
      <c r="AF710" s="103"/>
    </row>
    <row r="711" spans="4:32" ht="15.6">
      <c r="D711" s="93"/>
      <c r="E711" s="93"/>
      <c r="F711" s="93"/>
      <c r="G711" s="93"/>
      <c r="H711" s="93"/>
      <c r="AF711" s="103"/>
    </row>
    <row r="712" spans="4:32" ht="15.6">
      <c r="D712" s="93"/>
      <c r="E712" s="93"/>
      <c r="F712" s="93"/>
      <c r="G712" s="93"/>
      <c r="H712" s="93"/>
      <c r="AF712" s="103"/>
    </row>
    <row r="713" spans="4:32" ht="15.6">
      <c r="D713" s="93"/>
      <c r="E713" s="93"/>
      <c r="F713" s="93"/>
      <c r="G713" s="93"/>
      <c r="H713" s="93"/>
      <c r="AF713" s="103"/>
    </row>
    <row r="714" spans="4:32" ht="15.6">
      <c r="D714" s="93"/>
      <c r="E714" s="93"/>
      <c r="F714" s="93"/>
      <c r="G714" s="93"/>
      <c r="H714" s="93"/>
      <c r="AF714" s="103"/>
    </row>
    <row r="715" spans="4:32" ht="15.6">
      <c r="D715" s="93"/>
      <c r="E715" s="93"/>
      <c r="F715" s="93"/>
      <c r="G715" s="93"/>
      <c r="H715" s="93"/>
      <c r="AF715" s="103"/>
    </row>
    <row r="716" spans="4:32" ht="15.6">
      <c r="D716" s="93"/>
      <c r="E716" s="93"/>
      <c r="F716" s="93"/>
      <c r="G716" s="93"/>
      <c r="H716" s="93"/>
      <c r="AF716" s="103"/>
    </row>
    <row r="717" spans="4:32" ht="15.6">
      <c r="D717" s="93"/>
      <c r="E717" s="93"/>
      <c r="F717" s="93"/>
      <c r="G717" s="93"/>
      <c r="H717" s="93"/>
      <c r="AF717" s="103"/>
    </row>
    <row r="718" spans="4:32" ht="15.6">
      <c r="D718" s="93"/>
      <c r="E718" s="93"/>
      <c r="F718" s="93"/>
      <c r="G718" s="93"/>
      <c r="H718" s="93"/>
      <c r="AF718" s="103"/>
    </row>
    <row r="719" spans="4:32" ht="15.6">
      <c r="D719" s="93"/>
      <c r="E719" s="93"/>
      <c r="F719" s="93"/>
      <c r="G719" s="93"/>
      <c r="H719" s="93"/>
      <c r="AF719" s="103"/>
    </row>
    <row r="720" spans="4:32" ht="15.6">
      <c r="D720" s="93"/>
      <c r="E720" s="93"/>
      <c r="F720" s="93"/>
      <c r="G720" s="93"/>
      <c r="H720" s="93"/>
      <c r="AF720" s="103"/>
    </row>
    <row r="721" spans="4:32" ht="15.6">
      <c r="D721" s="93"/>
      <c r="E721" s="93"/>
      <c r="F721" s="93"/>
      <c r="G721" s="93"/>
      <c r="H721" s="93"/>
      <c r="AF721" s="103"/>
    </row>
    <row r="722" spans="4:32" ht="15.6">
      <c r="D722" s="93"/>
      <c r="E722" s="93"/>
      <c r="F722" s="93"/>
      <c r="G722" s="93"/>
      <c r="H722" s="93"/>
      <c r="AF722" s="103"/>
    </row>
    <row r="723" spans="4:32" ht="15.6">
      <c r="D723" s="93"/>
      <c r="E723" s="93"/>
      <c r="F723" s="93"/>
      <c r="G723" s="93"/>
      <c r="H723" s="93"/>
      <c r="AF723" s="103"/>
    </row>
    <row r="724" spans="4:32" ht="15.6">
      <c r="D724" s="93"/>
      <c r="E724" s="93"/>
      <c r="F724" s="93"/>
      <c r="G724" s="93"/>
      <c r="H724" s="93"/>
      <c r="AF724" s="103"/>
    </row>
    <row r="725" spans="4:32" ht="15.6">
      <c r="D725" s="93"/>
      <c r="E725" s="93"/>
      <c r="F725" s="93"/>
      <c r="G725" s="93"/>
      <c r="H725" s="93"/>
      <c r="AF725" s="103"/>
    </row>
    <row r="726" spans="4:32" ht="15.6">
      <c r="D726" s="93"/>
      <c r="E726" s="93"/>
      <c r="F726" s="93"/>
      <c r="G726" s="93"/>
      <c r="H726" s="93"/>
      <c r="AF726" s="103"/>
    </row>
    <row r="727" spans="4:32" ht="15.6">
      <c r="D727" s="93"/>
      <c r="E727" s="93"/>
      <c r="F727" s="93"/>
      <c r="G727" s="93"/>
      <c r="H727" s="93"/>
      <c r="AF727" s="103"/>
    </row>
    <row r="728" spans="4:32" ht="15.6">
      <c r="D728" s="93"/>
      <c r="E728" s="93"/>
      <c r="F728" s="93"/>
      <c r="G728" s="93"/>
      <c r="H728" s="93"/>
      <c r="AF728" s="103"/>
    </row>
    <row r="729" spans="4:32" ht="15.6">
      <c r="D729" s="93"/>
      <c r="E729" s="93"/>
      <c r="F729" s="93"/>
      <c r="G729" s="93"/>
      <c r="H729" s="93"/>
      <c r="AF729" s="103"/>
    </row>
    <row r="730" spans="4:32" ht="15.6">
      <c r="D730" s="93"/>
      <c r="E730" s="93"/>
      <c r="F730" s="93"/>
      <c r="G730" s="93"/>
      <c r="H730" s="93"/>
      <c r="AF730" s="103"/>
    </row>
    <row r="731" spans="4:32" ht="15.6">
      <c r="D731" s="93"/>
      <c r="E731" s="93"/>
      <c r="F731" s="93"/>
      <c r="G731" s="93"/>
      <c r="H731" s="93"/>
      <c r="AF731" s="103"/>
    </row>
    <row r="732" spans="4:32" ht="15.6">
      <c r="D732" s="93"/>
      <c r="E732" s="93"/>
      <c r="F732" s="93"/>
      <c r="G732" s="93"/>
      <c r="H732" s="93"/>
      <c r="AF732" s="103"/>
    </row>
    <row r="733" spans="4:32" ht="15.6">
      <c r="D733" s="93"/>
      <c r="E733" s="93"/>
      <c r="F733" s="93"/>
      <c r="G733" s="93"/>
      <c r="H733" s="93"/>
      <c r="AF733" s="103"/>
    </row>
    <row r="734" spans="4:32" ht="15.6">
      <c r="D734" s="93"/>
      <c r="E734" s="93"/>
      <c r="F734" s="93"/>
      <c r="G734" s="93"/>
      <c r="H734" s="93"/>
      <c r="AF734" s="103"/>
    </row>
    <row r="735" spans="4:32" ht="15.6">
      <c r="D735" s="93"/>
      <c r="E735" s="93"/>
      <c r="F735" s="93"/>
      <c r="G735" s="93"/>
      <c r="H735" s="93"/>
      <c r="AF735" s="103"/>
    </row>
    <row r="736" spans="4:32" ht="15.6">
      <c r="D736" s="93"/>
      <c r="E736" s="93"/>
      <c r="F736" s="93"/>
      <c r="G736" s="93"/>
      <c r="H736" s="93"/>
      <c r="AF736" s="103"/>
    </row>
    <row r="737" spans="4:32" ht="15.6">
      <c r="D737" s="93"/>
      <c r="E737" s="93"/>
      <c r="F737" s="93"/>
      <c r="G737" s="93"/>
      <c r="H737" s="93"/>
      <c r="AF737" s="103"/>
    </row>
    <row r="738" spans="4:32" ht="15.6">
      <c r="D738" s="93"/>
      <c r="E738" s="93"/>
      <c r="F738" s="93"/>
      <c r="G738" s="93"/>
      <c r="H738" s="93"/>
      <c r="AF738" s="103"/>
    </row>
    <row r="739" spans="4:32" ht="15.6">
      <c r="D739" s="93"/>
      <c r="E739" s="93"/>
      <c r="F739" s="93"/>
      <c r="G739" s="93"/>
      <c r="H739" s="93"/>
      <c r="AF739" s="103"/>
    </row>
    <row r="740" spans="4:32" ht="15.6">
      <c r="D740" s="93"/>
      <c r="E740" s="93"/>
      <c r="F740" s="93"/>
      <c r="G740" s="93"/>
      <c r="H740" s="93"/>
      <c r="AF740" s="103"/>
    </row>
    <row r="741" spans="4:32" ht="15.6">
      <c r="D741" s="93"/>
      <c r="E741" s="93"/>
      <c r="F741" s="93"/>
      <c r="G741" s="93"/>
      <c r="H741" s="93"/>
      <c r="AF741" s="103"/>
    </row>
    <row r="742" spans="4:32" ht="15.6">
      <c r="D742" s="93"/>
      <c r="E742" s="93"/>
      <c r="F742" s="93"/>
      <c r="G742" s="93"/>
      <c r="H742" s="93"/>
      <c r="AF742" s="103"/>
    </row>
    <row r="743" spans="4:32" ht="15.6">
      <c r="D743" s="93"/>
      <c r="E743" s="93"/>
      <c r="F743" s="93"/>
      <c r="G743" s="93"/>
      <c r="H743" s="93"/>
      <c r="AF743" s="103"/>
    </row>
    <row r="744" spans="4:32" ht="15.6">
      <c r="D744" s="93"/>
      <c r="E744" s="93"/>
      <c r="F744" s="93"/>
      <c r="G744" s="93"/>
      <c r="H744" s="93"/>
      <c r="AF744" s="103"/>
    </row>
    <row r="745" spans="4:32" ht="15.6">
      <c r="D745" s="93"/>
      <c r="E745" s="93"/>
      <c r="F745" s="93"/>
      <c r="G745" s="93"/>
      <c r="H745" s="93"/>
      <c r="AF745" s="103"/>
    </row>
    <row r="746" spans="4:32" ht="15.6">
      <c r="D746" s="93"/>
      <c r="E746" s="93"/>
      <c r="F746" s="93"/>
      <c r="G746" s="93"/>
      <c r="H746" s="93"/>
      <c r="AF746" s="103"/>
    </row>
    <row r="747" spans="4:32" ht="15.6">
      <c r="D747" s="93"/>
      <c r="E747" s="93"/>
      <c r="F747" s="93"/>
      <c r="G747" s="93"/>
      <c r="H747" s="93"/>
      <c r="AF747" s="103"/>
    </row>
    <row r="748" spans="4:32" ht="15.6">
      <c r="D748" s="93"/>
      <c r="E748" s="93"/>
      <c r="F748" s="93"/>
      <c r="G748" s="93"/>
      <c r="H748" s="93"/>
      <c r="AF748" s="103"/>
    </row>
    <row r="749" spans="4:32" ht="15.6">
      <c r="D749" s="93"/>
      <c r="E749" s="93"/>
      <c r="F749" s="93"/>
      <c r="G749" s="93"/>
      <c r="H749" s="93"/>
      <c r="AF749" s="103"/>
    </row>
    <row r="750" spans="4:32" ht="15.6">
      <c r="D750" s="93"/>
      <c r="E750" s="93"/>
      <c r="F750" s="93"/>
      <c r="G750" s="93"/>
      <c r="H750" s="93"/>
      <c r="AF750" s="103"/>
    </row>
    <row r="751" spans="4:32" ht="15.6">
      <c r="D751" s="93"/>
      <c r="E751" s="93"/>
      <c r="F751" s="93"/>
      <c r="G751" s="93"/>
      <c r="H751" s="93"/>
      <c r="AF751" s="103"/>
    </row>
    <row r="752" spans="4:32" ht="15.6">
      <c r="D752" s="93"/>
      <c r="E752" s="93"/>
      <c r="F752" s="93"/>
      <c r="G752" s="93"/>
      <c r="H752" s="93"/>
      <c r="AF752" s="103"/>
    </row>
    <row r="753" spans="4:32" ht="15.6">
      <c r="D753" s="93"/>
      <c r="E753" s="93"/>
      <c r="F753" s="93"/>
      <c r="G753" s="93"/>
      <c r="H753" s="93"/>
      <c r="AF753" s="103"/>
    </row>
    <row r="754" spans="4:32" ht="15.6">
      <c r="D754" s="93"/>
      <c r="E754" s="93"/>
      <c r="F754" s="93"/>
      <c r="G754" s="93"/>
      <c r="H754" s="93"/>
      <c r="AF754" s="103"/>
    </row>
    <row r="755" spans="4:32" ht="15.6">
      <c r="D755" s="93"/>
      <c r="E755" s="93"/>
      <c r="F755" s="93"/>
      <c r="G755" s="93"/>
      <c r="H755" s="93"/>
      <c r="AF755" s="103"/>
    </row>
    <row r="756" spans="4:32" ht="15.6">
      <c r="D756" s="93"/>
      <c r="E756" s="93"/>
      <c r="F756" s="93"/>
      <c r="G756" s="93"/>
      <c r="H756" s="93"/>
      <c r="AF756" s="103"/>
    </row>
    <row r="757" spans="4:32" ht="15.6">
      <c r="D757" s="93"/>
      <c r="E757" s="93"/>
      <c r="F757" s="93"/>
      <c r="G757" s="93"/>
      <c r="H757" s="93"/>
      <c r="AF757" s="103"/>
    </row>
    <row r="758" spans="4:32" ht="15.6">
      <c r="D758" s="93"/>
      <c r="E758" s="93"/>
      <c r="F758" s="93"/>
      <c r="G758" s="93"/>
      <c r="H758" s="93"/>
      <c r="AF758" s="103"/>
    </row>
    <row r="759" spans="4:32" ht="15.6">
      <c r="D759" s="93"/>
      <c r="E759" s="93"/>
      <c r="F759" s="93"/>
      <c r="G759" s="93"/>
      <c r="H759" s="93"/>
      <c r="AF759" s="103"/>
    </row>
    <row r="760" spans="4:32" ht="15.6">
      <c r="D760" s="93"/>
      <c r="E760" s="93"/>
      <c r="F760" s="93"/>
      <c r="G760" s="93"/>
      <c r="H760" s="93"/>
      <c r="AF760" s="103"/>
    </row>
    <row r="761" spans="4:32" ht="15.6">
      <c r="D761" s="93"/>
      <c r="E761" s="93"/>
      <c r="F761" s="93"/>
      <c r="G761" s="93"/>
      <c r="H761" s="93"/>
      <c r="AF761" s="103"/>
    </row>
    <row r="762" spans="4:32" ht="15.6">
      <c r="D762" s="93"/>
      <c r="E762" s="93"/>
      <c r="F762" s="93"/>
      <c r="G762" s="93"/>
      <c r="H762" s="93"/>
      <c r="AF762" s="103"/>
    </row>
    <row r="763" spans="4:32" ht="15.6">
      <c r="D763" s="93"/>
      <c r="E763" s="93"/>
      <c r="F763" s="93"/>
      <c r="G763" s="93"/>
      <c r="H763" s="93"/>
      <c r="AF763" s="103"/>
    </row>
    <row r="764" spans="4:32" ht="15.6">
      <c r="D764" s="93"/>
      <c r="E764" s="93"/>
      <c r="F764" s="93"/>
      <c r="G764" s="93"/>
      <c r="H764" s="93"/>
      <c r="AF764" s="103"/>
    </row>
    <row r="765" spans="4:32" ht="15.6">
      <c r="D765" s="93"/>
      <c r="E765" s="93"/>
      <c r="F765" s="93"/>
      <c r="G765" s="93"/>
      <c r="H765" s="93"/>
      <c r="AF765" s="103"/>
    </row>
    <row r="766" spans="4:32" ht="15.6">
      <c r="D766" s="93"/>
      <c r="E766" s="93"/>
      <c r="F766" s="93"/>
      <c r="G766" s="93"/>
      <c r="H766" s="93"/>
      <c r="AF766" s="103"/>
    </row>
    <row r="767" spans="4:32" ht="15.6">
      <c r="D767" s="93"/>
      <c r="E767" s="93"/>
      <c r="F767" s="93"/>
      <c r="G767" s="93"/>
      <c r="H767" s="93"/>
      <c r="AF767" s="103"/>
    </row>
    <row r="768" spans="4:32" ht="15.6">
      <c r="D768" s="93"/>
      <c r="E768" s="93"/>
      <c r="F768" s="93"/>
      <c r="G768" s="93"/>
      <c r="H768" s="93"/>
      <c r="AF768" s="103"/>
    </row>
    <row r="769" spans="4:32" ht="15.6">
      <c r="D769" s="93"/>
      <c r="E769" s="93"/>
      <c r="F769" s="93"/>
      <c r="G769" s="93"/>
      <c r="H769" s="93"/>
      <c r="AF769" s="103"/>
    </row>
    <row r="770" spans="4:32" ht="15.6">
      <c r="D770" s="93"/>
      <c r="E770" s="93"/>
      <c r="F770" s="93"/>
      <c r="G770" s="93"/>
      <c r="H770" s="93"/>
      <c r="AF770" s="103"/>
    </row>
    <row r="771" spans="4:32" ht="15.6">
      <c r="D771" s="93"/>
      <c r="E771" s="93"/>
      <c r="F771" s="93"/>
      <c r="G771" s="93"/>
      <c r="H771" s="93"/>
      <c r="AF771" s="103"/>
    </row>
    <row r="772" spans="4:32" ht="15.6">
      <c r="D772" s="93"/>
      <c r="E772" s="93"/>
      <c r="F772" s="93"/>
      <c r="G772" s="93"/>
      <c r="H772" s="93"/>
      <c r="AF772" s="103"/>
    </row>
    <row r="773" spans="4:32" ht="15.6">
      <c r="D773" s="93"/>
      <c r="E773" s="93"/>
      <c r="F773" s="93"/>
      <c r="G773" s="93"/>
      <c r="H773" s="93"/>
      <c r="AF773" s="103"/>
    </row>
    <row r="774" spans="4:32" ht="15.6">
      <c r="D774" s="93"/>
      <c r="E774" s="93"/>
      <c r="F774" s="93"/>
      <c r="G774" s="93"/>
      <c r="H774" s="93"/>
      <c r="AF774" s="103"/>
    </row>
    <row r="775" spans="4:32" ht="15.6">
      <c r="D775" s="93"/>
      <c r="E775" s="93"/>
      <c r="F775" s="93"/>
      <c r="G775" s="93"/>
      <c r="H775" s="93"/>
      <c r="AF775" s="103"/>
    </row>
    <row r="776" spans="4:32" ht="15.6">
      <c r="D776" s="93"/>
      <c r="E776" s="93"/>
      <c r="F776" s="93"/>
      <c r="G776" s="93"/>
      <c r="H776" s="93"/>
      <c r="AF776" s="103"/>
    </row>
    <row r="777" spans="4:32" ht="15.6">
      <c r="D777" s="93"/>
      <c r="E777" s="93"/>
      <c r="F777" s="93"/>
      <c r="G777" s="93"/>
      <c r="H777" s="93"/>
      <c r="AF777" s="103"/>
    </row>
    <row r="778" spans="4:32" ht="15.6">
      <c r="D778" s="93"/>
      <c r="E778" s="93"/>
      <c r="F778" s="93"/>
      <c r="G778" s="93"/>
      <c r="H778" s="93"/>
      <c r="AF778" s="103"/>
    </row>
    <row r="779" spans="4:32" ht="15.6">
      <c r="D779" s="93"/>
      <c r="E779" s="93"/>
      <c r="F779" s="93"/>
      <c r="G779" s="93"/>
      <c r="H779" s="93"/>
      <c r="AF779" s="103"/>
    </row>
    <row r="780" spans="4:32" ht="15.6">
      <c r="D780" s="93"/>
      <c r="E780" s="93"/>
      <c r="F780" s="93"/>
      <c r="G780" s="93"/>
      <c r="H780" s="93"/>
      <c r="AF780" s="103"/>
    </row>
    <row r="781" spans="4:32" ht="15.6">
      <c r="D781" s="93"/>
      <c r="E781" s="93"/>
      <c r="F781" s="93"/>
      <c r="G781" s="93"/>
      <c r="H781" s="93"/>
      <c r="AF781" s="103"/>
    </row>
    <row r="782" spans="4:32" ht="15.6">
      <c r="D782" s="93"/>
      <c r="E782" s="93"/>
      <c r="F782" s="93"/>
      <c r="G782" s="93"/>
      <c r="H782" s="93"/>
      <c r="AF782" s="103"/>
    </row>
    <row r="783" spans="4:32" ht="15.6">
      <c r="D783" s="93"/>
      <c r="E783" s="93"/>
      <c r="F783" s="93"/>
      <c r="G783" s="93"/>
      <c r="H783" s="93"/>
      <c r="AF783" s="103"/>
    </row>
    <row r="784" spans="4:32" ht="15.6">
      <c r="D784" s="93"/>
      <c r="E784" s="93"/>
      <c r="F784" s="93"/>
      <c r="G784" s="93"/>
      <c r="H784" s="93"/>
      <c r="AF784" s="103"/>
    </row>
    <row r="785" spans="4:32" ht="15.6">
      <c r="D785" s="93"/>
      <c r="E785" s="93"/>
      <c r="F785" s="93"/>
      <c r="G785" s="93"/>
      <c r="H785" s="93"/>
      <c r="AF785" s="103"/>
    </row>
    <row r="786" spans="4:32" ht="15.6">
      <c r="D786" s="93"/>
      <c r="E786" s="93"/>
      <c r="F786" s="93"/>
      <c r="G786" s="93"/>
      <c r="H786" s="93"/>
      <c r="AF786" s="103"/>
    </row>
    <row r="787" spans="4:32" ht="15.6">
      <c r="D787" s="93"/>
      <c r="E787" s="93"/>
      <c r="F787" s="93"/>
      <c r="G787" s="93"/>
      <c r="H787" s="93"/>
      <c r="AF787" s="103"/>
    </row>
    <row r="788" spans="4:32" ht="15.6">
      <c r="D788" s="93"/>
      <c r="E788" s="93"/>
      <c r="F788" s="93"/>
      <c r="G788" s="93"/>
      <c r="H788" s="93"/>
      <c r="AF788" s="103"/>
    </row>
    <row r="789" spans="4:32" ht="15.6">
      <c r="D789" s="93"/>
      <c r="E789" s="93"/>
      <c r="F789" s="93"/>
      <c r="G789" s="93"/>
      <c r="H789" s="93"/>
      <c r="AF789" s="103"/>
    </row>
    <row r="790" spans="4:32" ht="15.6">
      <c r="D790" s="93"/>
      <c r="E790" s="93"/>
      <c r="F790" s="93"/>
      <c r="G790" s="93"/>
      <c r="H790" s="93"/>
      <c r="AF790" s="103"/>
    </row>
    <row r="791" spans="4:32" ht="15.6">
      <c r="D791" s="93"/>
      <c r="E791" s="93"/>
      <c r="F791" s="93"/>
      <c r="G791" s="93"/>
      <c r="H791" s="93"/>
      <c r="AF791" s="103"/>
    </row>
    <row r="792" spans="4:32" ht="15.6">
      <c r="D792" s="93"/>
      <c r="E792" s="93"/>
      <c r="F792" s="93"/>
      <c r="G792" s="93"/>
      <c r="H792" s="93"/>
      <c r="AF792" s="103"/>
    </row>
    <row r="793" spans="4:32" ht="15.6">
      <c r="D793" s="93"/>
      <c r="E793" s="93"/>
      <c r="F793" s="93"/>
      <c r="G793" s="93"/>
      <c r="H793" s="93"/>
      <c r="AF793" s="103"/>
    </row>
    <row r="794" spans="4:32" ht="15.6">
      <c r="D794" s="93"/>
      <c r="E794" s="93"/>
      <c r="F794" s="93"/>
      <c r="G794" s="93"/>
      <c r="H794" s="93"/>
      <c r="AF794" s="103"/>
    </row>
    <row r="795" spans="4:32" ht="15.6">
      <c r="D795" s="93"/>
      <c r="E795" s="93"/>
      <c r="F795" s="93"/>
      <c r="G795" s="93"/>
      <c r="H795" s="93"/>
      <c r="AF795" s="103"/>
    </row>
    <row r="796" spans="4:32" ht="15.6">
      <c r="D796" s="93"/>
      <c r="E796" s="93"/>
      <c r="F796" s="93"/>
      <c r="G796" s="93"/>
      <c r="H796" s="93"/>
      <c r="AF796" s="103"/>
    </row>
    <row r="797" spans="4:32" ht="15.6">
      <c r="D797" s="93"/>
      <c r="E797" s="93"/>
      <c r="F797" s="93"/>
      <c r="G797" s="93"/>
      <c r="H797" s="93"/>
      <c r="AF797" s="103"/>
    </row>
    <row r="798" spans="4:32" ht="15.6">
      <c r="D798" s="93"/>
      <c r="E798" s="93"/>
      <c r="F798" s="93"/>
      <c r="G798" s="93"/>
      <c r="H798" s="93"/>
      <c r="AF798" s="103"/>
    </row>
    <row r="799" spans="4:32" ht="15.6">
      <c r="D799" s="93"/>
      <c r="E799" s="93"/>
      <c r="F799" s="93"/>
      <c r="G799" s="93"/>
      <c r="H799" s="93"/>
      <c r="AF799" s="103"/>
    </row>
    <row r="800" spans="4:32" ht="15.6">
      <c r="D800" s="93"/>
      <c r="E800" s="93"/>
      <c r="F800" s="93"/>
      <c r="G800" s="93"/>
      <c r="H800" s="93"/>
      <c r="AF800" s="103"/>
    </row>
    <row r="801" spans="4:32" ht="15.6">
      <c r="D801" s="93"/>
      <c r="E801" s="93"/>
      <c r="F801" s="93"/>
      <c r="G801" s="93"/>
      <c r="H801" s="93"/>
      <c r="AF801" s="103"/>
    </row>
    <row r="802" spans="4:32" ht="15.6">
      <c r="D802" s="93"/>
      <c r="E802" s="93"/>
      <c r="F802" s="93"/>
      <c r="G802" s="93"/>
      <c r="H802" s="93"/>
      <c r="AF802" s="103"/>
    </row>
    <row r="803" spans="4:32" ht="15.6">
      <c r="D803" s="93"/>
      <c r="E803" s="93"/>
      <c r="F803" s="93"/>
      <c r="G803" s="93"/>
      <c r="H803" s="93"/>
      <c r="AF803" s="103"/>
    </row>
    <row r="804" spans="4:32" ht="15.6">
      <c r="D804" s="93"/>
      <c r="E804" s="93"/>
      <c r="F804" s="93"/>
      <c r="G804" s="93"/>
      <c r="H804" s="93"/>
      <c r="AF804" s="103"/>
    </row>
    <row r="805" spans="4:32" ht="15.6">
      <c r="D805" s="93"/>
      <c r="E805" s="93"/>
      <c r="F805" s="93"/>
      <c r="G805" s="93"/>
      <c r="H805" s="93"/>
      <c r="AF805" s="103"/>
    </row>
    <row r="806" spans="4:32" ht="15.6">
      <c r="D806" s="93"/>
      <c r="E806" s="93"/>
      <c r="F806" s="93"/>
      <c r="G806" s="93"/>
      <c r="H806" s="93"/>
      <c r="AF806" s="103"/>
    </row>
    <row r="807" spans="4:32" ht="15.6">
      <c r="D807" s="93"/>
      <c r="E807" s="93"/>
      <c r="F807" s="93"/>
      <c r="G807" s="93"/>
      <c r="H807" s="93"/>
      <c r="AF807" s="103"/>
    </row>
    <row r="808" spans="4:32" ht="15.6">
      <c r="D808" s="93"/>
      <c r="E808" s="93"/>
      <c r="F808" s="93"/>
      <c r="G808" s="93"/>
      <c r="H808" s="93"/>
      <c r="AF808" s="103"/>
    </row>
    <row r="809" spans="4:32" ht="15.6">
      <c r="D809" s="93"/>
      <c r="E809" s="93"/>
      <c r="F809" s="93"/>
      <c r="G809" s="93"/>
      <c r="H809" s="93"/>
      <c r="AF809" s="103"/>
    </row>
    <row r="810" spans="4:32" ht="15.6">
      <c r="D810" s="93"/>
      <c r="E810" s="93"/>
      <c r="F810" s="93"/>
      <c r="G810" s="93"/>
      <c r="H810" s="93"/>
      <c r="AF810" s="103"/>
    </row>
    <row r="811" spans="4:32" ht="15.6">
      <c r="D811" s="93"/>
      <c r="E811" s="93"/>
      <c r="F811" s="93"/>
      <c r="G811" s="93"/>
      <c r="H811" s="93"/>
      <c r="AF811" s="103"/>
    </row>
    <row r="812" spans="4:32" ht="15.6">
      <c r="D812" s="93"/>
      <c r="E812" s="93"/>
      <c r="F812" s="93"/>
      <c r="G812" s="93"/>
      <c r="H812" s="93"/>
      <c r="AF812" s="103"/>
    </row>
    <row r="813" spans="4:32" ht="15.6">
      <c r="D813" s="93"/>
      <c r="E813" s="93"/>
      <c r="F813" s="93"/>
      <c r="G813" s="93"/>
      <c r="H813" s="93"/>
      <c r="AF813" s="103"/>
    </row>
    <row r="814" spans="4:32" ht="15.6">
      <c r="D814" s="93"/>
      <c r="E814" s="93"/>
      <c r="F814" s="93"/>
      <c r="G814" s="93"/>
      <c r="H814" s="93"/>
      <c r="AF814" s="103"/>
    </row>
    <row r="815" spans="4:32" ht="15.6">
      <c r="D815" s="93"/>
      <c r="E815" s="93"/>
      <c r="F815" s="93"/>
      <c r="G815" s="93"/>
      <c r="H815" s="93"/>
      <c r="AF815" s="103"/>
    </row>
    <row r="816" spans="4:32" ht="15.6">
      <c r="D816" s="93"/>
      <c r="E816" s="93"/>
      <c r="F816" s="93"/>
      <c r="G816" s="93"/>
      <c r="H816" s="93"/>
      <c r="AF816" s="103"/>
    </row>
    <row r="817" spans="4:32" ht="15.6">
      <c r="D817" s="93"/>
      <c r="E817" s="93"/>
      <c r="F817" s="93"/>
      <c r="G817" s="93"/>
      <c r="H817" s="93"/>
      <c r="AF817" s="103"/>
    </row>
    <row r="818" spans="4:32" ht="15.6">
      <c r="D818" s="93"/>
      <c r="E818" s="93"/>
      <c r="F818" s="93"/>
      <c r="G818" s="93"/>
      <c r="H818" s="93"/>
      <c r="AF818" s="103"/>
    </row>
    <row r="819" spans="4:32" ht="15.6">
      <c r="D819" s="93"/>
      <c r="E819" s="93"/>
      <c r="F819" s="93"/>
      <c r="G819" s="93"/>
      <c r="H819" s="93"/>
      <c r="AF819" s="103"/>
    </row>
    <row r="820" spans="4:32" ht="15.6">
      <c r="D820" s="93"/>
      <c r="E820" s="93"/>
      <c r="F820" s="93"/>
      <c r="G820" s="93"/>
      <c r="H820" s="93"/>
      <c r="AF820" s="103"/>
    </row>
    <row r="821" spans="4:32" ht="15.6">
      <c r="D821" s="93"/>
      <c r="E821" s="93"/>
      <c r="F821" s="93"/>
      <c r="G821" s="93"/>
      <c r="H821" s="93"/>
      <c r="AF821" s="103"/>
    </row>
    <row r="822" spans="4:32" ht="15.6">
      <c r="D822" s="93"/>
      <c r="E822" s="93"/>
      <c r="F822" s="93"/>
      <c r="G822" s="93"/>
      <c r="H822" s="93"/>
      <c r="AF822" s="103"/>
    </row>
    <row r="823" spans="4:32" ht="15.6">
      <c r="D823" s="93"/>
      <c r="E823" s="93"/>
      <c r="F823" s="93"/>
      <c r="G823" s="93"/>
      <c r="H823" s="93"/>
      <c r="AF823" s="103"/>
    </row>
    <row r="824" spans="4:32" ht="15.6">
      <c r="D824" s="93"/>
      <c r="E824" s="93"/>
      <c r="F824" s="93"/>
      <c r="G824" s="93"/>
      <c r="H824" s="93"/>
      <c r="AF824" s="103"/>
    </row>
    <row r="825" spans="4:32" ht="15.6">
      <c r="D825" s="93"/>
      <c r="E825" s="93"/>
      <c r="F825" s="93"/>
      <c r="G825" s="93"/>
      <c r="H825" s="93"/>
      <c r="AF825" s="103"/>
    </row>
    <row r="826" spans="4:32" ht="15.6">
      <c r="D826" s="93"/>
      <c r="E826" s="93"/>
      <c r="F826" s="93"/>
      <c r="G826" s="93"/>
      <c r="H826" s="93"/>
      <c r="AF826" s="103"/>
    </row>
    <row r="827" spans="4:32" ht="15.6">
      <c r="D827" s="93"/>
      <c r="E827" s="93"/>
      <c r="F827" s="93"/>
      <c r="G827" s="93"/>
      <c r="H827" s="93"/>
      <c r="AF827" s="103"/>
    </row>
    <row r="828" spans="4:32" ht="15.6">
      <c r="D828" s="93"/>
      <c r="E828" s="93"/>
      <c r="F828" s="93"/>
      <c r="G828" s="93"/>
      <c r="H828" s="93"/>
      <c r="AF828" s="103"/>
    </row>
    <row r="829" spans="4:32" ht="15.6">
      <c r="D829" s="93"/>
      <c r="E829" s="93"/>
      <c r="F829" s="93"/>
      <c r="G829" s="93"/>
      <c r="H829" s="93"/>
      <c r="AF829" s="103"/>
    </row>
    <row r="830" spans="4:32" ht="15.6">
      <c r="D830" s="93"/>
      <c r="E830" s="93"/>
      <c r="F830" s="93"/>
      <c r="G830" s="93"/>
      <c r="H830" s="93"/>
      <c r="AF830" s="103"/>
    </row>
    <row r="831" spans="4:32" ht="15.6">
      <c r="D831" s="93"/>
      <c r="E831" s="93"/>
      <c r="F831" s="93"/>
      <c r="G831" s="93"/>
      <c r="H831" s="93"/>
      <c r="AF831" s="103"/>
    </row>
    <row r="832" spans="4:32" ht="15.6">
      <c r="D832" s="93"/>
      <c r="E832" s="93"/>
      <c r="F832" s="93"/>
      <c r="G832" s="93"/>
      <c r="H832" s="93"/>
      <c r="AF832" s="103"/>
    </row>
    <row r="833" spans="4:32" ht="15.6">
      <c r="D833" s="93"/>
      <c r="E833" s="93"/>
      <c r="F833" s="93"/>
      <c r="G833" s="93"/>
      <c r="H833" s="93"/>
      <c r="AF833" s="103"/>
    </row>
    <row r="834" spans="4:32" ht="15.6">
      <c r="D834" s="93"/>
      <c r="E834" s="93"/>
      <c r="F834" s="93"/>
      <c r="G834" s="93"/>
      <c r="H834" s="93"/>
      <c r="AF834" s="103"/>
    </row>
    <row r="835" spans="4:32" ht="15.6">
      <c r="D835" s="93"/>
      <c r="E835" s="93"/>
      <c r="F835" s="93"/>
      <c r="G835" s="93"/>
      <c r="H835" s="93"/>
      <c r="AF835" s="103"/>
    </row>
    <row r="836" spans="4:32" ht="15.6">
      <c r="D836" s="93"/>
      <c r="E836" s="93"/>
      <c r="F836" s="93"/>
      <c r="G836" s="93"/>
      <c r="H836" s="93"/>
      <c r="AF836" s="103"/>
    </row>
    <row r="837" spans="4:32" ht="15.6">
      <c r="D837" s="93"/>
      <c r="E837" s="93"/>
      <c r="F837" s="93"/>
      <c r="G837" s="93"/>
      <c r="H837" s="93"/>
      <c r="AF837" s="103"/>
    </row>
    <row r="838" spans="4:32" ht="15.6">
      <c r="D838" s="93"/>
      <c r="E838" s="93"/>
      <c r="F838" s="93"/>
      <c r="G838" s="93"/>
      <c r="H838" s="93"/>
      <c r="AF838" s="103"/>
    </row>
    <row r="839" spans="4:32" ht="15.6">
      <c r="D839" s="93"/>
      <c r="E839" s="93"/>
      <c r="F839" s="93"/>
      <c r="G839" s="93"/>
      <c r="H839" s="93"/>
      <c r="AF839" s="103"/>
    </row>
    <row r="840" spans="4:32" ht="15.6">
      <c r="D840" s="93"/>
      <c r="E840" s="93"/>
      <c r="F840" s="93"/>
      <c r="G840" s="93"/>
      <c r="H840" s="93"/>
      <c r="AF840" s="103"/>
    </row>
    <row r="841" spans="4:32" ht="15.6">
      <c r="D841" s="93"/>
      <c r="E841" s="93"/>
      <c r="F841" s="93"/>
      <c r="G841" s="93"/>
      <c r="H841" s="93"/>
      <c r="AF841" s="103"/>
    </row>
    <row r="842" spans="4:32" ht="15.6">
      <c r="D842" s="93"/>
      <c r="E842" s="93"/>
      <c r="F842" s="93"/>
      <c r="G842" s="93"/>
      <c r="H842" s="93"/>
      <c r="AF842" s="103"/>
    </row>
    <row r="843" spans="4:32" ht="15.6">
      <c r="D843" s="93"/>
      <c r="E843" s="93"/>
      <c r="F843" s="93"/>
      <c r="G843" s="93"/>
      <c r="H843" s="93"/>
      <c r="AF843" s="103"/>
    </row>
    <row r="844" spans="4:32" ht="15.6">
      <c r="D844" s="93"/>
      <c r="E844" s="93"/>
      <c r="F844" s="93"/>
      <c r="G844" s="93"/>
      <c r="H844" s="93"/>
      <c r="AF844" s="103"/>
    </row>
    <row r="845" spans="4:32" ht="15.6">
      <c r="D845" s="93"/>
      <c r="E845" s="93"/>
      <c r="F845" s="93"/>
      <c r="G845" s="93"/>
      <c r="H845" s="93"/>
      <c r="AF845" s="103"/>
    </row>
    <row r="846" spans="4:32" ht="15.6">
      <c r="D846" s="93"/>
      <c r="E846" s="93"/>
      <c r="F846" s="93"/>
      <c r="G846" s="93"/>
      <c r="H846" s="93"/>
      <c r="AF846" s="103"/>
    </row>
    <row r="847" spans="4:32" ht="15.6">
      <c r="D847" s="93"/>
      <c r="E847" s="93"/>
      <c r="F847" s="93"/>
      <c r="G847" s="93"/>
      <c r="H847" s="93"/>
      <c r="AF847" s="103"/>
    </row>
    <row r="848" spans="4:32" ht="15.6">
      <c r="D848" s="93"/>
      <c r="E848" s="93"/>
      <c r="F848" s="93"/>
      <c r="G848" s="93"/>
      <c r="H848" s="93"/>
      <c r="AF848" s="103"/>
    </row>
    <row r="849" spans="4:32" ht="15.6">
      <c r="D849" s="93"/>
      <c r="E849" s="93"/>
      <c r="F849" s="93"/>
      <c r="G849" s="93"/>
      <c r="H849" s="93"/>
      <c r="AF849" s="103"/>
    </row>
    <row r="850" spans="4:32" ht="15.6">
      <c r="D850" s="93"/>
      <c r="E850" s="93"/>
      <c r="F850" s="93"/>
      <c r="G850" s="93"/>
      <c r="H850" s="93"/>
      <c r="AF850" s="103"/>
    </row>
    <row r="851" spans="4:32" ht="15.6">
      <c r="D851" s="93"/>
      <c r="E851" s="93"/>
      <c r="F851" s="93"/>
      <c r="G851" s="93"/>
      <c r="H851" s="93"/>
      <c r="AF851" s="103"/>
    </row>
    <row r="852" spans="4:32" ht="15.6">
      <c r="D852" s="93"/>
      <c r="E852" s="93"/>
      <c r="F852" s="93"/>
      <c r="G852" s="93"/>
      <c r="H852" s="93"/>
      <c r="AF852" s="103"/>
    </row>
    <row r="853" spans="4:32" ht="15.6">
      <c r="D853" s="93"/>
      <c r="E853" s="93"/>
      <c r="F853" s="93"/>
      <c r="G853" s="93"/>
      <c r="H853" s="93"/>
      <c r="AF853" s="103"/>
    </row>
    <row r="854" spans="4:32" ht="15.6">
      <c r="D854" s="93"/>
      <c r="E854" s="93"/>
      <c r="F854" s="93"/>
      <c r="G854" s="93"/>
      <c r="H854" s="93"/>
      <c r="AF854" s="103"/>
    </row>
    <row r="855" spans="4:32" ht="15.6">
      <c r="D855" s="93"/>
      <c r="E855" s="93"/>
      <c r="F855" s="93"/>
      <c r="G855" s="93"/>
      <c r="H855" s="93"/>
      <c r="AF855" s="103"/>
    </row>
    <row r="856" spans="4:32" ht="15.6">
      <c r="D856" s="93"/>
      <c r="E856" s="93"/>
      <c r="F856" s="93"/>
      <c r="G856" s="93"/>
      <c r="H856" s="93"/>
      <c r="AF856" s="103"/>
    </row>
    <row r="857" spans="4:32" ht="15.6">
      <c r="D857" s="93"/>
      <c r="E857" s="93"/>
      <c r="F857" s="93"/>
      <c r="G857" s="93"/>
      <c r="H857" s="93"/>
      <c r="AF857" s="103"/>
    </row>
    <row r="858" spans="4:32" ht="15.6">
      <c r="D858" s="93"/>
      <c r="E858" s="93"/>
      <c r="F858" s="93"/>
      <c r="G858" s="93"/>
      <c r="H858" s="93"/>
      <c r="AF858" s="103"/>
    </row>
    <row r="859" spans="4:32" ht="15.6">
      <c r="D859" s="93"/>
      <c r="E859" s="93"/>
      <c r="F859" s="93"/>
      <c r="G859" s="93"/>
      <c r="H859" s="93"/>
      <c r="AF859" s="103"/>
    </row>
    <row r="860" spans="4:32" ht="15.6">
      <c r="D860" s="93"/>
      <c r="E860" s="93"/>
      <c r="F860" s="93"/>
      <c r="G860" s="93"/>
      <c r="H860" s="93"/>
      <c r="AF860" s="103"/>
    </row>
    <row r="861" spans="4:32" ht="15.6">
      <c r="D861" s="93"/>
      <c r="E861" s="93"/>
      <c r="F861" s="93"/>
      <c r="G861" s="93"/>
      <c r="H861" s="93"/>
      <c r="AF861" s="103"/>
    </row>
    <row r="862" spans="4:32" ht="15.6">
      <c r="D862" s="93"/>
      <c r="E862" s="93"/>
      <c r="F862" s="93"/>
      <c r="G862" s="93"/>
      <c r="H862" s="93"/>
      <c r="AF862" s="103"/>
    </row>
    <row r="863" spans="4:32" ht="15.6">
      <c r="D863" s="93"/>
      <c r="E863" s="93"/>
      <c r="F863" s="93"/>
      <c r="G863" s="93"/>
      <c r="H863" s="93"/>
      <c r="AF863" s="103"/>
    </row>
    <row r="864" spans="4:32" ht="15.6">
      <c r="D864" s="93"/>
      <c r="E864" s="93"/>
      <c r="F864" s="93"/>
      <c r="G864" s="93"/>
      <c r="H864" s="93"/>
      <c r="AF864" s="103"/>
    </row>
    <row r="865" spans="4:32" ht="15.6">
      <c r="D865" s="93"/>
      <c r="E865" s="93"/>
      <c r="F865" s="93"/>
      <c r="G865" s="93"/>
      <c r="H865" s="93"/>
      <c r="AF865" s="103"/>
    </row>
    <row r="866" spans="4:32" ht="15.6">
      <c r="D866" s="93"/>
      <c r="E866" s="93"/>
      <c r="F866" s="93"/>
      <c r="G866" s="93"/>
      <c r="H866" s="93"/>
      <c r="AF866" s="103"/>
    </row>
    <row r="867" spans="4:32" ht="15.6">
      <c r="D867" s="93"/>
      <c r="E867" s="93"/>
      <c r="F867" s="93"/>
      <c r="G867" s="93"/>
      <c r="H867" s="93"/>
      <c r="AF867" s="103"/>
    </row>
    <row r="868" spans="4:32" ht="15.6">
      <c r="D868" s="93"/>
      <c r="E868" s="93"/>
      <c r="F868" s="93"/>
      <c r="G868" s="93"/>
      <c r="H868" s="93"/>
      <c r="AF868" s="103"/>
    </row>
    <row r="869" spans="4:32" ht="15.6">
      <c r="D869" s="93"/>
      <c r="E869" s="93"/>
      <c r="F869" s="93"/>
      <c r="G869" s="93"/>
      <c r="H869" s="93"/>
      <c r="AF869" s="103"/>
    </row>
    <row r="870" spans="4:32" ht="15.6">
      <c r="D870" s="93"/>
      <c r="E870" s="93"/>
      <c r="F870" s="93"/>
      <c r="G870" s="93"/>
      <c r="H870" s="93"/>
      <c r="AF870" s="103"/>
    </row>
    <row r="871" spans="4:32" ht="15.6">
      <c r="D871" s="93"/>
      <c r="E871" s="93"/>
      <c r="F871" s="93"/>
      <c r="G871" s="93"/>
      <c r="H871" s="93"/>
      <c r="AF871" s="103"/>
    </row>
    <row r="872" spans="4:32" ht="15.6">
      <c r="D872" s="93"/>
      <c r="E872" s="93"/>
      <c r="F872" s="93"/>
      <c r="G872" s="93"/>
      <c r="H872" s="93"/>
      <c r="AF872" s="103"/>
    </row>
    <row r="873" spans="4:32" ht="15.6">
      <c r="D873" s="93"/>
      <c r="E873" s="93"/>
      <c r="F873" s="93"/>
      <c r="G873" s="93"/>
      <c r="H873" s="93"/>
      <c r="AF873" s="103"/>
    </row>
    <row r="874" spans="4:32" ht="15.6">
      <c r="D874" s="93"/>
      <c r="E874" s="93"/>
      <c r="F874" s="93"/>
      <c r="G874" s="93"/>
      <c r="H874" s="93"/>
      <c r="AF874" s="103"/>
    </row>
    <row r="875" spans="4:32" ht="15.6">
      <c r="D875" s="93"/>
      <c r="E875" s="93"/>
      <c r="F875" s="93"/>
      <c r="G875" s="93"/>
      <c r="H875" s="93"/>
      <c r="AF875" s="103"/>
    </row>
    <row r="876" spans="4:32" ht="15.6">
      <c r="D876" s="93"/>
      <c r="E876" s="93"/>
      <c r="F876" s="93"/>
      <c r="G876" s="93"/>
      <c r="H876" s="93"/>
      <c r="AF876" s="103"/>
    </row>
    <row r="877" spans="4:32" ht="15.6">
      <c r="D877" s="93"/>
      <c r="E877" s="93"/>
      <c r="F877" s="93"/>
      <c r="G877" s="93"/>
      <c r="H877" s="93"/>
      <c r="AF877" s="103"/>
    </row>
    <row r="878" spans="4:32" ht="15.6">
      <c r="D878" s="93"/>
      <c r="E878" s="93"/>
      <c r="F878" s="93"/>
      <c r="G878" s="93"/>
      <c r="H878" s="93"/>
      <c r="AF878" s="103"/>
    </row>
    <row r="879" spans="4:32" ht="15.6">
      <c r="D879" s="93"/>
      <c r="E879" s="93"/>
      <c r="F879" s="93"/>
      <c r="G879" s="93"/>
      <c r="H879" s="93"/>
      <c r="AF879" s="103"/>
    </row>
    <row r="880" spans="4:32" ht="15.6">
      <c r="D880" s="93"/>
      <c r="E880" s="93"/>
      <c r="F880" s="93"/>
      <c r="G880" s="93"/>
      <c r="H880" s="93"/>
      <c r="AF880" s="103"/>
    </row>
    <row r="881" spans="4:32" ht="15.6">
      <c r="D881" s="93"/>
      <c r="E881" s="93"/>
      <c r="F881" s="93"/>
      <c r="G881" s="93"/>
      <c r="H881" s="93"/>
      <c r="AF881" s="103"/>
    </row>
    <row r="882" spans="4:32" ht="15.6">
      <c r="D882" s="93"/>
      <c r="E882" s="93"/>
      <c r="F882" s="93"/>
      <c r="G882" s="93"/>
      <c r="H882" s="93"/>
      <c r="AF882" s="103"/>
    </row>
    <row r="883" spans="4:32" ht="15.6">
      <c r="D883" s="93"/>
      <c r="E883" s="93"/>
      <c r="F883" s="93"/>
      <c r="G883" s="93"/>
      <c r="H883" s="93"/>
      <c r="AF883" s="103"/>
    </row>
    <row r="884" spans="4:32" ht="15.6">
      <c r="D884" s="93"/>
      <c r="E884" s="93"/>
      <c r="F884" s="93"/>
      <c r="G884" s="93"/>
      <c r="H884" s="93"/>
      <c r="AF884" s="103"/>
    </row>
    <row r="885" spans="4:32" ht="15.6">
      <c r="D885" s="93"/>
      <c r="E885" s="93"/>
      <c r="F885" s="93"/>
      <c r="G885" s="93"/>
      <c r="H885" s="93"/>
      <c r="AF885" s="103"/>
    </row>
    <row r="886" spans="4:32" ht="15.6">
      <c r="D886" s="93"/>
      <c r="E886" s="93"/>
      <c r="F886" s="93"/>
      <c r="G886" s="93"/>
      <c r="H886" s="93"/>
      <c r="AF886" s="103"/>
    </row>
    <row r="887" spans="4:32" ht="15.6">
      <c r="D887" s="93"/>
      <c r="E887" s="93"/>
      <c r="F887" s="93"/>
      <c r="G887" s="93"/>
      <c r="H887" s="93"/>
      <c r="AF887" s="103"/>
    </row>
    <row r="888" spans="4:32" ht="15.6">
      <c r="D888" s="93"/>
      <c r="E888" s="93"/>
      <c r="F888" s="93"/>
      <c r="G888" s="93"/>
      <c r="H888" s="93"/>
      <c r="AF888" s="103"/>
    </row>
    <row r="889" spans="4:32" ht="15.6">
      <c r="D889" s="93"/>
      <c r="E889" s="93"/>
      <c r="F889" s="93"/>
      <c r="G889" s="93"/>
      <c r="H889" s="93"/>
      <c r="AF889" s="103"/>
    </row>
    <row r="890" spans="4:32" ht="15.6">
      <c r="D890" s="93"/>
      <c r="E890" s="93"/>
      <c r="F890" s="93"/>
      <c r="G890" s="93"/>
      <c r="H890" s="93"/>
      <c r="AF890" s="103"/>
    </row>
    <row r="891" spans="4:32" ht="15.6">
      <c r="D891" s="93"/>
      <c r="E891" s="93"/>
      <c r="F891" s="93"/>
      <c r="G891" s="93"/>
      <c r="H891" s="93"/>
      <c r="AF891" s="103"/>
    </row>
    <row r="892" spans="4:32" ht="15.6">
      <c r="D892" s="93"/>
      <c r="E892" s="93"/>
      <c r="F892" s="93"/>
      <c r="G892" s="93"/>
      <c r="H892" s="93"/>
      <c r="AF892" s="103"/>
    </row>
    <row r="893" spans="4:32" ht="15.6">
      <c r="D893" s="93"/>
      <c r="E893" s="93"/>
      <c r="F893" s="93"/>
      <c r="G893" s="93"/>
      <c r="H893" s="93"/>
      <c r="AF893" s="103"/>
    </row>
    <row r="894" spans="4:32" ht="15.6">
      <c r="D894" s="93"/>
      <c r="E894" s="93"/>
      <c r="F894" s="93"/>
      <c r="G894" s="93"/>
      <c r="H894" s="93"/>
      <c r="AF894" s="103"/>
    </row>
    <row r="895" spans="4:32" ht="15.6">
      <c r="D895" s="93"/>
      <c r="E895" s="93"/>
      <c r="F895" s="93"/>
      <c r="G895" s="93"/>
      <c r="H895" s="93"/>
      <c r="AF895" s="103"/>
    </row>
    <row r="896" spans="4:32" ht="15.6">
      <c r="D896" s="93"/>
      <c r="E896" s="93"/>
      <c r="F896" s="93"/>
      <c r="G896" s="93"/>
      <c r="H896" s="93"/>
      <c r="AF896" s="103"/>
    </row>
    <row r="897" spans="4:32" ht="15.6">
      <c r="D897" s="93"/>
      <c r="E897" s="93"/>
      <c r="F897" s="93"/>
      <c r="G897" s="93"/>
      <c r="H897" s="93"/>
      <c r="AF897" s="103"/>
    </row>
    <row r="898" spans="4:32" ht="15.6">
      <c r="D898" s="93"/>
      <c r="E898" s="93"/>
      <c r="F898" s="93"/>
      <c r="G898" s="93"/>
      <c r="H898" s="93"/>
      <c r="AF898" s="103"/>
    </row>
    <row r="899" spans="4:32" ht="15.6">
      <c r="D899" s="93"/>
      <c r="E899" s="93"/>
      <c r="F899" s="93"/>
      <c r="G899" s="93"/>
      <c r="H899" s="93"/>
      <c r="AF899" s="103"/>
    </row>
    <row r="900" spans="4:32" ht="15.6">
      <c r="D900" s="93"/>
      <c r="E900" s="93"/>
      <c r="F900" s="93"/>
      <c r="G900" s="93"/>
      <c r="H900" s="93"/>
      <c r="AF900" s="103"/>
    </row>
    <row r="901" spans="4:32" ht="15.6">
      <c r="D901" s="93"/>
      <c r="E901" s="93"/>
      <c r="F901" s="93"/>
      <c r="G901" s="93"/>
      <c r="H901" s="93"/>
      <c r="AF901" s="103"/>
    </row>
    <row r="902" spans="4:32" ht="15.6">
      <c r="D902" s="93"/>
      <c r="E902" s="93"/>
      <c r="F902" s="93"/>
      <c r="G902" s="93"/>
      <c r="H902" s="93"/>
      <c r="AF902" s="103"/>
    </row>
    <row r="903" spans="4:32" ht="15.6">
      <c r="D903" s="93"/>
      <c r="E903" s="93"/>
      <c r="F903" s="93"/>
      <c r="G903" s="93"/>
      <c r="H903" s="93"/>
      <c r="AF903" s="103"/>
    </row>
    <row r="904" spans="4:32" ht="15.6">
      <c r="D904" s="93"/>
      <c r="E904" s="93"/>
      <c r="F904" s="93"/>
      <c r="G904" s="93"/>
      <c r="H904" s="93"/>
      <c r="AF904" s="103"/>
    </row>
    <row r="905" spans="4:32" ht="15.6">
      <c r="D905" s="93"/>
      <c r="E905" s="93"/>
      <c r="F905" s="93"/>
      <c r="G905" s="93"/>
      <c r="H905" s="93"/>
      <c r="AF905" s="103"/>
    </row>
    <row r="906" spans="4:32" ht="15.6">
      <c r="D906" s="93"/>
      <c r="E906" s="93"/>
      <c r="F906" s="93"/>
      <c r="G906" s="93"/>
      <c r="H906" s="93"/>
      <c r="AF906" s="103"/>
    </row>
    <row r="907" spans="4:32" ht="15.6">
      <c r="D907" s="93"/>
      <c r="E907" s="93"/>
      <c r="F907" s="93"/>
      <c r="G907" s="93"/>
      <c r="H907" s="93"/>
      <c r="AF907" s="103"/>
    </row>
    <row r="908" spans="4:32" ht="15.6">
      <c r="D908" s="93"/>
      <c r="E908" s="93"/>
      <c r="F908" s="93"/>
      <c r="G908" s="93"/>
      <c r="H908" s="93"/>
      <c r="AF908" s="103"/>
    </row>
    <row r="909" spans="4:32" ht="15.6">
      <c r="D909" s="93"/>
      <c r="E909" s="93"/>
      <c r="F909" s="93"/>
      <c r="G909" s="93"/>
      <c r="H909" s="93"/>
      <c r="AF909" s="103"/>
    </row>
    <row r="910" spans="4:32" ht="15.6">
      <c r="D910" s="93"/>
      <c r="E910" s="93"/>
      <c r="F910" s="93"/>
      <c r="G910" s="93"/>
      <c r="H910" s="93"/>
      <c r="AF910" s="103"/>
    </row>
    <row r="911" spans="4:32" ht="15.6">
      <c r="D911" s="93"/>
      <c r="E911" s="93"/>
      <c r="F911" s="93"/>
      <c r="G911" s="93"/>
      <c r="H911" s="93"/>
      <c r="AF911" s="103"/>
    </row>
    <row r="912" spans="4:32" ht="15.6">
      <c r="D912" s="93"/>
      <c r="E912" s="93"/>
      <c r="F912" s="93"/>
      <c r="G912" s="93"/>
      <c r="H912" s="93"/>
      <c r="AF912" s="103"/>
    </row>
    <row r="913" spans="4:32" ht="15.6">
      <c r="D913" s="93"/>
      <c r="E913" s="93"/>
      <c r="F913" s="93"/>
      <c r="G913" s="93"/>
      <c r="H913" s="93"/>
      <c r="AF913" s="103"/>
    </row>
    <row r="914" spans="4:32" ht="15.6">
      <c r="D914" s="93"/>
      <c r="E914" s="93"/>
      <c r="F914" s="93"/>
      <c r="G914" s="93"/>
      <c r="H914" s="93"/>
      <c r="AF914" s="103"/>
    </row>
    <row r="915" spans="4:32" ht="15.6">
      <c r="D915" s="93"/>
      <c r="E915" s="93"/>
      <c r="F915" s="93"/>
      <c r="G915" s="93"/>
      <c r="H915" s="93"/>
      <c r="AF915" s="103"/>
    </row>
    <row r="916" spans="4:32" ht="15.6">
      <c r="D916" s="93"/>
      <c r="E916" s="93"/>
      <c r="F916" s="93"/>
      <c r="G916" s="93"/>
      <c r="H916" s="93"/>
      <c r="AF916" s="103"/>
    </row>
    <row r="917" spans="4:32" ht="15.6">
      <c r="D917" s="93"/>
      <c r="E917" s="93"/>
      <c r="F917" s="93"/>
      <c r="G917" s="93"/>
      <c r="H917" s="93"/>
      <c r="AF917" s="103"/>
    </row>
    <row r="918" spans="4:32" ht="15.6">
      <c r="D918" s="93"/>
      <c r="E918" s="93"/>
      <c r="F918" s="93"/>
      <c r="G918" s="93"/>
      <c r="H918" s="93"/>
      <c r="AF918" s="103"/>
    </row>
    <row r="919" spans="4:32" ht="15.6">
      <c r="D919" s="93"/>
      <c r="E919" s="93"/>
      <c r="F919" s="93"/>
      <c r="G919" s="93"/>
      <c r="H919" s="93"/>
      <c r="AF919" s="103"/>
    </row>
    <row r="920" spans="4:32" ht="15.6">
      <c r="D920" s="93"/>
      <c r="E920" s="93"/>
      <c r="F920" s="93"/>
      <c r="G920" s="93"/>
      <c r="H920" s="93"/>
      <c r="AF920" s="103"/>
    </row>
    <row r="921" spans="4:32" ht="15.6">
      <c r="D921" s="93"/>
      <c r="E921" s="93"/>
      <c r="F921" s="93"/>
      <c r="G921" s="93"/>
      <c r="H921" s="93"/>
      <c r="AF921" s="103"/>
    </row>
    <row r="922" spans="4:32" ht="15.6">
      <c r="D922" s="93"/>
      <c r="E922" s="93"/>
      <c r="F922" s="93"/>
      <c r="G922" s="93"/>
      <c r="H922" s="93"/>
      <c r="AF922" s="103"/>
    </row>
    <row r="923" spans="4:32" ht="15.6">
      <c r="D923" s="93"/>
      <c r="E923" s="93"/>
      <c r="F923" s="93"/>
      <c r="G923" s="93"/>
      <c r="H923" s="93"/>
      <c r="AF923" s="103"/>
    </row>
    <row r="924" spans="4:32" ht="15.6">
      <c r="D924" s="93"/>
      <c r="E924" s="93"/>
      <c r="F924" s="93"/>
      <c r="G924" s="93"/>
      <c r="H924" s="93"/>
      <c r="AF924" s="103"/>
    </row>
    <row r="925" spans="4:32" ht="15.6">
      <c r="D925" s="93"/>
      <c r="E925" s="93"/>
      <c r="F925" s="93"/>
      <c r="G925" s="93"/>
      <c r="H925" s="93"/>
      <c r="AF925" s="103"/>
    </row>
    <row r="926" spans="4:32" ht="15.6">
      <c r="D926" s="93"/>
      <c r="E926" s="93"/>
      <c r="F926" s="93"/>
      <c r="G926" s="93"/>
      <c r="H926" s="93"/>
      <c r="AF926" s="103"/>
    </row>
    <row r="927" spans="4:32" ht="15.6">
      <c r="D927" s="93"/>
      <c r="E927" s="93"/>
      <c r="F927" s="93"/>
      <c r="G927" s="93"/>
      <c r="H927" s="93"/>
      <c r="AF927" s="103"/>
    </row>
    <row r="928" spans="4:32" ht="15.6">
      <c r="D928" s="93"/>
      <c r="E928" s="93"/>
      <c r="F928" s="93"/>
      <c r="G928" s="93"/>
      <c r="H928" s="93"/>
      <c r="AF928" s="103"/>
    </row>
    <row r="929" spans="4:32" ht="15.6">
      <c r="D929" s="93"/>
      <c r="E929" s="93"/>
      <c r="F929" s="93"/>
      <c r="G929" s="93"/>
      <c r="H929" s="93"/>
      <c r="AF929" s="103"/>
    </row>
    <row r="930" spans="4:32" ht="15.6">
      <c r="D930" s="93"/>
      <c r="E930" s="93"/>
      <c r="F930" s="93"/>
      <c r="G930" s="93"/>
      <c r="H930" s="93"/>
      <c r="AF930" s="103"/>
    </row>
    <row r="931" spans="4:32" ht="15.6">
      <c r="D931" s="93"/>
      <c r="E931" s="93"/>
      <c r="F931" s="93"/>
      <c r="G931" s="93"/>
      <c r="H931" s="93"/>
      <c r="AF931" s="103"/>
    </row>
    <row r="932" spans="4:32" ht="15.6">
      <c r="D932" s="93"/>
      <c r="E932" s="93"/>
      <c r="F932" s="93"/>
      <c r="G932" s="93"/>
      <c r="H932" s="93"/>
      <c r="AF932" s="103"/>
    </row>
    <row r="933" spans="4:32" ht="15.6">
      <c r="D933" s="93"/>
      <c r="E933" s="93"/>
      <c r="F933" s="93"/>
      <c r="G933" s="93"/>
      <c r="H933" s="93"/>
      <c r="AF933" s="103"/>
    </row>
    <row r="934" spans="4:32" ht="15.6">
      <c r="D934" s="93"/>
      <c r="E934" s="93"/>
      <c r="F934" s="93"/>
      <c r="G934" s="93"/>
      <c r="H934" s="93"/>
      <c r="AF934" s="103"/>
    </row>
    <row r="935" spans="4:32" ht="15.6">
      <c r="D935" s="93"/>
      <c r="E935" s="93"/>
      <c r="F935" s="93"/>
      <c r="G935" s="93"/>
      <c r="H935" s="93"/>
      <c r="AF935" s="103"/>
    </row>
    <row r="936" spans="4:32" ht="15.6">
      <c r="D936" s="93"/>
      <c r="E936" s="93"/>
      <c r="F936" s="93"/>
      <c r="G936" s="93"/>
      <c r="H936" s="93"/>
      <c r="AF936" s="103"/>
    </row>
    <row r="937" spans="4:32" ht="15.6">
      <c r="D937" s="93"/>
      <c r="E937" s="93"/>
      <c r="F937" s="93"/>
      <c r="G937" s="93"/>
      <c r="H937" s="93"/>
      <c r="AF937" s="103"/>
    </row>
    <row r="938" spans="4:32" ht="15.6">
      <c r="D938" s="93"/>
      <c r="E938" s="93"/>
      <c r="F938" s="93"/>
      <c r="G938" s="93"/>
      <c r="H938" s="93"/>
      <c r="AF938" s="103"/>
    </row>
    <row r="939" spans="4:32" ht="15.6">
      <c r="D939" s="93"/>
      <c r="E939" s="93"/>
      <c r="F939" s="93"/>
      <c r="G939" s="93"/>
      <c r="H939" s="93"/>
      <c r="AF939" s="103"/>
    </row>
    <row r="940" spans="4:32" ht="15.6">
      <c r="D940" s="93"/>
      <c r="E940" s="93"/>
      <c r="F940" s="93"/>
      <c r="G940" s="93"/>
      <c r="H940" s="93"/>
      <c r="AF940" s="103"/>
    </row>
    <row r="941" spans="4:32" ht="15.6">
      <c r="D941" s="93"/>
      <c r="E941" s="93"/>
      <c r="F941" s="93"/>
      <c r="G941" s="93"/>
      <c r="H941" s="93"/>
      <c r="AF941" s="103"/>
    </row>
    <row r="942" spans="4:32" ht="15.6">
      <c r="D942" s="93"/>
      <c r="E942" s="93"/>
      <c r="F942" s="93"/>
      <c r="G942" s="93"/>
      <c r="H942" s="93"/>
      <c r="AF942" s="103"/>
    </row>
    <row r="943" spans="4:32" ht="15.6">
      <c r="D943" s="93"/>
      <c r="E943" s="93"/>
      <c r="F943" s="93"/>
      <c r="G943" s="93"/>
      <c r="H943" s="93"/>
      <c r="AF943" s="103"/>
    </row>
    <row r="944" spans="4:32" ht="15.6">
      <c r="D944" s="93"/>
      <c r="E944" s="93"/>
      <c r="F944" s="93"/>
      <c r="G944" s="93"/>
      <c r="H944" s="93"/>
      <c r="AF944" s="103"/>
    </row>
    <row r="945" spans="4:32" ht="15.6">
      <c r="D945" s="93"/>
      <c r="E945" s="93"/>
      <c r="F945" s="93"/>
      <c r="G945" s="93"/>
      <c r="H945" s="93"/>
      <c r="AF945" s="103"/>
    </row>
    <row r="946" spans="4:32" ht="15.6">
      <c r="D946" s="93"/>
      <c r="E946" s="93"/>
      <c r="F946" s="93"/>
      <c r="G946" s="93"/>
      <c r="H946" s="93"/>
      <c r="AF946" s="103"/>
    </row>
    <row r="947" spans="4:32" ht="15.6">
      <c r="D947" s="93"/>
      <c r="E947" s="93"/>
      <c r="F947" s="93"/>
      <c r="G947" s="93"/>
      <c r="H947" s="93"/>
      <c r="AF947" s="103"/>
    </row>
    <row r="948" spans="4:32" ht="15.6">
      <c r="D948" s="93"/>
      <c r="E948" s="93"/>
      <c r="F948" s="93"/>
      <c r="G948" s="93"/>
      <c r="H948" s="93"/>
      <c r="AF948" s="103"/>
    </row>
    <row r="949" spans="4:32" ht="15.6">
      <c r="D949" s="93"/>
      <c r="E949" s="93"/>
      <c r="F949" s="93"/>
      <c r="G949" s="93"/>
      <c r="H949" s="93"/>
      <c r="AF949" s="103"/>
    </row>
    <row r="950" spans="4:32" ht="15.6">
      <c r="D950" s="93"/>
      <c r="E950" s="93"/>
      <c r="F950" s="93"/>
      <c r="G950" s="93"/>
      <c r="H950" s="93"/>
      <c r="AF950" s="103"/>
    </row>
    <row r="951" spans="4:32" ht="15.6">
      <c r="D951" s="93"/>
      <c r="E951" s="93"/>
      <c r="F951" s="93"/>
      <c r="G951" s="93"/>
      <c r="H951" s="93"/>
      <c r="AF951" s="103"/>
    </row>
    <row r="952" spans="4:32" ht="15.6">
      <c r="D952" s="93"/>
      <c r="E952" s="93"/>
      <c r="F952" s="93"/>
      <c r="G952" s="93"/>
      <c r="H952" s="93"/>
      <c r="AF952" s="103"/>
    </row>
    <row r="953" spans="4:32" ht="15.6">
      <c r="D953" s="93"/>
      <c r="E953" s="93"/>
      <c r="F953" s="93"/>
      <c r="G953" s="93"/>
      <c r="H953" s="93"/>
      <c r="AF953" s="103"/>
    </row>
    <row r="954" spans="4:32" ht="15.6">
      <c r="D954" s="93"/>
      <c r="E954" s="93"/>
      <c r="F954" s="93"/>
      <c r="G954" s="93"/>
      <c r="H954" s="93"/>
      <c r="AF954" s="103"/>
    </row>
    <row r="955" spans="4:32" ht="15.6">
      <c r="D955" s="93"/>
      <c r="E955" s="93"/>
      <c r="F955" s="93"/>
      <c r="G955" s="93"/>
      <c r="H955" s="93"/>
      <c r="AF955" s="103"/>
    </row>
    <row r="956" spans="4:32" ht="15.6">
      <c r="D956" s="93"/>
      <c r="E956" s="93"/>
      <c r="F956" s="93"/>
      <c r="G956" s="93"/>
      <c r="H956" s="93"/>
      <c r="AF956" s="103"/>
    </row>
    <row r="957" spans="4:32" ht="15.6">
      <c r="D957" s="93"/>
      <c r="E957" s="93"/>
      <c r="F957" s="93"/>
      <c r="G957" s="93"/>
      <c r="H957" s="93"/>
      <c r="AF957" s="103"/>
    </row>
    <row r="958" spans="4:32" ht="15.6">
      <c r="D958" s="93"/>
      <c r="E958" s="93"/>
      <c r="F958" s="93"/>
      <c r="G958" s="93"/>
      <c r="H958" s="93"/>
      <c r="AF958" s="103"/>
    </row>
    <row r="959" spans="4:32" ht="15.6">
      <c r="D959" s="93"/>
      <c r="E959" s="93"/>
      <c r="F959" s="93"/>
      <c r="G959" s="93"/>
      <c r="H959" s="93"/>
      <c r="AF959" s="103"/>
    </row>
  </sheetData>
  <mergeCells count="35">
    <mergeCell ref="D133:G133"/>
    <mergeCell ref="D23:H23"/>
    <mergeCell ref="D24:H24"/>
    <mergeCell ref="D25:H25"/>
    <mergeCell ref="D26:H26"/>
    <mergeCell ref="D27:H27"/>
    <mergeCell ref="D28:H28"/>
    <mergeCell ref="D29:H29"/>
    <mergeCell ref="D128:G128"/>
    <mergeCell ref="D129:G129"/>
    <mergeCell ref="D130:G130"/>
    <mergeCell ref="D131:G131"/>
    <mergeCell ref="D132:G132"/>
    <mergeCell ref="D30:H30"/>
    <mergeCell ref="S33:AD33"/>
    <mergeCell ref="S34:AD34"/>
    <mergeCell ref="D127:G127"/>
    <mergeCell ref="I127:T127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4:H4"/>
    <mergeCell ref="D5:H5"/>
    <mergeCell ref="D6:H6"/>
    <mergeCell ref="D7:H7"/>
    <mergeCell ref="D13:H13"/>
  </mergeCells>
  <printOptions gridLines="1"/>
  <pageMargins left="0.31496062992125984" right="0.31496062992125984" top="0" bottom="0.74803149606299213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 xr:uid="{00000000-0002-0000-0400-000000000000}">
          <x14:formula1>
            <xm:f>Hoja3!$D$3:$D$32</xm:f>
          </x14:formula1>
          <xm:sqref>D16</xm:sqref>
        </x14:dataValidation>
        <x14:dataValidation type="list" allowBlank="1" showErrorMessage="1" xr:uid="{00000000-0002-0000-0400-000001000000}">
          <x14:formula1>
            <xm:f>Hoja3!$P$3:$P$6</xm:f>
          </x14:formula1>
          <xm:sqref>D128</xm:sqref>
        </x14:dataValidation>
        <x14:dataValidation type="list" allowBlank="1" showErrorMessage="1" xr:uid="{00000000-0002-0000-0400-000002000000}">
          <x14:formula1>
            <xm:f>Hoja3!$O$3:$O$7</xm:f>
          </x14:formula1>
          <xm:sqref>D127</xm:sqref>
        </x14:dataValidation>
        <x14:dataValidation type="list" allowBlank="1" showErrorMessage="1" xr:uid="{00000000-0002-0000-0400-000003000000}">
          <x14:formula1>
            <xm:f>Hoja3!$C$3:$C$32</xm:f>
          </x14:formula1>
          <xm:sqref>D14</xm:sqref>
        </x14:dataValidation>
        <x14:dataValidation type="list" allowBlank="1" showErrorMessage="1" xr:uid="{00000000-0002-0000-0400-000004000000}">
          <x14:formula1>
            <xm:f>Hoja3!$E$3:$E$6</xm:f>
          </x14:formula1>
          <xm:sqref>D17</xm:sqref>
        </x14:dataValidation>
        <x14:dataValidation type="list" allowBlank="1" showErrorMessage="1" xr:uid="{00000000-0002-0000-0400-000005000000}">
          <x14:formula1>
            <xm:f>Hoja3!$H$3:$H$5</xm:f>
          </x14:formula1>
          <xm:sqref>D21</xm:sqref>
        </x14:dataValidation>
        <x14:dataValidation type="list" allowBlank="1" showErrorMessage="1" xr:uid="{00000000-0002-0000-0400-000006000000}">
          <x14:formula1>
            <xm:f>Hoja3!$I$3:$I$32</xm:f>
          </x14:formula1>
          <xm:sqref>D22</xm:sqref>
        </x14:dataValidation>
        <x14:dataValidation type="list" allowBlank="1" showErrorMessage="1" xr:uid="{00000000-0002-0000-0400-000007000000}">
          <x14:formula1>
            <xm:f>Hoja3!$M$3:$M$23</xm:f>
          </x14:formula1>
          <xm:sqref>D26</xm:sqref>
        </x14:dataValidation>
        <x14:dataValidation type="list" allowBlank="1" showErrorMessage="1" xr:uid="{00000000-0002-0000-0400-000008000000}">
          <x14:formula1>
            <xm:f>Hoja3!$R$4:$R$99</xm:f>
          </x14:formula1>
          <xm:sqref>B53 B55 B58</xm:sqref>
        </x14:dataValidation>
        <x14:dataValidation type="list" allowBlank="1" showErrorMessage="1" xr:uid="{00000000-0002-0000-0400-000009000000}">
          <x14:formula1>
            <xm:f>Hoja3!$L$3:$L$8</xm:f>
          </x14:formula1>
          <xm:sqref>D25</xm:sqref>
        </x14:dataValidation>
        <x14:dataValidation type="list" allowBlank="1" showErrorMessage="1" xr:uid="{00000000-0002-0000-0400-00000A000000}">
          <x14:formula1>
            <xm:f>Hoja3!$Q$3:$Q$5</xm:f>
          </x14:formula1>
          <xm:sqref>D131</xm:sqref>
        </x14:dataValidation>
        <x14:dataValidation type="list" allowBlank="1" showErrorMessage="1" xr:uid="{00000000-0002-0000-0400-00000B000000}">
          <x14:formula1>
            <xm:f>Hoja3!$B$3:$B$25</xm:f>
          </x14:formula1>
          <xm:sqref>D15</xm:sqref>
        </x14:dataValidation>
        <x14:dataValidation type="list" allowBlank="1" showErrorMessage="1" xr:uid="{00000000-0002-0000-0400-00000C000000}">
          <x14:formula1>
            <xm:f>Hoja3!$J$3:$J$8</xm:f>
          </x14:formula1>
          <xm:sqref>D23</xm:sqref>
        </x14:dataValidation>
        <x14:dataValidation type="list" allowBlank="1" showErrorMessage="1" xr:uid="{00000000-0002-0000-0400-00000D000000}">
          <x14:formula1>
            <xm:f>Hoja3!$N$3:$N$94</xm:f>
          </x14:formula1>
          <xm:sqref>D27</xm:sqref>
        </x14:dataValidation>
        <x14:dataValidation type="list" allowBlank="1" showErrorMessage="1" xr:uid="{00000000-0002-0000-0400-00000E000000}">
          <x14:formula1>
            <xm:f>Hoja3!$F$3:$F$30</xm:f>
          </x14:formula1>
          <xm:sqref>D18</xm:sqref>
        </x14:dataValidation>
        <x14:dataValidation type="list" allowBlank="1" showErrorMessage="1" xr:uid="{00000000-0002-0000-0400-00000F000000}">
          <x14:formula1>
            <xm:f>Hoja3!$G$3:$G$113</xm:f>
          </x14:formula1>
          <xm:sqref>D20</xm:sqref>
        </x14:dataValidation>
        <x14:dataValidation type="list" allowBlank="1" showErrorMessage="1" xr:uid="{00000000-0002-0000-0400-000010000000}">
          <x14:formula1>
            <xm:f>Hoja3!$R$3:$R$99</xm:f>
          </x14:formula1>
          <xm:sqref>B35 D129</xm:sqref>
        </x14:dataValidation>
        <x14:dataValidation type="list" allowBlank="1" showErrorMessage="1" xr:uid="{00000000-0002-0000-0400-000011000000}">
          <x14:formula1>
            <xm:f>Hoja3!$K$3:$K$29</xm:f>
          </x14:formula1>
          <xm:sqref>D24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0"/>
  <sheetViews>
    <sheetView workbookViewId="0"/>
  </sheetViews>
  <sheetFormatPr baseColWidth="10" defaultColWidth="14.44140625" defaultRowHeight="15" customHeight="1"/>
  <cols>
    <col min="2" max="2" width="45" customWidth="1"/>
    <col min="3" max="3" width="39.109375" customWidth="1"/>
  </cols>
  <sheetData>
    <row r="1" spans="1:26" ht="15" customHeight="1">
      <c r="A1" s="136" t="s">
        <v>398</v>
      </c>
      <c r="B1" s="137" t="s">
        <v>43</v>
      </c>
      <c r="C1" s="138" t="s">
        <v>44</v>
      </c>
      <c r="D1" s="139" t="s">
        <v>53</v>
      </c>
      <c r="E1" s="139" t="s">
        <v>71</v>
      </c>
      <c r="F1" s="140" t="s">
        <v>55</v>
      </c>
      <c r="G1" s="141" t="s">
        <v>399</v>
      </c>
      <c r="H1" s="141" t="s">
        <v>400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 ht="15" customHeight="1">
      <c r="A2" s="140"/>
      <c r="B2" s="137" t="s">
        <v>74</v>
      </c>
      <c r="C2" s="138" t="s">
        <v>75</v>
      </c>
      <c r="D2" s="139" t="s">
        <v>84</v>
      </c>
      <c r="E2" s="139">
        <v>22787</v>
      </c>
      <c r="F2" s="140">
        <v>37731</v>
      </c>
      <c r="G2" s="142" t="s">
        <v>401</v>
      </c>
      <c r="H2" s="143" t="b">
        <v>1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5" customHeight="1">
      <c r="A3" s="140"/>
      <c r="B3" s="137" t="s">
        <v>88</v>
      </c>
      <c r="C3" s="138" t="s">
        <v>89</v>
      </c>
      <c r="D3" s="139" t="s">
        <v>84</v>
      </c>
      <c r="E3" s="139">
        <v>0</v>
      </c>
      <c r="F3" s="140">
        <v>1503807</v>
      </c>
      <c r="G3" s="142" t="s">
        <v>401</v>
      </c>
      <c r="H3" s="144" t="b">
        <v>0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</row>
    <row r="4" spans="1:26" ht="15" customHeight="1">
      <c r="A4" s="140"/>
      <c r="B4" s="137" t="s">
        <v>99</v>
      </c>
      <c r="C4" s="138" t="s">
        <v>100</v>
      </c>
      <c r="D4" s="139" t="s">
        <v>108</v>
      </c>
      <c r="E4" s="139"/>
      <c r="F4" s="140">
        <v>0.9</v>
      </c>
      <c r="G4" s="142" t="s">
        <v>401</v>
      </c>
      <c r="H4" s="145" t="b">
        <v>0</v>
      </c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</row>
    <row r="5" spans="1:26" ht="15" customHeight="1">
      <c r="A5" s="140" t="s">
        <v>74</v>
      </c>
      <c r="B5" s="137" t="s">
        <v>110</v>
      </c>
      <c r="C5" s="138" t="s">
        <v>111</v>
      </c>
      <c r="D5" s="139" t="s">
        <v>108</v>
      </c>
      <c r="E5" s="139">
        <v>463</v>
      </c>
      <c r="F5" s="140">
        <v>7450</v>
      </c>
      <c r="G5" s="142" t="s">
        <v>401</v>
      </c>
      <c r="H5" s="146" t="b">
        <v>1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</row>
    <row r="6" spans="1:26" ht="15" customHeight="1">
      <c r="A6" s="140" t="s">
        <v>88</v>
      </c>
      <c r="B6" s="137" t="s">
        <v>120</v>
      </c>
      <c r="C6" s="138" t="s">
        <v>121</v>
      </c>
      <c r="D6" s="139" t="s">
        <v>108</v>
      </c>
      <c r="E6" s="139">
        <v>153</v>
      </c>
      <c r="F6" s="140">
        <v>640</v>
      </c>
      <c r="G6" s="142" t="s">
        <v>401</v>
      </c>
      <c r="H6" s="143" t="b">
        <v>1</v>
      </c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ht="15" customHeight="1">
      <c r="A7" s="140" t="s">
        <v>129</v>
      </c>
      <c r="B7" s="137" t="s">
        <v>130</v>
      </c>
      <c r="C7" s="138" t="s">
        <v>131</v>
      </c>
      <c r="D7" s="139" t="s">
        <v>108</v>
      </c>
      <c r="E7" s="139">
        <v>3448</v>
      </c>
      <c r="F7" s="140">
        <v>5000</v>
      </c>
      <c r="G7" s="142" t="s">
        <v>401</v>
      </c>
      <c r="H7" s="146" t="b">
        <v>1</v>
      </c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</row>
    <row r="8" spans="1:26" ht="15" customHeight="1">
      <c r="A8" s="140" t="s">
        <v>74</v>
      </c>
      <c r="B8" s="137" t="s">
        <v>139</v>
      </c>
      <c r="C8" s="138" t="s">
        <v>140</v>
      </c>
      <c r="D8" s="139" t="s">
        <v>108</v>
      </c>
      <c r="E8" s="139">
        <v>7578</v>
      </c>
      <c r="F8" s="140">
        <v>8791</v>
      </c>
      <c r="G8" s="142" t="s">
        <v>401</v>
      </c>
      <c r="H8" s="143" t="b">
        <v>1</v>
      </c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6" ht="15" customHeight="1">
      <c r="A9" s="140" t="s">
        <v>88</v>
      </c>
      <c r="B9" s="137" t="s">
        <v>147</v>
      </c>
      <c r="C9" s="138" t="s">
        <v>148</v>
      </c>
      <c r="D9" s="139" t="s">
        <v>108</v>
      </c>
      <c r="E9" s="139">
        <v>0</v>
      </c>
      <c r="F9" s="140">
        <v>1190350</v>
      </c>
      <c r="G9" s="142" t="s">
        <v>401</v>
      </c>
      <c r="H9" s="146" t="b">
        <v>1</v>
      </c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</row>
    <row r="10" spans="1:26" ht="15" customHeight="1">
      <c r="A10" s="140" t="s">
        <v>88</v>
      </c>
      <c r="B10" s="137" t="s">
        <v>156</v>
      </c>
      <c r="C10" s="138" t="s">
        <v>157</v>
      </c>
      <c r="D10" s="139" t="s">
        <v>108</v>
      </c>
      <c r="E10" s="139">
        <v>6573</v>
      </c>
      <c r="F10" s="140">
        <v>26292</v>
      </c>
      <c r="G10" s="142" t="s">
        <v>401</v>
      </c>
      <c r="H10" s="143" t="b">
        <v>1</v>
      </c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</row>
    <row r="11" spans="1:26" ht="15" customHeight="1">
      <c r="A11" s="140" t="s">
        <v>88</v>
      </c>
      <c r="B11" s="137" t="s">
        <v>163</v>
      </c>
      <c r="C11" s="138" t="s">
        <v>164</v>
      </c>
      <c r="D11" s="139" t="s">
        <v>108</v>
      </c>
      <c r="E11" s="139">
        <v>1005</v>
      </c>
      <c r="F11" s="140">
        <v>4020</v>
      </c>
      <c r="G11" s="142" t="s">
        <v>401</v>
      </c>
      <c r="H11" s="146" t="b">
        <v>1</v>
      </c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</row>
    <row r="12" spans="1:26" ht="15" customHeight="1">
      <c r="A12" s="140" t="s">
        <v>129</v>
      </c>
      <c r="B12" s="137" t="s">
        <v>168</v>
      </c>
      <c r="C12" s="138" t="s">
        <v>169</v>
      </c>
      <c r="D12" s="139" t="s">
        <v>108</v>
      </c>
      <c r="E12" s="139">
        <v>1940</v>
      </c>
      <c r="F12" s="140">
        <v>6000</v>
      </c>
      <c r="G12" s="142" t="s">
        <v>401</v>
      </c>
      <c r="H12" s="143" t="b">
        <v>1</v>
      </c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</row>
    <row r="13" spans="1:26" ht="15" customHeight="1">
      <c r="A13" s="140" t="s">
        <v>74</v>
      </c>
      <c r="B13" s="137" t="s">
        <v>177</v>
      </c>
      <c r="C13" s="138" t="s">
        <v>178</v>
      </c>
      <c r="D13" s="139" t="s">
        <v>184</v>
      </c>
      <c r="E13" s="139">
        <v>2292</v>
      </c>
      <c r="F13" s="140">
        <v>850</v>
      </c>
      <c r="G13" s="147">
        <f>E13/3</f>
        <v>764</v>
      </c>
      <c r="H13" s="146" t="b">
        <v>1</v>
      </c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</row>
    <row r="14" spans="1:26" ht="15" customHeight="1">
      <c r="A14" s="140" t="s">
        <v>88</v>
      </c>
      <c r="B14" s="137" t="s">
        <v>187</v>
      </c>
      <c r="C14" s="138" t="s">
        <v>188</v>
      </c>
      <c r="D14" s="139" t="s">
        <v>108</v>
      </c>
      <c r="E14" s="139">
        <v>4149</v>
      </c>
      <c r="F14" s="140">
        <v>15000</v>
      </c>
      <c r="G14" s="142" t="s">
        <v>401</v>
      </c>
      <c r="H14" s="143" t="b">
        <v>1</v>
      </c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</row>
    <row r="15" spans="1:26" ht="15" customHeight="1">
      <c r="A15" s="140" t="s">
        <v>88</v>
      </c>
      <c r="B15" s="137" t="s">
        <v>194</v>
      </c>
      <c r="C15" s="138" t="s">
        <v>195</v>
      </c>
      <c r="D15" s="139" t="s">
        <v>108</v>
      </c>
      <c r="E15" s="139">
        <v>6869</v>
      </c>
      <c r="F15" s="140">
        <v>29000</v>
      </c>
      <c r="G15" s="142" t="s">
        <v>401</v>
      </c>
      <c r="H15" s="146" t="b">
        <v>1</v>
      </c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</row>
    <row r="16" spans="1:26" ht="15" customHeight="1">
      <c r="A16" s="140" t="s">
        <v>74</v>
      </c>
      <c r="B16" s="137" t="s">
        <v>203</v>
      </c>
      <c r="C16" s="138" t="s">
        <v>204</v>
      </c>
      <c r="D16" s="139" t="s">
        <v>184</v>
      </c>
      <c r="E16" s="139">
        <v>1530</v>
      </c>
      <c r="F16" s="140">
        <v>500</v>
      </c>
      <c r="G16" s="147">
        <f>E16/3</f>
        <v>510</v>
      </c>
      <c r="H16" s="143" t="b">
        <v>1</v>
      </c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</row>
    <row r="17" spans="1:26" ht="15" customHeight="1">
      <c r="A17" s="140" t="s">
        <v>88</v>
      </c>
      <c r="B17" s="137" t="s">
        <v>210</v>
      </c>
      <c r="C17" s="138" t="s">
        <v>211</v>
      </c>
      <c r="D17" s="139" t="s">
        <v>108</v>
      </c>
      <c r="E17" s="139">
        <v>65280</v>
      </c>
      <c r="F17" s="140">
        <v>224400</v>
      </c>
      <c r="G17" s="142" t="s">
        <v>401</v>
      </c>
      <c r="H17" s="146" t="b">
        <v>1</v>
      </c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</row>
    <row r="18" spans="1:26" ht="15" customHeight="1">
      <c r="A18" s="140" t="s">
        <v>74</v>
      </c>
      <c r="B18" s="137" t="s">
        <v>217</v>
      </c>
      <c r="C18" s="148" t="s">
        <v>218</v>
      </c>
      <c r="D18" s="139" t="s">
        <v>184</v>
      </c>
      <c r="E18" s="139">
        <v>5082</v>
      </c>
      <c r="F18" s="140">
        <v>1300</v>
      </c>
      <c r="G18" s="147">
        <f t="shared" ref="G18:G19" si="0">E18/3</f>
        <v>1694</v>
      </c>
      <c r="H18" s="143" t="b">
        <v>1</v>
      </c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</row>
    <row r="19" spans="1:26" ht="15" customHeight="1">
      <c r="A19" s="140" t="s">
        <v>88</v>
      </c>
      <c r="B19" s="137" t="s">
        <v>225</v>
      </c>
      <c r="C19" s="148" t="s">
        <v>226</v>
      </c>
      <c r="D19" s="139" t="s">
        <v>184</v>
      </c>
      <c r="E19" s="139">
        <v>876</v>
      </c>
      <c r="F19" s="140">
        <v>260</v>
      </c>
      <c r="G19" s="147">
        <f t="shared" si="0"/>
        <v>292</v>
      </c>
      <c r="H19" s="146" t="b">
        <v>1</v>
      </c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</row>
    <row r="20" spans="1:26" ht="15" customHeight="1">
      <c r="A20" s="140" t="s">
        <v>74</v>
      </c>
      <c r="B20" s="137" t="s">
        <v>233</v>
      </c>
      <c r="C20" s="138" t="s">
        <v>234</v>
      </c>
      <c r="D20" s="139" t="s">
        <v>108</v>
      </c>
      <c r="E20" s="139">
        <v>0</v>
      </c>
      <c r="F20" s="140">
        <v>2030</v>
      </c>
      <c r="G20" s="142" t="s">
        <v>401</v>
      </c>
      <c r="H20" s="143" t="b">
        <v>1</v>
      </c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</row>
    <row r="21" spans="1:26" ht="15" customHeight="1">
      <c r="A21" s="140" t="s">
        <v>88</v>
      </c>
      <c r="B21" s="137" t="s">
        <v>242</v>
      </c>
      <c r="C21" s="138" t="s">
        <v>243</v>
      </c>
      <c r="D21" s="139" t="s">
        <v>108</v>
      </c>
      <c r="E21" s="139">
        <v>297</v>
      </c>
      <c r="F21" s="140">
        <v>1188</v>
      </c>
      <c r="G21" s="142" t="s">
        <v>401</v>
      </c>
      <c r="H21" s="146" t="b">
        <v>1</v>
      </c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</row>
    <row r="22" spans="1:26" ht="15" customHeight="1">
      <c r="A22" s="140" t="s">
        <v>74</v>
      </c>
      <c r="B22" s="137" t="s">
        <v>250</v>
      </c>
      <c r="C22" s="138" t="s">
        <v>251</v>
      </c>
      <c r="D22" s="139" t="s">
        <v>108</v>
      </c>
      <c r="E22" s="139">
        <v>33</v>
      </c>
      <c r="F22" s="140">
        <v>5000</v>
      </c>
      <c r="G22" s="142" t="s">
        <v>401</v>
      </c>
      <c r="H22" s="143" t="b">
        <v>1</v>
      </c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ht="15" customHeight="1">
      <c r="A23" s="140" t="s">
        <v>88</v>
      </c>
      <c r="B23" s="137" t="s">
        <v>258</v>
      </c>
      <c r="C23" s="138" t="s">
        <v>259</v>
      </c>
      <c r="D23" s="139" t="s">
        <v>108</v>
      </c>
      <c r="E23" s="139">
        <v>4</v>
      </c>
      <c r="F23" s="140">
        <v>7</v>
      </c>
      <c r="G23" s="142" t="s">
        <v>401</v>
      </c>
      <c r="H23" s="146" t="b">
        <v>1</v>
      </c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4" spans="1:26" ht="15" customHeight="1">
      <c r="A24" s="140" t="s">
        <v>88</v>
      </c>
      <c r="B24" s="137" t="s">
        <v>267</v>
      </c>
      <c r="C24" s="138" t="s">
        <v>268</v>
      </c>
      <c r="D24" s="139" t="s">
        <v>108</v>
      </c>
      <c r="E24" s="139">
        <v>280</v>
      </c>
      <c r="F24" s="140">
        <v>1100</v>
      </c>
      <c r="G24" s="142" t="s">
        <v>401</v>
      </c>
      <c r="H24" s="143" t="b">
        <v>1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</row>
    <row r="25" spans="1:26" ht="15" customHeight="1">
      <c r="A25" s="140" t="s">
        <v>74</v>
      </c>
      <c r="B25" s="137" t="s">
        <v>276</v>
      </c>
      <c r="C25" s="138" t="s">
        <v>277</v>
      </c>
      <c r="D25" s="139" t="s">
        <v>108</v>
      </c>
      <c r="E25" s="139">
        <v>178</v>
      </c>
      <c r="F25" s="140">
        <v>700</v>
      </c>
      <c r="G25" s="142" t="s">
        <v>401</v>
      </c>
      <c r="H25" s="146" t="b">
        <v>1</v>
      </c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</row>
    <row r="26" spans="1:26" ht="15" customHeight="1">
      <c r="A26" s="140" t="s">
        <v>88</v>
      </c>
      <c r="B26" s="137" t="s">
        <v>285</v>
      </c>
      <c r="C26" s="138" t="s">
        <v>286</v>
      </c>
      <c r="D26" s="139" t="s">
        <v>108</v>
      </c>
      <c r="E26" s="139">
        <v>96</v>
      </c>
      <c r="F26" s="140">
        <v>400</v>
      </c>
      <c r="G26" s="142" t="s">
        <v>401</v>
      </c>
      <c r="H26" s="143" t="b">
        <v>1</v>
      </c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</row>
    <row r="27" spans="1:26" ht="15" customHeight="1">
      <c r="A27" s="140"/>
      <c r="B27" s="137" t="s">
        <v>295</v>
      </c>
      <c r="C27" s="138" t="s">
        <v>296</v>
      </c>
      <c r="D27" s="139" t="s">
        <v>108</v>
      </c>
      <c r="E27" s="139">
        <v>3</v>
      </c>
      <c r="F27" s="140">
        <v>12</v>
      </c>
      <c r="G27" s="142" t="s">
        <v>401</v>
      </c>
      <c r="H27" s="146" t="b">
        <v>1</v>
      </c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</row>
    <row r="28" spans="1:26" ht="15" customHeight="1">
      <c r="A28" s="140" t="s">
        <v>74</v>
      </c>
      <c r="B28" s="137" t="s">
        <v>304</v>
      </c>
      <c r="C28" s="138" t="s">
        <v>305</v>
      </c>
      <c r="D28" s="139" t="s">
        <v>184</v>
      </c>
      <c r="E28" s="139">
        <v>243</v>
      </c>
      <c r="F28" s="140">
        <v>110</v>
      </c>
      <c r="G28" s="147">
        <f t="shared" ref="G28:G29" si="1">E28/3</f>
        <v>81</v>
      </c>
      <c r="H28" s="143" t="b">
        <v>1</v>
      </c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</row>
    <row r="29" spans="1:26" ht="15" customHeight="1">
      <c r="A29" s="140" t="s">
        <v>88</v>
      </c>
      <c r="B29" s="137" t="s">
        <v>312</v>
      </c>
      <c r="C29" s="138" t="s">
        <v>313</v>
      </c>
      <c r="D29" s="139" t="s">
        <v>184</v>
      </c>
      <c r="E29" s="139">
        <v>526</v>
      </c>
      <c r="F29" s="140">
        <v>150</v>
      </c>
      <c r="G29" s="147">
        <f t="shared" si="1"/>
        <v>175.33333333333334</v>
      </c>
      <c r="H29" s="146" t="b">
        <v>1</v>
      </c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</row>
    <row r="30" spans="1:26" ht="18">
      <c r="A30" s="140"/>
      <c r="B30" s="137"/>
      <c r="C30" s="138"/>
      <c r="D30" s="139"/>
      <c r="E30" s="139"/>
      <c r="F30" s="140"/>
      <c r="G30" s="147"/>
      <c r="H30" s="147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</row>
    <row r="31" spans="1:26" ht="18">
      <c r="A31" s="140"/>
      <c r="B31" s="137"/>
      <c r="C31" s="138"/>
      <c r="D31" s="139"/>
      <c r="E31" s="139"/>
      <c r="F31" s="140"/>
      <c r="G31" s="149"/>
      <c r="H31" s="149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</row>
    <row r="32" spans="1:26" ht="18">
      <c r="A32" s="140"/>
      <c r="B32" s="137"/>
      <c r="C32" s="138"/>
      <c r="D32" s="139"/>
      <c r="E32" s="139"/>
      <c r="F32" s="140"/>
      <c r="G32" s="147"/>
      <c r="H32" s="147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</row>
    <row r="33" spans="1:26" ht="18">
      <c r="A33" s="140"/>
      <c r="B33" s="137"/>
      <c r="C33" s="138"/>
      <c r="D33" s="139"/>
      <c r="E33" s="139"/>
      <c r="F33" s="140"/>
      <c r="G33" s="149"/>
      <c r="H33" s="149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</row>
    <row r="34" spans="1:26" ht="18">
      <c r="A34" s="140"/>
      <c r="B34" s="137"/>
      <c r="C34" s="138"/>
      <c r="D34" s="139"/>
      <c r="E34" s="139"/>
      <c r="F34" s="140"/>
      <c r="G34" s="147"/>
      <c r="H34" s="147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</row>
    <row r="35" spans="1:26" ht="18">
      <c r="A35" s="140"/>
      <c r="B35" s="137"/>
      <c r="C35" s="138"/>
      <c r="D35" s="139"/>
      <c r="E35" s="139"/>
      <c r="F35" s="140"/>
      <c r="G35" s="149"/>
      <c r="H35" s="149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</row>
    <row r="36" spans="1:26" ht="18">
      <c r="A36" s="140"/>
      <c r="B36" s="137"/>
      <c r="C36" s="138"/>
      <c r="D36" s="139"/>
      <c r="E36" s="139"/>
      <c r="F36" s="140"/>
      <c r="G36" s="147"/>
      <c r="H36" s="147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</row>
    <row r="37" spans="1:26" ht="18">
      <c r="A37" s="140"/>
      <c r="B37" s="137"/>
      <c r="C37" s="138"/>
      <c r="D37" s="139"/>
      <c r="E37" s="139"/>
      <c r="F37" s="140"/>
      <c r="G37" s="149"/>
      <c r="H37" s="149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</row>
    <row r="38" spans="1:26" ht="18">
      <c r="A38" s="140"/>
      <c r="B38" s="137"/>
      <c r="C38" s="138"/>
      <c r="D38" s="139"/>
      <c r="E38" s="139"/>
      <c r="F38" s="140"/>
      <c r="G38" s="147"/>
      <c r="H38" s="147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</row>
    <row r="39" spans="1:26" ht="18">
      <c r="A39" s="140"/>
      <c r="B39" s="137"/>
      <c r="C39" s="138"/>
      <c r="D39" s="139"/>
      <c r="E39" s="139"/>
      <c r="F39" s="140"/>
      <c r="G39" s="149"/>
      <c r="H39" s="149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</row>
    <row r="40" spans="1:26" ht="18">
      <c r="A40" s="140"/>
      <c r="B40" s="137"/>
      <c r="C40" s="138"/>
      <c r="D40" s="139"/>
      <c r="E40" s="139"/>
      <c r="F40" s="140"/>
      <c r="G40" s="147"/>
      <c r="H40" s="147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</row>
    <row r="41" spans="1:26" ht="18">
      <c r="A41" s="140"/>
      <c r="B41" s="137"/>
      <c r="C41" s="138"/>
      <c r="D41" s="139"/>
      <c r="E41" s="139"/>
      <c r="F41" s="140"/>
      <c r="G41" s="149"/>
      <c r="H41" s="149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</row>
    <row r="42" spans="1:26" ht="18">
      <c r="A42" s="140"/>
      <c r="B42" s="137"/>
      <c r="C42" s="138"/>
      <c r="D42" s="139"/>
      <c r="E42" s="139"/>
      <c r="F42" s="140"/>
      <c r="G42" s="147"/>
      <c r="H42" s="147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</row>
    <row r="43" spans="1:26" ht="18">
      <c r="A43" s="140"/>
      <c r="B43" s="137"/>
      <c r="C43" s="138"/>
      <c r="D43" s="139"/>
      <c r="E43" s="139"/>
      <c r="F43" s="140"/>
      <c r="G43" s="149"/>
      <c r="H43" s="149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</row>
    <row r="44" spans="1:26" ht="18">
      <c r="A44" s="140"/>
      <c r="B44" s="137"/>
      <c r="C44" s="138"/>
      <c r="D44" s="139"/>
      <c r="E44" s="139"/>
      <c r="F44" s="140"/>
      <c r="G44" s="147"/>
      <c r="H44" s="147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</row>
    <row r="45" spans="1:26" ht="18">
      <c r="A45" s="140"/>
      <c r="B45" s="137"/>
      <c r="C45" s="138"/>
      <c r="D45" s="139"/>
      <c r="E45" s="139"/>
      <c r="F45" s="140"/>
      <c r="G45" s="149"/>
      <c r="H45" s="149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</row>
    <row r="46" spans="1:26" ht="18">
      <c r="A46" s="140"/>
      <c r="B46" s="137"/>
      <c r="C46" s="138"/>
      <c r="D46" s="139"/>
      <c r="E46" s="139"/>
      <c r="F46" s="140"/>
      <c r="G46" s="147"/>
      <c r="H46" s="147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</row>
    <row r="47" spans="1:26" ht="18">
      <c r="A47" s="140"/>
      <c r="B47" s="137"/>
      <c r="C47" s="138"/>
      <c r="D47" s="139"/>
      <c r="E47" s="139"/>
      <c r="F47" s="140"/>
      <c r="G47" s="149"/>
      <c r="H47" s="149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</row>
    <row r="48" spans="1:26" ht="18">
      <c r="A48" s="140"/>
      <c r="B48" s="137"/>
      <c r="C48" s="138"/>
      <c r="D48" s="139"/>
      <c r="E48" s="139"/>
      <c r="F48" s="140"/>
      <c r="G48" s="147"/>
      <c r="H48" s="147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</row>
    <row r="49" spans="1:26" ht="18">
      <c r="A49" s="140"/>
      <c r="B49" s="137"/>
      <c r="C49" s="138"/>
      <c r="D49" s="139"/>
      <c r="E49" s="139"/>
      <c r="F49" s="140"/>
      <c r="G49" s="149"/>
      <c r="H49" s="149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</row>
    <row r="50" spans="1:26" ht="18">
      <c r="A50" s="140"/>
      <c r="B50" s="137"/>
      <c r="C50" s="138"/>
      <c r="D50" s="139"/>
      <c r="E50" s="139"/>
      <c r="F50" s="140"/>
      <c r="G50" s="147"/>
      <c r="H50" s="147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</row>
    <row r="51" spans="1:26" ht="18">
      <c r="A51" s="140"/>
      <c r="B51" s="137"/>
      <c r="C51" s="138"/>
      <c r="D51" s="139"/>
      <c r="E51" s="139"/>
      <c r="F51" s="140"/>
      <c r="G51" s="149"/>
      <c r="H51" s="149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</row>
    <row r="52" spans="1:26" ht="18">
      <c r="A52" s="140"/>
      <c r="B52" s="137"/>
      <c r="C52" s="138"/>
      <c r="D52" s="139"/>
      <c r="E52" s="139"/>
      <c r="F52" s="140"/>
      <c r="G52" s="147"/>
      <c r="H52" s="147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</row>
    <row r="53" spans="1:26" ht="18">
      <c r="A53" s="140"/>
      <c r="B53" s="137"/>
      <c r="C53" s="138"/>
      <c r="D53" s="139"/>
      <c r="E53" s="139"/>
      <c r="F53" s="140"/>
      <c r="G53" s="149"/>
      <c r="H53" s="149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</row>
    <row r="54" spans="1:26" ht="18">
      <c r="A54" s="140"/>
      <c r="B54" s="137"/>
      <c r="C54" s="138"/>
      <c r="D54" s="139"/>
      <c r="E54" s="139"/>
      <c r="F54" s="140"/>
      <c r="G54" s="147"/>
      <c r="H54" s="147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</row>
    <row r="55" spans="1:26" ht="18">
      <c r="A55" s="140"/>
      <c r="B55" s="137"/>
      <c r="C55" s="138"/>
      <c r="D55" s="139"/>
      <c r="E55" s="139"/>
      <c r="F55" s="140"/>
      <c r="G55" s="149"/>
      <c r="H55" s="149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</row>
    <row r="56" spans="1:26" ht="18">
      <c r="A56" s="140"/>
      <c r="B56" s="137"/>
      <c r="C56" s="138"/>
      <c r="D56" s="139"/>
      <c r="E56" s="139"/>
      <c r="F56" s="140"/>
      <c r="G56" s="147"/>
      <c r="H56" s="147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</row>
    <row r="57" spans="1:26" ht="18">
      <c r="A57" s="140"/>
      <c r="B57" s="137"/>
      <c r="C57" s="138"/>
      <c r="D57" s="139"/>
      <c r="E57" s="139"/>
      <c r="F57" s="140"/>
      <c r="G57" s="149"/>
      <c r="H57" s="149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</row>
    <row r="58" spans="1:26" ht="18">
      <c r="A58" s="140"/>
      <c r="B58" s="137"/>
      <c r="C58" s="138"/>
      <c r="D58" s="139"/>
      <c r="E58" s="139"/>
      <c r="F58" s="140"/>
      <c r="G58" s="147"/>
      <c r="H58" s="147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</row>
    <row r="59" spans="1:26" ht="18">
      <c r="A59" s="140"/>
      <c r="B59" s="137"/>
      <c r="C59" s="138"/>
      <c r="D59" s="139"/>
      <c r="E59" s="139"/>
      <c r="F59" s="140"/>
      <c r="G59" s="149"/>
      <c r="H59" s="149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</row>
    <row r="60" spans="1:26" ht="18">
      <c r="A60" s="140"/>
      <c r="B60" s="137"/>
      <c r="C60" s="138"/>
      <c r="D60" s="139"/>
      <c r="E60" s="139"/>
      <c r="F60" s="140"/>
      <c r="G60" s="147"/>
      <c r="H60" s="147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</row>
    <row r="61" spans="1:26" ht="18">
      <c r="A61" s="140"/>
      <c r="B61" s="137"/>
      <c r="C61" s="138"/>
      <c r="D61" s="139"/>
      <c r="E61" s="139"/>
      <c r="F61" s="140"/>
      <c r="G61" s="149"/>
      <c r="H61" s="149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</row>
    <row r="62" spans="1:26" ht="18">
      <c r="A62" s="140"/>
      <c r="B62" s="137"/>
      <c r="C62" s="138"/>
      <c r="D62" s="139"/>
      <c r="E62" s="139"/>
      <c r="F62" s="140"/>
      <c r="G62" s="147"/>
      <c r="H62" s="147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</row>
    <row r="63" spans="1:26" ht="18">
      <c r="A63" s="140"/>
      <c r="B63" s="137"/>
      <c r="C63" s="138"/>
      <c r="D63" s="139"/>
      <c r="E63" s="139"/>
      <c r="F63" s="140"/>
      <c r="G63" s="149"/>
      <c r="H63" s="149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</row>
    <row r="64" spans="1:26" ht="18">
      <c r="A64" s="140"/>
      <c r="B64" s="137"/>
      <c r="C64" s="138"/>
      <c r="D64" s="139"/>
      <c r="E64" s="139"/>
      <c r="F64" s="140"/>
      <c r="G64" s="147"/>
      <c r="H64" s="147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</row>
    <row r="65" spans="1:26" ht="18">
      <c r="A65" s="140"/>
      <c r="B65" s="137"/>
      <c r="C65" s="138"/>
      <c r="D65" s="139"/>
      <c r="E65" s="139"/>
      <c r="F65" s="140"/>
      <c r="G65" s="149"/>
      <c r="H65" s="149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</row>
    <row r="66" spans="1:26" ht="18">
      <c r="A66" s="140"/>
      <c r="B66" s="137"/>
      <c r="C66" s="138"/>
      <c r="D66" s="139"/>
      <c r="E66" s="139"/>
      <c r="F66" s="140"/>
      <c r="G66" s="147"/>
      <c r="H66" s="147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</row>
    <row r="67" spans="1:26" ht="18">
      <c r="A67" s="140"/>
      <c r="B67" s="137"/>
      <c r="C67" s="138"/>
      <c r="D67" s="139"/>
      <c r="E67" s="139"/>
      <c r="F67" s="140"/>
      <c r="G67" s="149"/>
      <c r="H67" s="149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</row>
    <row r="68" spans="1:26" ht="18">
      <c r="A68" s="140"/>
      <c r="B68" s="137"/>
      <c r="C68" s="138"/>
      <c r="D68" s="139"/>
      <c r="E68" s="139"/>
      <c r="F68" s="140"/>
      <c r="G68" s="147"/>
      <c r="H68" s="147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</row>
    <row r="69" spans="1:26" ht="18">
      <c r="A69" s="140"/>
      <c r="B69" s="137"/>
      <c r="C69" s="138"/>
      <c r="D69" s="139"/>
      <c r="E69" s="139"/>
      <c r="F69" s="140"/>
      <c r="G69" s="149"/>
      <c r="H69" s="149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</row>
    <row r="70" spans="1:26" ht="18">
      <c r="A70" s="140"/>
      <c r="B70" s="137"/>
      <c r="C70" s="138"/>
      <c r="D70" s="139"/>
      <c r="E70" s="139"/>
      <c r="F70" s="140"/>
      <c r="G70" s="147"/>
      <c r="H70" s="147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</row>
    <row r="71" spans="1:26" ht="18">
      <c r="A71" s="140"/>
      <c r="B71" s="137"/>
      <c r="C71" s="138"/>
      <c r="D71" s="139"/>
      <c r="E71" s="139"/>
      <c r="F71" s="140"/>
      <c r="G71" s="149"/>
      <c r="H71" s="149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</row>
    <row r="72" spans="1:26" ht="18">
      <c r="A72" s="140"/>
      <c r="B72" s="137"/>
      <c r="C72" s="138"/>
      <c r="D72" s="139"/>
      <c r="E72" s="139"/>
      <c r="F72" s="140"/>
      <c r="G72" s="147"/>
      <c r="H72" s="147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</row>
    <row r="73" spans="1:26" ht="18">
      <c r="A73" s="140"/>
      <c r="B73" s="137"/>
      <c r="C73" s="138"/>
      <c r="D73" s="139"/>
      <c r="E73" s="139"/>
      <c r="F73" s="140"/>
      <c r="G73" s="149"/>
      <c r="H73" s="149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</row>
    <row r="74" spans="1:26" ht="18">
      <c r="A74" s="140"/>
      <c r="B74" s="137"/>
      <c r="C74" s="138"/>
      <c r="D74" s="139"/>
      <c r="E74" s="139"/>
      <c r="F74" s="140"/>
      <c r="G74" s="147"/>
      <c r="H74" s="147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</row>
    <row r="75" spans="1:26" ht="18">
      <c r="A75" s="140"/>
      <c r="B75" s="137"/>
      <c r="C75" s="138"/>
      <c r="D75" s="139"/>
      <c r="E75" s="139"/>
      <c r="F75" s="140"/>
      <c r="G75" s="149"/>
      <c r="H75" s="149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</row>
    <row r="76" spans="1:26" ht="18">
      <c r="A76" s="140"/>
      <c r="B76" s="137"/>
      <c r="C76" s="138"/>
      <c r="D76" s="139"/>
      <c r="E76" s="139"/>
      <c r="F76" s="140"/>
      <c r="G76" s="147"/>
      <c r="H76" s="147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</row>
    <row r="77" spans="1:26" ht="18">
      <c r="A77" s="140"/>
      <c r="B77" s="137"/>
      <c r="C77" s="138"/>
      <c r="D77" s="139"/>
      <c r="E77" s="139"/>
      <c r="F77" s="140"/>
      <c r="G77" s="149"/>
      <c r="H77" s="149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</row>
    <row r="78" spans="1:26" ht="18">
      <c r="A78" s="140"/>
      <c r="B78" s="137"/>
      <c r="C78" s="138"/>
      <c r="D78" s="139"/>
      <c r="E78" s="139"/>
      <c r="F78" s="140"/>
      <c r="G78" s="147"/>
      <c r="H78" s="147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</row>
    <row r="79" spans="1:26" ht="18">
      <c r="A79" s="140"/>
      <c r="B79" s="137"/>
      <c r="C79" s="138"/>
      <c r="D79" s="139"/>
      <c r="E79" s="139"/>
      <c r="F79" s="140"/>
      <c r="G79" s="149"/>
      <c r="H79" s="149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</row>
    <row r="80" spans="1:26" ht="18">
      <c r="A80" s="140"/>
      <c r="B80" s="137"/>
      <c r="C80" s="138"/>
      <c r="D80" s="139"/>
      <c r="E80" s="139"/>
      <c r="F80" s="140"/>
      <c r="G80" s="147"/>
      <c r="H80" s="147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</row>
    <row r="81" spans="1:26" ht="18">
      <c r="A81" s="140"/>
      <c r="B81" s="137"/>
      <c r="C81" s="138"/>
      <c r="D81" s="139"/>
      <c r="E81" s="139"/>
      <c r="F81" s="140"/>
      <c r="G81" s="149"/>
      <c r="H81" s="149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</row>
    <row r="82" spans="1:26" ht="18">
      <c r="A82" s="140"/>
      <c r="B82" s="137"/>
      <c r="C82" s="138"/>
      <c r="D82" s="139"/>
      <c r="E82" s="139"/>
      <c r="F82" s="140"/>
      <c r="G82" s="147"/>
      <c r="H82" s="147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</row>
    <row r="83" spans="1:26" ht="18">
      <c r="A83" s="140"/>
      <c r="B83" s="137"/>
      <c r="C83" s="138"/>
      <c r="D83" s="139"/>
      <c r="E83" s="139"/>
      <c r="F83" s="140"/>
      <c r="G83" s="149"/>
      <c r="H83" s="149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</row>
    <row r="84" spans="1:26" ht="18">
      <c r="A84" s="140"/>
      <c r="B84" s="137"/>
      <c r="C84" s="138"/>
      <c r="D84" s="139"/>
      <c r="E84" s="139"/>
      <c r="F84" s="140"/>
      <c r="G84" s="147"/>
      <c r="H84" s="147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</row>
    <row r="85" spans="1:26" ht="18">
      <c r="A85" s="140"/>
      <c r="B85" s="137"/>
      <c r="C85" s="138"/>
      <c r="D85" s="139"/>
      <c r="E85" s="139"/>
      <c r="F85" s="140"/>
      <c r="G85" s="149"/>
      <c r="H85" s="149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</row>
    <row r="86" spans="1:26" ht="18">
      <c r="A86" s="140"/>
      <c r="B86" s="137"/>
      <c r="C86" s="138"/>
      <c r="D86" s="139"/>
      <c r="E86" s="139"/>
      <c r="F86" s="140"/>
      <c r="G86" s="147"/>
      <c r="H86" s="147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</row>
    <row r="87" spans="1:26" ht="18">
      <c r="A87" s="140"/>
      <c r="B87" s="137"/>
      <c r="C87" s="138"/>
      <c r="D87" s="139"/>
      <c r="E87" s="139"/>
      <c r="F87" s="140"/>
      <c r="G87" s="149"/>
      <c r="H87" s="149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</row>
    <row r="88" spans="1:26" ht="18">
      <c r="A88" s="140"/>
      <c r="B88" s="137"/>
      <c r="C88" s="138"/>
      <c r="D88" s="139"/>
      <c r="E88" s="139"/>
      <c r="F88" s="140"/>
      <c r="G88" s="147"/>
      <c r="H88" s="147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</row>
    <row r="89" spans="1:26" ht="18">
      <c r="A89" s="140"/>
      <c r="B89" s="137"/>
      <c r="C89" s="138"/>
      <c r="D89" s="139"/>
      <c r="E89" s="139"/>
      <c r="F89" s="140"/>
      <c r="G89" s="149"/>
      <c r="H89" s="149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</row>
    <row r="90" spans="1:26" ht="18">
      <c r="A90" s="140"/>
      <c r="B90" s="137"/>
      <c r="C90" s="138"/>
      <c r="D90" s="139"/>
      <c r="E90" s="139"/>
      <c r="F90" s="140"/>
      <c r="G90" s="147"/>
      <c r="H90" s="147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</row>
    <row r="91" spans="1:26" ht="18">
      <c r="A91" s="140"/>
      <c r="B91" s="137"/>
      <c r="C91" s="138"/>
      <c r="D91" s="139"/>
      <c r="E91" s="139"/>
      <c r="F91" s="140"/>
      <c r="G91" s="149"/>
      <c r="H91" s="149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</row>
    <row r="92" spans="1:26" ht="18">
      <c r="A92" s="140"/>
      <c r="B92" s="137"/>
      <c r="C92" s="138"/>
      <c r="D92" s="139"/>
      <c r="E92" s="139"/>
      <c r="F92" s="140"/>
      <c r="G92" s="147"/>
      <c r="H92" s="147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</row>
    <row r="93" spans="1:26" ht="18">
      <c r="A93" s="140"/>
      <c r="B93" s="137"/>
      <c r="C93" s="138"/>
      <c r="D93" s="139"/>
      <c r="E93" s="139"/>
      <c r="F93" s="140"/>
      <c r="G93" s="149"/>
      <c r="H93" s="149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</row>
    <row r="94" spans="1:26" ht="18">
      <c r="A94" s="140"/>
      <c r="B94" s="137"/>
      <c r="C94" s="138"/>
      <c r="D94" s="139"/>
      <c r="E94" s="139"/>
      <c r="F94" s="140"/>
      <c r="G94" s="147"/>
      <c r="H94" s="147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</row>
    <row r="95" spans="1:26" ht="18">
      <c r="A95" s="140"/>
      <c r="B95" s="137"/>
      <c r="C95" s="138"/>
      <c r="D95" s="139"/>
      <c r="E95" s="139"/>
      <c r="F95" s="140"/>
      <c r="G95" s="149"/>
      <c r="H95" s="149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</row>
    <row r="96" spans="1:26" ht="18">
      <c r="A96" s="140"/>
      <c r="B96" s="137"/>
      <c r="C96" s="138"/>
      <c r="D96" s="139"/>
      <c r="E96" s="139"/>
      <c r="F96" s="140"/>
      <c r="G96" s="147"/>
      <c r="H96" s="147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</row>
    <row r="97" spans="1:26" ht="18">
      <c r="A97" s="140"/>
      <c r="B97" s="137"/>
      <c r="C97" s="138"/>
      <c r="D97" s="139"/>
      <c r="E97" s="139"/>
      <c r="F97" s="140"/>
      <c r="G97" s="149"/>
      <c r="H97" s="149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</row>
    <row r="98" spans="1:26" ht="18">
      <c r="A98" s="140"/>
      <c r="B98" s="137"/>
      <c r="C98" s="138"/>
      <c r="D98" s="139"/>
      <c r="E98" s="139"/>
      <c r="F98" s="140"/>
      <c r="G98" s="147"/>
      <c r="H98" s="147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</row>
    <row r="99" spans="1:26" ht="18">
      <c r="A99" s="140"/>
      <c r="B99" s="137"/>
      <c r="C99" s="138"/>
      <c r="D99" s="139"/>
      <c r="E99" s="139"/>
      <c r="F99" s="140"/>
      <c r="G99" s="149"/>
      <c r="H99" s="149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</row>
    <row r="100" spans="1:26" ht="18">
      <c r="A100" s="140"/>
      <c r="B100" s="137"/>
      <c r="C100" s="138"/>
      <c r="D100" s="139"/>
      <c r="E100" s="139"/>
      <c r="F100" s="140"/>
      <c r="G100" s="147"/>
      <c r="H100" s="147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</row>
    <row r="101" spans="1:26" ht="18">
      <c r="A101" s="140"/>
      <c r="B101" s="137"/>
      <c r="C101" s="138"/>
      <c r="D101" s="139"/>
      <c r="E101" s="139"/>
      <c r="F101" s="140"/>
      <c r="G101" s="149"/>
      <c r="H101" s="149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</row>
    <row r="102" spans="1:26" ht="18">
      <c r="A102" s="140"/>
      <c r="B102" s="137"/>
      <c r="C102" s="138"/>
      <c r="D102" s="139"/>
      <c r="E102" s="139"/>
      <c r="F102" s="140"/>
      <c r="G102" s="147"/>
      <c r="H102" s="147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</row>
    <row r="103" spans="1:26" ht="18">
      <c r="A103" s="140"/>
      <c r="B103" s="137"/>
      <c r="C103" s="138"/>
      <c r="D103" s="139"/>
      <c r="E103" s="139"/>
      <c r="F103" s="140"/>
      <c r="G103" s="149"/>
      <c r="H103" s="149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</row>
    <row r="104" spans="1:26" ht="18">
      <c r="A104" s="140"/>
      <c r="B104" s="137"/>
      <c r="C104" s="138"/>
      <c r="D104" s="139"/>
      <c r="E104" s="139"/>
      <c r="F104" s="140"/>
      <c r="G104" s="147"/>
      <c r="H104" s="147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</row>
    <row r="105" spans="1:26" ht="18">
      <c r="A105" s="140"/>
      <c r="B105" s="137"/>
      <c r="C105" s="138"/>
      <c r="D105" s="139"/>
      <c r="E105" s="139"/>
      <c r="F105" s="140"/>
      <c r="G105" s="149"/>
      <c r="H105" s="149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</row>
    <row r="106" spans="1:26" ht="18">
      <c r="A106" s="140"/>
      <c r="B106" s="137"/>
      <c r="C106" s="138"/>
      <c r="D106" s="139"/>
      <c r="E106" s="139"/>
      <c r="F106" s="140"/>
      <c r="G106" s="147"/>
      <c r="H106" s="147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</row>
    <row r="107" spans="1:26" ht="18">
      <c r="A107" s="140"/>
      <c r="B107" s="137"/>
      <c r="C107" s="138"/>
      <c r="D107" s="139"/>
      <c r="E107" s="139"/>
      <c r="F107" s="140"/>
      <c r="G107" s="149"/>
      <c r="H107" s="149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</row>
    <row r="108" spans="1:26" ht="18">
      <c r="A108" s="140"/>
      <c r="B108" s="137"/>
      <c r="C108" s="138"/>
      <c r="D108" s="139"/>
      <c r="E108" s="139"/>
      <c r="F108" s="140"/>
      <c r="G108" s="147"/>
      <c r="H108" s="147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</row>
    <row r="109" spans="1:26" ht="18">
      <c r="A109" s="140"/>
      <c r="B109" s="137"/>
      <c r="C109" s="138"/>
      <c r="D109" s="139"/>
      <c r="E109" s="139"/>
      <c r="F109" s="140"/>
      <c r="G109" s="149"/>
      <c r="H109" s="149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</row>
    <row r="110" spans="1:26" ht="18">
      <c r="A110" s="140"/>
      <c r="B110" s="137"/>
      <c r="C110" s="138"/>
      <c r="D110" s="139"/>
      <c r="E110" s="139"/>
      <c r="F110" s="140"/>
      <c r="G110" s="147"/>
      <c r="H110" s="147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</row>
    <row r="111" spans="1:26" ht="18">
      <c r="A111" s="140"/>
      <c r="B111" s="137"/>
      <c r="C111" s="138"/>
      <c r="D111" s="139"/>
      <c r="E111" s="139"/>
      <c r="F111" s="140"/>
      <c r="G111" s="149"/>
      <c r="H111" s="149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</row>
    <row r="112" spans="1:26" ht="18">
      <c r="A112" s="140"/>
      <c r="B112" s="137"/>
      <c r="C112" s="138"/>
      <c r="D112" s="139"/>
      <c r="E112" s="139"/>
      <c r="F112" s="140"/>
      <c r="G112" s="147"/>
      <c r="H112" s="147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</row>
    <row r="113" spans="1:26" ht="18">
      <c r="A113" s="140"/>
      <c r="B113" s="137"/>
      <c r="C113" s="138"/>
      <c r="D113" s="139"/>
      <c r="E113" s="139"/>
      <c r="F113" s="140"/>
      <c r="G113" s="149"/>
      <c r="H113" s="149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</row>
    <row r="114" spans="1:26" ht="18">
      <c r="A114" s="140"/>
      <c r="B114" s="137"/>
      <c r="C114" s="138"/>
      <c r="D114" s="139"/>
      <c r="E114" s="139"/>
      <c r="F114" s="140"/>
      <c r="G114" s="147"/>
      <c r="H114" s="147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</row>
    <row r="115" spans="1:26" ht="18">
      <c r="A115" s="140"/>
      <c r="B115" s="137"/>
      <c r="C115" s="138"/>
      <c r="D115" s="139"/>
      <c r="E115" s="139"/>
      <c r="F115" s="140"/>
      <c r="G115" s="149"/>
      <c r="H115" s="149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</row>
    <row r="116" spans="1:26" ht="18">
      <c r="A116" s="140"/>
      <c r="B116" s="137"/>
      <c r="C116" s="138"/>
      <c r="D116" s="139"/>
      <c r="E116" s="139"/>
      <c r="F116" s="140"/>
      <c r="G116" s="147"/>
      <c r="H116" s="147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</row>
    <row r="117" spans="1:26" ht="18">
      <c r="A117" s="140"/>
      <c r="B117" s="137"/>
      <c r="C117" s="138"/>
      <c r="D117" s="139"/>
      <c r="E117" s="139"/>
      <c r="F117" s="140"/>
      <c r="G117" s="149"/>
      <c r="H117" s="149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</row>
    <row r="118" spans="1:26" ht="18">
      <c r="A118" s="140"/>
      <c r="B118" s="137"/>
      <c r="C118" s="138"/>
      <c r="D118" s="139"/>
      <c r="E118" s="139"/>
      <c r="F118" s="140"/>
      <c r="G118" s="147"/>
      <c r="H118" s="147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</row>
    <row r="119" spans="1:26" ht="18">
      <c r="A119" s="140"/>
      <c r="B119" s="137"/>
      <c r="C119" s="138"/>
      <c r="D119" s="139"/>
      <c r="E119" s="139"/>
      <c r="F119" s="140"/>
      <c r="G119" s="149"/>
      <c r="H119" s="149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</row>
    <row r="120" spans="1:26" ht="18">
      <c r="A120" s="140"/>
      <c r="B120" s="137"/>
      <c r="C120" s="138"/>
      <c r="D120" s="139"/>
      <c r="E120" s="139"/>
      <c r="F120" s="140"/>
      <c r="G120" s="147"/>
      <c r="H120" s="147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</row>
    <row r="121" spans="1:26" ht="18">
      <c r="A121" s="140"/>
      <c r="B121" s="137"/>
      <c r="C121" s="138"/>
      <c r="D121" s="139"/>
      <c r="E121" s="139"/>
      <c r="F121" s="140"/>
      <c r="G121" s="149"/>
      <c r="H121" s="149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</row>
    <row r="122" spans="1:26" ht="18">
      <c r="A122" s="140"/>
      <c r="B122" s="137"/>
      <c r="C122" s="138"/>
      <c r="D122" s="139"/>
      <c r="E122" s="139"/>
      <c r="F122" s="140"/>
      <c r="G122" s="147"/>
      <c r="H122" s="147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</row>
    <row r="123" spans="1:26" ht="18">
      <c r="A123" s="140"/>
      <c r="B123" s="137"/>
      <c r="C123" s="138"/>
      <c r="D123" s="139"/>
      <c r="E123" s="139"/>
      <c r="F123" s="140"/>
      <c r="G123" s="149"/>
      <c r="H123" s="149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</row>
    <row r="124" spans="1:26" ht="18">
      <c r="A124" s="140"/>
      <c r="B124" s="137"/>
      <c r="C124" s="138"/>
      <c r="D124" s="139"/>
      <c r="E124" s="139"/>
      <c r="F124" s="140"/>
      <c r="G124" s="147"/>
      <c r="H124" s="147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</row>
    <row r="125" spans="1:26" ht="18">
      <c r="A125" s="140"/>
      <c r="B125" s="137"/>
      <c r="C125" s="138"/>
      <c r="D125" s="139"/>
      <c r="E125" s="139"/>
      <c r="F125" s="140"/>
      <c r="G125" s="149"/>
      <c r="H125" s="149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</row>
    <row r="126" spans="1:26" ht="18">
      <c r="A126" s="140"/>
      <c r="B126" s="137"/>
      <c r="C126" s="138"/>
      <c r="D126" s="139"/>
      <c r="E126" s="139"/>
      <c r="F126" s="140"/>
      <c r="G126" s="147"/>
      <c r="H126" s="147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</row>
    <row r="127" spans="1:26" ht="18">
      <c r="A127" s="140"/>
      <c r="B127" s="137"/>
      <c r="C127" s="138"/>
      <c r="D127" s="139"/>
      <c r="E127" s="139"/>
      <c r="F127" s="140"/>
      <c r="G127" s="149"/>
      <c r="H127" s="149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</row>
    <row r="128" spans="1:26" ht="18">
      <c r="A128" s="140"/>
      <c r="B128" s="137"/>
      <c r="C128" s="138"/>
      <c r="D128" s="139"/>
      <c r="E128" s="139"/>
      <c r="F128" s="140"/>
      <c r="G128" s="147"/>
      <c r="H128" s="147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</row>
    <row r="129" spans="1:26" ht="18">
      <c r="A129" s="140"/>
      <c r="B129" s="137"/>
      <c r="C129" s="138"/>
      <c r="D129" s="139"/>
      <c r="E129" s="139"/>
      <c r="F129" s="140"/>
      <c r="G129" s="149"/>
      <c r="H129" s="149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</row>
    <row r="130" spans="1:26" ht="18">
      <c r="A130" s="140"/>
      <c r="B130" s="137"/>
      <c r="C130" s="138"/>
      <c r="D130" s="139"/>
      <c r="E130" s="139"/>
      <c r="F130" s="140"/>
      <c r="G130" s="147"/>
      <c r="H130" s="147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</row>
    <row r="131" spans="1:26" ht="18">
      <c r="A131" s="140"/>
      <c r="B131" s="137"/>
      <c r="C131" s="138"/>
      <c r="D131" s="139"/>
      <c r="E131" s="139"/>
      <c r="F131" s="140"/>
      <c r="G131" s="149"/>
      <c r="H131" s="149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</row>
    <row r="132" spans="1:26" ht="18">
      <c r="A132" s="140"/>
      <c r="B132" s="137"/>
      <c r="C132" s="138"/>
      <c r="D132" s="139"/>
      <c r="E132" s="139"/>
      <c r="F132" s="140"/>
      <c r="G132" s="147"/>
      <c r="H132" s="147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</row>
    <row r="133" spans="1:26" ht="18">
      <c r="A133" s="140"/>
      <c r="B133" s="137"/>
      <c r="C133" s="138"/>
      <c r="D133" s="139"/>
      <c r="E133" s="139"/>
      <c r="F133" s="140"/>
      <c r="G133" s="149"/>
      <c r="H133" s="149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</row>
    <row r="134" spans="1:26" ht="18">
      <c r="A134" s="140"/>
      <c r="B134" s="137"/>
      <c r="C134" s="138"/>
      <c r="D134" s="139"/>
      <c r="E134" s="139"/>
      <c r="F134" s="140"/>
      <c r="G134" s="147"/>
      <c r="H134" s="147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</row>
    <row r="135" spans="1:26" ht="18">
      <c r="A135" s="140"/>
      <c r="B135" s="137"/>
      <c r="C135" s="138"/>
      <c r="D135" s="139"/>
      <c r="E135" s="139"/>
      <c r="F135" s="140"/>
      <c r="G135" s="149"/>
      <c r="H135" s="149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</row>
    <row r="136" spans="1:26" ht="18">
      <c r="A136" s="140"/>
      <c r="B136" s="137"/>
      <c r="C136" s="138"/>
      <c r="D136" s="139"/>
      <c r="E136" s="139"/>
      <c r="F136" s="140"/>
      <c r="G136" s="147"/>
      <c r="H136" s="147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</row>
    <row r="137" spans="1:26" ht="18">
      <c r="A137" s="140"/>
      <c r="B137" s="137"/>
      <c r="C137" s="138"/>
      <c r="D137" s="139"/>
      <c r="E137" s="139"/>
      <c r="F137" s="140"/>
      <c r="G137" s="149"/>
      <c r="H137" s="149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</row>
    <row r="138" spans="1:26" ht="18">
      <c r="A138" s="140"/>
      <c r="B138" s="137"/>
      <c r="C138" s="138"/>
      <c r="D138" s="139"/>
      <c r="E138" s="139"/>
      <c r="F138" s="140"/>
      <c r="G138" s="147"/>
      <c r="H138" s="147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</row>
    <row r="139" spans="1:26" ht="18">
      <c r="A139" s="140"/>
      <c r="B139" s="137"/>
      <c r="C139" s="138"/>
      <c r="D139" s="139"/>
      <c r="E139" s="139"/>
      <c r="F139" s="140"/>
      <c r="G139" s="149"/>
      <c r="H139" s="149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</row>
    <row r="140" spans="1:26" ht="18">
      <c r="A140" s="140"/>
      <c r="B140" s="137"/>
      <c r="C140" s="138"/>
      <c r="D140" s="139"/>
      <c r="E140" s="139"/>
      <c r="F140" s="140"/>
      <c r="G140" s="147"/>
      <c r="H140" s="147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</row>
    <row r="141" spans="1:26" ht="18">
      <c r="A141" s="140"/>
      <c r="B141" s="137"/>
      <c r="C141" s="138"/>
      <c r="D141" s="139"/>
      <c r="E141" s="139"/>
      <c r="F141" s="140"/>
      <c r="G141" s="149"/>
      <c r="H141" s="149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</row>
    <row r="142" spans="1:26" ht="18">
      <c r="A142" s="140"/>
      <c r="B142" s="137"/>
      <c r="C142" s="138"/>
      <c r="D142" s="139"/>
      <c r="E142" s="139"/>
      <c r="F142" s="140"/>
      <c r="G142" s="147"/>
      <c r="H142" s="147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</row>
    <row r="143" spans="1:26" ht="18">
      <c r="A143" s="140"/>
      <c r="B143" s="137"/>
      <c r="C143" s="138"/>
      <c r="D143" s="139"/>
      <c r="E143" s="139"/>
      <c r="F143" s="140"/>
      <c r="G143" s="149"/>
      <c r="H143" s="149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</row>
    <row r="144" spans="1:26" ht="18">
      <c r="A144" s="140"/>
      <c r="B144" s="137"/>
      <c r="C144" s="138"/>
      <c r="D144" s="139"/>
      <c r="E144" s="139"/>
      <c r="F144" s="140"/>
      <c r="G144" s="147"/>
      <c r="H144" s="147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</row>
    <row r="145" spans="1:26" ht="18">
      <c r="A145" s="140"/>
      <c r="B145" s="137"/>
      <c r="C145" s="138"/>
      <c r="D145" s="139"/>
      <c r="E145" s="139"/>
      <c r="F145" s="140"/>
      <c r="G145" s="149"/>
      <c r="H145" s="149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</row>
    <row r="146" spans="1:26" ht="18">
      <c r="A146" s="140"/>
      <c r="B146" s="137"/>
      <c r="C146" s="138"/>
      <c r="D146" s="139"/>
      <c r="E146" s="139"/>
      <c r="F146" s="140"/>
      <c r="G146" s="147"/>
      <c r="H146" s="147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</row>
    <row r="147" spans="1:26" ht="18">
      <c r="A147" s="140"/>
      <c r="B147" s="137"/>
      <c r="C147" s="138"/>
      <c r="D147" s="139"/>
      <c r="E147" s="139"/>
      <c r="F147" s="140"/>
      <c r="G147" s="149"/>
      <c r="H147" s="149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</row>
    <row r="148" spans="1:26" ht="18">
      <c r="A148" s="140"/>
      <c r="B148" s="137"/>
      <c r="C148" s="138"/>
      <c r="D148" s="139"/>
      <c r="E148" s="139"/>
      <c r="F148" s="140"/>
      <c r="G148" s="147"/>
      <c r="H148" s="147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</row>
    <row r="149" spans="1:26" ht="18">
      <c r="A149" s="140"/>
      <c r="B149" s="137"/>
      <c r="C149" s="138"/>
      <c r="D149" s="139"/>
      <c r="E149" s="139"/>
      <c r="F149" s="140"/>
      <c r="G149" s="149"/>
      <c r="H149" s="149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</row>
    <row r="150" spans="1:26" ht="18">
      <c r="A150" s="140"/>
      <c r="B150" s="137"/>
      <c r="C150" s="138"/>
      <c r="D150" s="139"/>
      <c r="E150" s="139"/>
      <c r="F150" s="140"/>
      <c r="G150" s="147"/>
      <c r="H150" s="147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</row>
    <row r="151" spans="1:26" ht="18">
      <c r="A151" s="140"/>
      <c r="B151" s="137"/>
      <c r="C151" s="138"/>
      <c r="D151" s="139"/>
      <c r="E151" s="139"/>
      <c r="F151" s="140"/>
      <c r="G151" s="149"/>
      <c r="H151" s="149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</row>
    <row r="152" spans="1:26" ht="18">
      <c r="A152" s="140"/>
      <c r="B152" s="137"/>
      <c r="C152" s="138"/>
      <c r="D152" s="139"/>
      <c r="E152" s="139"/>
      <c r="F152" s="140"/>
      <c r="G152" s="147"/>
      <c r="H152" s="147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</row>
    <row r="153" spans="1:26" ht="18">
      <c r="A153" s="140"/>
      <c r="B153" s="137"/>
      <c r="C153" s="138"/>
      <c r="D153" s="139"/>
      <c r="E153" s="139"/>
      <c r="F153" s="140"/>
      <c r="G153" s="149"/>
      <c r="H153" s="149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</row>
    <row r="154" spans="1:26" ht="18">
      <c r="A154" s="140"/>
      <c r="B154" s="137"/>
      <c r="C154" s="138"/>
      <c r="D154" s="139"/>
      <c r="E154" s="139"/>
      <c r="F154" s="140"/>
      <c r="G154" s="147"/>
      <c r="H154" s="147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</row>
    <row r="155" spans="1:26" ht="18">
      <c r="A155" s="140"/>
      <c r="B155" s="137"/>
      <c r="C155" s="138"/>
      <c r="D155" s="139"/>
      <c r="E155" s="139"/>
      <c r="F155" s="140"/>
      <c r="G155" s="149"/>
      <c r="H155" s="149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</row>
    <row r="156" spans="1:26" ht="18">
      <c r="A156" s="140"/>
      <c r="B156" s="137"/>
      <c r="C156" s="138"/>
      <c r="D156" s="139"/>
      <c r="E156" s="139"/>
      <c r="F156" s="140"/>
      <c r="G156" s="147"/>
      <c r="H156" s="147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</row>
    <row r="157" spans="1:26" ht="18">
      <c r="A157" s="140"/>
      <c r="B157" s="137"/>
      <c r="C157" s="138"/>
      <c r="D157" s="139"/>
      <c r="E157" s="139"/>
      <c r="F157" s="140"/>
      <c r="G157" s="149"/>
      <c r="H157" s="149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</row>
    <row r="158" spans="1:26" ht="18">
      <c r="A158" s="140"/>
      <c r="B158" s="137"/>
      <c r="C158" s="138"/>
      <c r="D158" s="139"/>
      <c r="E158" s="139"/>
      <c r="F158" s="140"/>
      <c r="G158" s="147"/>
      <c r="H158" s="147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</row>
    <row r="159" spans="1:26" ht="18">
      <c r="A159" s="140"/>
      <c r="B159" s="137"/>
      <c r="C159" s="138"/>
      <c r="D159" s="139"/>
      <c r="E159" s="139"/>
      <c r="F159" s="140"/>
      <c r="G159" s="149"/>
      <c r="H159" s="149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</row>
    <row r="160" spans="1:26" ht="18">
      <c r="A160" s="140"/>
      <c r="B160" s="137"/>
      <c r="C160" s="138"/>
      <c r="D160" s="139"/>
      <c r="E160" s="139"/>
      <c r="F160" s="140"/>
      <c r="G160" s="147"/>
      <c r="H160" s="147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</row>
    <row r="161" spans="1:26" ht="18">
      <c r="A161" s="140"/>
      <c r="B161" s="137"/>
      <c r="C161" s="138"/>
      <c r="D161" s="139"/>
      <c r="E161" s="139"/>
      <c r="F161" s="140"/>
      <c r="G161" s="149"/>
      <c r="H161" s="149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</row>
    <row r="162" spans="1:26" ht="18">
      <c r="A162" s="140"/>
      <c r="B162" s="137"/>
      <c r="C162" s="138"/>
      <c r="D162" s="139"/>
      <c r="E162" s="139"/>
      <c r="F162" s="140"/>
      <c r="G162" s="147"/>
      <c r="H162" s="147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</row>
    <row r="163" spans="1:26" ht="18">
      <c r="A163" s="140"/>
      <c r="B163" s="137"/>
      <c r="C163" s="138"/>
      <c r="D163" s="139"/>
      <c r="E163" s="139"/>
      <c r="F163" s="140"/>
      <c r="G163" s="149"/>
      <c r="H163" s="149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</row>
    <row r="164" spans="1:26" ht="18">
      <c r="A164" s="140"/>
      <c r="B164" s="137"/>
      <c r="C164" s="138"/>
      <c r="D164" s="139"/>
      <c r="E164" s="139"/>
      <c r="F164" s="140"/>
      <c r="G164" s="147"/>
      <c r="H164" s="147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</row>
    <row r="165" spans="1:26" ht="18">
      <c r="A165" s="140"/>
      <c r="B165" s="137"/>
      <c r="C165" s="138"/>
      <c r="D165" s="139"/>
      <c r="E165" s="139"/>
      <c r="F165" s="140"/>
      <c r="G165" s="149"/>
      <c r="H165" s="149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</row>
    <row r="166" spans="1:26" ht="18">
      <c r="A166" s="140"/>
      <c r="B166" s="137"/>
      <c r="C166" s="138"/>
      <c r="D166" s="139"/>
      <c r="E166" s="139"/>
      <c r="F166" s="140"/>
      <c r="G166" s="147"/>
      <c r="H166" s="147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</row>
    <row r="167" spans="1:26" ht="18">
      <c r="A167" s="140"/>
      <c r="B167" s="137"/>
      <c r="C167" s="138"/>
      <c r="D167" s="139"/>
      <c r="E167" s="139"/>
      <c r="F167" s="140"/>
      <c r="G167" s="149"/>
      <c r="H167" s="149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</row>
    <row r="168" spans="1:26" ht="18">
      <c r="A168" s="140"/>
      <c r="B168" s="137"/>
      <c r="C168" s="138"/>
      <c r="D168" s="139"/>
      <c r="E168" s="139"/>
      <c r="F168" s="140"/>
      <c r="G168" s="147"/>
      <c r="H168" s="147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</row>
    <row r="169" spans="1:26" ht="18">
      <c r="A169" s="140"/>
      <c r="B169" s="137"/>
      <c r="C169" s="138"/>
      <c r="D169" s="139"/>
      <c r="E169" s="139"/>
      <c r="F169" s="140"/>
      <c r="G169" s="149"/>
      <c r="H169" s="149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</row>
    <row r="170" spans="1:26" ht="18">
      <c r="A170" s="140"/>
      <c r="B170" s="137"/>
      <c r="C170" s="138"/>
      <c r="D170" s="139"/>
      <c r="E170" s="139"/>
      <c r="F170" s="140"/>
      <c r="G170" s="147"/>
      <c r="H170" s="147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</row>
    <row r="171" spans="1:26" ht="18">
      <c r="A171" s="140"/>
      <c r="B171" s="137"/>
      <c r="C171" s="138"/>
      <c r="D171" s="139"/>
      <c r="E171" s="139"/>
      <c r="F171" s="140"/>
      <c r="G171" s="149"/>
      <c r="H171" s="149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</row>
    <row r="172" spans="1:26" ht="18">
      <c r="A172" s="140"/>
      <c r="B172" s="137"/>
      <c r="C172" s="138"/>
      <c r="D172" s="139"/>
      <c r="E172" s="139"/>
      <c r="F172" s="140"/>
      <c r="G172" s="147"/>
      <c r="H172" s="147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</row>
    <row r="173" spans="1:26" ht="18">
      <c r="A173" s="140"/>
      <c r="B173" s="137"/>
      <c r="C173" s="138"/>
      <c r="D173" s="139"/>
      <c r="E173" s="139"/>
      <c r="F173" s="140"/>
      <c r="G173" s="149"/>
      <c r="H173" s="149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</row>
    <row r="174" spans="1:26" ht="18">
      <c r="A174" s="140"/>
      <c r="B174" s="137"/>
      <c r="C174" s="138"/>
      <c r="D174" s="139"/>
      <c r="E174" s="139"/>
      <c r="F174" s="140"/>
      <c r="G174" s="147"/>
      <c r="H174" s="147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</row>
    <row r="175" spans="1:26" ht="18">
      <c r="A175" s="140"/>
      <c r="B175" s="137"/>
      <c r="C175" s="138"/>
      <c r="D175" s="139"/>
      <c r="E175" s="139"/>
      <c r="F175" s="140"/>
      <c r="G175" s="149"/>
      <c r="H175" s="149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</row>
    <row r="176" spans="1:26" ht="18">
      <c r="A176" s="140"/>
      <c r="B176" s="137"/>
      <c r="C176" s="138"/>
      <c r="D176" s="139"/>
      <c r="E176" s="139"/>
      <c r="F176" s="140"/>
      <c r="G176" s="147"/>
      <c r="H176" s="147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</row>
    <row r="177" spans="1:26" ht="18">
      <c r="A177" s="140"/>
      <c r="B177" s="137"/>
      <c r="C177" s="138"/>
      <c r="D177" s="139"/>
      <c r="E177" s="139"/>
      <c r="F177" s="140"/>
      <c r="G177" s="149"/>
      <c r="H177" s="149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</row>
    <row r="178" spans="1:26" ht="18">
      <c r="A178" s="140"/>
      <c r="B178" s="137"/>
      <c r="C178" s="138"/>
      <c r="D178" s="139"/>
      <c r="E178" s="139"/>
      <c r="F178" s="140"/>
      <c r="G178" s="147"/>
      <c r="H178" s="147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</row>
    <row r="179" spans="1:26" ht="18">
      <c r="A179" s="140"/>
      <c r="B179" s="137"/>
      <c r="C179" s="138"/>
      <c r="D179" s="139"/>
      <c r="E179" s="139"/>
      <c r="F179" s="140"/>
      <c r="G179" s="149"/>
      <c r="H179" s="149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</row>
    <row r="180" spans="1:26" ht="18">
      <c r="A180" s="140"/>
      <c r="B180" s="137"/>
      <c r="C180" s="138"/>
      <c r="D180" s="139"/>
      <c r="E180" s="139"/>
      <c r="F180" s="140"/>
      <c r="G180" s="147"/>
      <c r="H180" s="147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</row>
    <row r="181" spans="1:26" ht="18">
      <c r="A181" s="140"/>
      <c r="B181" s="137"/>
      <c r="C181" s="138"/>
      <c r="D181" s="139"/>
      <c r="E181" s="139"/>
      <c r="F181" s="140"/>
      <c r="G181" s="149"/>
      <c r="H181" s="149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</row>
    <row r="182" spans="1:26" ht="18">
      <c r="A182" s="140"/>
      <c r="B182" s="137"/>
      <c r="C182" s="138"/>
      <c r="D182" s="139"/>
      <c r="E182" s="139"/>
      <c r="F182" s="140"/>
      <c r="G182" s="147"/>
      <c r="H182" s="147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</row>
    <row r="183" spans="1:26" ht="18">
      <c r="A183" s="140"/>
      <c r="B183" s="137"/>
      <c r="C183" s="138"/>
      <c r="D183" s="139"/>
      <c r="E183" s="139"/>
      <c r="F183" s="140"/>
      <c r="G183" s="149"/>
      <c r="H183" s="149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</row>
    <row r="184" spans="1:26" ht="18">
      <c r="A184" s="140"/>
      <c r="B184" s="137"/>
      <c r="C184" s="138"/>
      <c r="D184" s="139"/>
      <c r="E184" s="139"/>
      <c r="F184" s="140"/>
      <c r="G184" s="147"/>
      <c r="H184" s="147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</row>
    <row r="185" spans="1:26" ht="18">
      <c r="A185" s="140"/>
      <c r="B185" s="137"/>
      <c r="C185" s="138"/>
      <c r="D185" s="139"/>
      <c r="E185" s="139"/>
      <c r="F185" s="140"/>
      <c r="G185" s="149"/>
      <c r="H185" s="149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</row>
    <row r="186" spans="1:26" ht="18">
      <c r="A186" s="140"/>
      <c r="B186" s="137"/>
      <c r="C186" s="138"/>
      <c r="D186" s="139"/>
      <c r="E186" s="139"/>
      <c r="F186" s="140"/>
      <c r="G186" s="147"/>
      <c r="H186" s="147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</row>
    <row r="187" spans="1:26" ht="18">
      <c r="A187" s="140"/>
      <c r="B187" s="137"/>
      <c r="C187" s="138"/>
      <c r="D187" s="139"/>
      <c r="E187" s="139"/>
      <c r="F187" s="140"/>
      <c r="G187" s="149"/>
      <c r="H187" s="149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</row>
    <row r="188" spans="1:26" ht="18">
      <c r="A188" s="140"/>
      <c r="B188" s="137"/>
      <c r="C188" s="138"/>
      <c r="D188" s="139"/>
      <c r="E188" s="139"/>
      <c r="F188" s="140"/>
      <c r="G188" s="147"/>
      <c r="H188" s="147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</row>
    <row r="189" spans="1:26" ht="18">
      <c r="A189" s="140"/>
      <c r="B189" s="137"/>
      <c r="C189" s="138"/>
      <c r="D189" s="139"/>
      <c r="E189" s="139"/>
      <c r="F189" s="140"/>
      <c r="G189" s="149"/>
      <c r="H189" s="149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</row>
    <row r="190" spans="1:26" ht="18">
      <c r="A190" s="140"/>
      <c r="B190" s="137"/>
      <c r="C190" s="138"/>
      <c r="D190" s="139"/>
      <c r="E190" s="139"/>
      <c r="F190" s="140"/>
      <c r="G190" s="147"/>
      <c r="H190" s="147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</row>
    <row r="191" spans="1:26" ht="18">
      <c r="A191" s="140"/>
      <c r="B191" s="137"/>
      <c r="C191" s="138"/>
      <c r="D191" s="139"/>
      <c r="E191" s="139"/>
      <c r="F191" s="140"/>
      <c r="G191" s="149"/>
      <c r="H191" s="149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</row>
    <row r="192" spans="1:26" ht="18">
      <c r="A192" s="140"/>
      <c r="B192" s="137"/>
      <c r="C192" s="138"/>
      <c r="D192" s="139"/>
      <c r="E192" s="139"/>
      <c r="F192" s="140"/>
      <c r="G192" s="147"/>
      <c r="H192" s="147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</row>
    <row r="193" spans="1:26" ht="18">
      <c r="A193" s="140"/>
      <c r="B193" s="137"/>
      <c r="C193" s="138"/>
      <c r="D193" s="139"/>
      <c r="E193" s="139"/>
      <c r="F193" s="140"/>
      <c r="G193" s="149"/>
      <c r="H193" s="149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</row>
    <row r="194" spans="1:26" ht="18">
      <c r="A194" s="140"/>
      <c r="B194" s="137"/>
      <c r="C194" s="138"/>
      <c r="D194" s="139"/>
      <c r="E194" s="139"/>
      <c r="F194" s="140"/>
      <c r="G194" s="147"/>
      <c r="H194" s="147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</row>
    <row r="195" spans="1:26" ht="18">
      <c r="A195" s="140"/>
      <c r="B195" s="137"/>
      <c r="C195" s="138"/>
      <c r="D195" s="139"/>
      <c r="E195" s="139"/>
      <c r="F195" s="140"/>
      <c r="G195" s="149"/>
      <c r="H195" s="149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</row>
    <row r="196" spans="1:26" ht="18">
      <c r="A196" s="140"/>
      <c r="B196" s="137"/>
      <c r="C196" s="138"/>
      <c r="D196" s="139"/>
      <c r="E196" s="139"/>
      <c r="F196" s="140"/>
      <c r="G196" s="147"/>
      <c r="H196" s="147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</row>
    <row r="197" spans="1:26" ht="18">
      <c r="A197" s="140"/>
      <c r="B197" s="137"/>
      <c r="C197" s="138"/>
      <c r="D197" s="139"/>
      <c r="E197" s="139"/>
      <c r="F197" s="140"/>
      <c r="G197" s="149"/>
      <c r="H197" s="149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</row>
    <row r="198" spans="1:26" ht="18">
      <c r="A198" s="140"/>
      <c r="B198" s="137"/>
      <c r="C198" s="138"/>
      <c r="D198" s="139"/>
      <c r="E198" s="139"/>
      <c r="F198" s="140"/>
      <c r="G198" s="147"/>
      <c r="H198" s="147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</row>
    <row r="199" spans="1:26" ht="18">
      <c r="A199" s="140"/>
      <c r="B199" s="137"/>
      <c r="C199" s="138"/>
      <c r="D199" s="139"/>
      <c r="E199" s="139"/>
      <c r="F199" s="140"/>
      <c r="G199" s="149"/>
      <c r="H199" s="149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</row>
    <row r="200" spans="1:26" ht="18">
      <c r="A200" s="140"/>
      <c r="B200" s="137"/>
      <c r="C200" s="138"/>
      <c r="D200" s="139"/>
      <c r="E200" s="139"/>
      <c r="F200" s="140"/>
      <c r="G200" s="147"/>
      <c r="H200" s="147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</row>
    <row r="201" spans="1:26" ht="18">
      <c r="A201" s="140"/>
      <c r="B201" s="137"/>
      <c r="C201" s="138"/>
      <c r="D201" s="139"/>
      <c r="E201" s="139"/>
      <c r="F201" s="140"/>
      <c r="G201" s="149"/>
      <c r="H201" s="149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</row>
    <row r="202" spans="1:26" ht="18">
      <c r="A202" s="140"/>
      <c r="B202" s="137"/>
      <c r="C202" s="138"/>
      <c r="D202" s="139"/>
      <c r="E202" s="139"/>
      <c r="F202" s="140"/>
      <c r="G202" s="147"/>
      <c r="H202" s="147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</row>
    <row r="203" spans="1:26" ht="18">
      <c r="A203" s="140"/>
      <c r="B203" s="137"/>
      <c r="C203" s="138"/>
      <c r="D203" s="139"/>
      <c r="E203" s="139"/>
      <c r="F203" s="140"/>
      <c r="G203" s="149"/>
      <c r="H203" s="149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</row>
    <row r="204" spans="1:26" ht="18">
      <c r="A204" s="140"/>
      <c r="B204" s="137"/>
      <c r="C204" s="138"/>
      <c r="D204" s="139"/>
      <c r="E204" s="139"/>
      <c r="F204" s="140"/>
      <c r="G204" s="147"/>
      <c r="H204" s="147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</row>
    <row r="205" spans="1:26" ht="18">
      <c r="A205" s="140"/>
      <c r="B205" s="137"/>
      <c r="C205" s="138"/>
      <c r="D205" s="139"/>
      <c r="E205" s="139"/>
      <c r="F205" s="140"/>
      <c r="G205" s="149"/>
      <c r="H205" s="149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</row>
    <row r="206" spans="1:26" ht="18">
      <c r="A206" s="140"/>
      <c r="B206" s="137"/>
      <c r="C206" s="138"/>
      <c r="D206" s="139"/>
      <c r="E206" s="139"/>
      <c r="F206" s="140"/>
      <c r="G206" s="147"/>
      <c r="H206" s="147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</row>
    <row r="207" spans="1:26" ht="18">
      <c r="A207" s="140"/>
      <c r="B207" s="137"/>
      <c r="C207" s="138"/>
      <c r="D207" s="139"/>
      <c r="E207" s="139"/>
      <c r="F207" s="140"/>
      <c r="G207" s="149"/>
      <c r="H207" s="149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</row>
    <row r="208" spans="1:26" ht="18">
      <c r="A208" s="140"/>
      <c r="B208" s="137"/>
      <c r="C208" s="138"/>
      <c r="D208" s="139"/>
      <c r="E208" s="139"/>
      <c r="F208" s="140"/>
      <c r="G208" s="147"/>
      <c r="H208" s="147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</row>
    <row r="209" spans="1:26" ht="18">
      <c r="A209" s="140"/>
      <c r="B209" s="137"/>
      <c r="C209" s="138"/>
      <c r="D209" s="139"/>
      <c r="E209" s="139"/>
      <c r="F209" s="140"/>
      <c r="G209" s="149"/>
      <c r="H209" s="149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</row>
    <row r="210" spans="1:26" ht="18">
      <c r="A210" s="140"/>
      <c r="B210" s="137"/>
      <c r="C210" s="138"/>
      <c r="D210" s="139"/>
      <c r="E210" s="139"/>
      <c r="F210" s="140"/>
      <c r="G210" s="147"/>
      <c r="H210" s="147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</row>
    <row r="211" spans="1:26" ht="18">
      <c r="A211" s="140"/>
      <c r="B211" s="137"/>
      <c r="C211" s="138"/>
      <c r="D211" s="139"/>
      <c r="E211" s="139"/>
      <c r="F211" s="140"/>
      <c r="G211" s="149"/>
      <c r="H211" s="149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</row>
    <row r="212" spans="1:26" ht="18">
      <c r="A212" s="140"/>
      <c r="B212" s="137"/>
      <c r="C212" s="138"/>
      <c r="D212" s="139"/>
      <c r="E212" s="139"/>
      <c r="F212" s="140"/>
      <c r="G212" s="147"/>
      <c r="H212" s="147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</row>
    <row r="213" spans="1:26" ht="18">
      <c r="A213" s="140"/>
      <c r="B213" s="137"/>
      <c r="C213" s="138"/>
      <c r="D213" s="139"/>
      <c r="E213" s="139"/>
      <c r="F213" s="140"/>
      <c r="G213" s="149"/>
      <c r="H213" s="149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</row>
    <row r="214" spans="1:26" ht="18">
      <c r="A214" s="140"/>
      <c r="B214" s="137"/>
      <c r="C214" s="138"/>
      <c r="D214" s="139"/>
      <c r="E214" s="139"/>
      <c r="F214" s="140"/>
      <c r="G214" s="147"/>
      <c r="H214" s="147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</row>
    <row r="215" spans="1:26" ht="18">
      <c r="A215" s="140"/>
      <c r="B215" s="137"/>
      <c r="C215" s="138"/>
      <c r="D215" s="139"/>
      <c r="E215" s="139"/>
      <c r="F215" s="140"/>
      <c r="G215" s="149"/>
      <c r="H215" s="149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</row>
    <row r="216" spans="1:26" ht="18">
      <c r="A216" s="140"/>
      <c r="B216" s="137"/>
      <c r="C216" s="138"/>
      <c r="D216" s="139"/>
      <c r="E216" s="139"/>
      <c r="F216" s="140"/>
      <c r="G216" s="147"/>
      <c r="H216" s="147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</row>
    <row r="217" spans="1:26" ht="18">
      <c r="A217" s="140"/>
      <c r="B217" s="137"/>
      <c r="C217" s="138"/>
      <c r="D217" s="139"/>
      <c r="E217" s="139"/>
      <c r="F217" s="140"/>
      <c r="G217" s="149"/>
      <c r="H217" s="149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</row>
    <row r="218" spans="1:26" ht="18">
      <c r="A218" s="140"/>
      <c r="B218" s="137"/>
      <c r="C218" s="138"/>
      <c r="D218" s="139"/>
      <c r="E218" s="139"/>
      <c r="F218" s="140"/>
      <c r="G218" s="147"/>
      <c r="H218" s="147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</row>
    <row r="219" spans="1:26" ht="18">
      <c r="A219" s="140"/>
      <c r="B219" s="137"/>
      <c r="C219" s="138"/>
      <c r="D219" s="139"/>
      <c r="E219" s="139"/>
      <c r="F219" s="140"/>
      <c r="G219" s="149"/>
      <c r="H219" s="149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</row>
    <row r="220" spans="1:26" ht="18">
      <c r="A220" s="140"/>
      <c r="B220" s="137"/>
      <c r="C220" s="138"/>
      <c r="D220" s="139"/>
      <c r="E220" s="139"/>
      <c r="F220" s="140"/>
      <c r="G220" s="147"/>
      <c r="H220" s="147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</row>
    <row r="221" spans="1:26" ht="18">
      <c r="A221" s="140"/>
      <c r="B221" s="137"/>
      <c r="C221" s="138"/>
      <c r="D221" s="139"/>
      <c r="E221" s="139"/>
      <c r="F221" s="140"/>
      <c r="G221" s="149"/>
      <c r="H221" s="149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</row>
    <row r="222" spans="1:26" ht="18">
      <c r="A222" s="140"/>
      <c r="B222" s="137"/>
      <c r="C222" s="138"/>
      <c r="D222" s="139"/>
      <c r="E222" s="139"/>
      <c r="F222" s="140"/>
      <c r="G222" s="147"/>
      <c r="H222" s="147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</row>
    <row r="223" spans="1:26" ht="18">
      <c r="A223" s="140"/>
      <c r="B223" s="137"/>
      <c r="C223" s="138"/>
      <c r="D223" s="139"/>
      <c r="E223" s="139"/>
      <c r="F223" s="140"/>
      <c r="G223" s="149"/>
      <c r="H223" s="149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</row>
    <row r="224" spans="1:26" ht="18">
      <c r="A224" s="140"/>
      <c r="B224" s="137"/>
      <c r="C224" s="138"/>
      <c r="D224" s="139"/>
      <c r="E224" s="139"/>
      <c r="F224" s="140"/>
      <c r="G224" s="147"/>
      <c r="H224" s="147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</row>
    <row r="225" spans="1:26" ht="18">
      <c r="A225" s="140"/>
      <c r="B225" s="137"/>
      <c r="C225" s="138"/>
      <c r="D225" s="139"/>
      <c r="E225" s="139"/>
      <c r="F225" s="140"/>
      <c r="G225" s="149"/>
      <c r="H225" s="149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</row>
    <row r="226" spans="1:26" ht="18">
      <c r="A226" s="140"/>
      <c r="B226" s="137"/>
      <c r="C226" s="138"/>
      <c r="D226" s="139"/>
      <c r="E226" s="139"/>
      <c r="F226" s="140"/>
      <c r="G226" s="147"/>
      <c r="H226" s="147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</row>
    <row r="227" spans="1:26" ht="18">
      <c r="A227" s="140"/>
      <c r="B227" s="137"/>
      <c r="C227" s="138"/>
      <c r="D227" s="139"/>
      <c r="E227" s="139"/>
      <c r="F227" s="140"/>
      <c r="G227" s="149"/>
      <c r="H227" s="149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</row>
    <row r="228" spans="1:26" ht="18">
      <c r="A228" s="140"/>
      <c r="B228" s="137"/>
      <c r="C228" s="138"/>
      <c r="D228" s="139"/>
      <c r="E228" s="139"/>
      <c r="F228" s="140"/>
      <c r="G228" s="147"/>
      <c r="H228" s="147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</row>
    <row r="229" spans="1:26" ht="18">
      <c r="A229" s="140"/>
      <c r="B229" s="137"/>
      <c r="C229" s="138"/>
      <c r="D229" s="139"/>
      <c r="E229" s="139"/>
      <c r="F229" s="140"/>
      <c r="G229" s="149"/>
      <c r="H229" s="149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</row>
    <row r="230" spans="1:26" ht="18">
      <c r="A230" s="140"/>
      <c r="B230" s="137"/>
      <c r="C230" s="138"/>
      <c r="D230" s="139"/>
      <c r="E230" s="139"/>
      <c r="F230" s="140"/>
      <c r="G230" s="147"/>
      <c r="H230" s="147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</row>
    <row r="231" spans="1:26" ht="18">
      <c r="A231" s="140"/>
      <c r="B231" s="137"/>
      <c r="C231" s="138"/>
      <c r="D231" s="139"/>
      <c r="E231" s="139"/>
      <c r="F231" s="140"/>
      <c r="G231" s="149"/>
      <c r="H231" s="149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</row>
    <row r="232" spans="1:26" ht="18">
      <c r="A232" s="140"/>
      <c r="B232" s="137"/>
      <c r="C232" s="138"/>
      <c r="D232" s="139"/>
      <c r="E232" s="139"/>
      <c r="F232" s="140"/>
      <c r="G232" s="147"/>
      <c r="H232" s="147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</row>
    <row r="233" spans="1:26" ht="18">
      <c r="A233" s="140"/>
      <c r="B233" s="137"/>
      <c r="C233" s="138"/>
      <c r="D233" s="139"/>
      <c r="E233" s="139"/>
      <c r="F233" s="140"/>
      <c r="G233" s="149"/>
      <c r="H233" s="149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</row>
    <row r="234" spans="1:26" ht="18">
      <c r="A234" s="140"/>
      <c r="B234" s="137"/>
      <c r="C234" s="138"/>
      <c r="D234" s="139"/>
      <c r="E234" s="139"/>
      <c r="F234" s="140"/>
      <c r="G234" s="147"/>
      <c r="H234" s="147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</row>
    <row r="235" spans="1:26" ht="18">
      <c r="A235" s="140"/>
      <c r="B235" s="137"/>
      <c r="C235" s="138"/>
      <c r="D235" s="139"/>
      <c r="E235" s="139"/>
      <c r="F235" s="140"/>
      <c r="G235" s="149"/>
      <c r="H235" s="149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</row>
    <row r="236" spans="1:26" ht="18">
      <c r="A236" s="140"/>
      <c r="B236" s="137"/>
      <c r="C236" s="138"/>
      <c r="D236" s="139"/>
      <c r="E236" s="139"/>
      <c r="F236" s="140"/>
      <c r="G236" s="147"/>
      <c r="H236" s="147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</row>
    <row r="237" spans="1:26" ht="18">
      <c r="A237" s="140"/>
      <c r="B237" s="137"/>
      <c r="C237" s="138"/>
      <c r="D237" s="139"/>
      <c r="E237" s="139"/>
      <c r="F237" s="140"/>
      <c r="G237" s="149"/>
      <c r="H237" s="149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</row>
    <row r="238" spans="1:26" ht="18">
      <c r="A238" s="140"/>
      <c r="B238" s="137"/>
      <c r="C238" s="138"/>
      <c r="D238" s="139"/>
      <c r="E238" s="139"/>
      <c r="F238" s="140"/>
      <c r="G238" s="147"/>
      <c r="H238" s="147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</row>
    <row r="239" spans="1:26" ht="18">
      <c r="A239" s="140"/>
      <c r="B239" s="137"/>
      <c r="C239" s="138"/>
      <c r="D239" s="139"/>
      <c r="E239" s="139"/>
      <c r="F239" s="140"/>
      <c r="G239" s="149"/>
      <c r="H239" s="149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</row>
    <row r="240" spans="1:26" ht="18">
      <c r="A240" s="140"/>
      <c r="B240" s="137"/>
      <c r="C240" s="138"/>
      <c r="D240" s="139"/>
      <c r="E240" s="139"/>
      <c r="F240" s="140"/>
      <c r="G240" s="147"/>
      <c r="H240" s="147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</row>
    <row r="241" spans="1:26" ht="18">
      <c r="A241" s="140"/>
      <c r="B241" s="137"/>
      <c r="C241" s="138"/>
      <c r="D241" s="139"/>
      <c r="E241" s="139"/>
      <c r="F241" s="140"/>
      <c r="G241" s="149"/>
      <c r="H241" s="149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</row>
    <row r="242" spans="1:26" ht="18">
      <c r="A242" s="140"/>
      <c r="B242" s="137"/>
      <c r="C242" s="138"/>
      <c r="D242" s="139"/>
      <c r="E242" s="139"/>
      <c r="F242" s="140"/>
      <c r="G242" s="147"/>
      <c r="H242" s="147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</row>
    <row r="243" spans="1:26" ht="18">
      <c r="A243" s="140"/>
      <c r="B243" s="137"/>
      <c r="C243" s="138"/>
      <c r="D243" s="139"/>
      <c r="E243" s="139"/>
      <c r="F243" s="140"/>
      <c r="G243" s="149"/>
      <c r="H243" s="149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</row>
    <row r="244" spans="1:26" ht="18">
      <c r="A244" s="140"/>
      <c r="B244" s="137"/>
      <c r="C244" s="138"/>
      <c r="D244" s="139"/>
      <c r="E244" s="139"/>
      <c r="F244" s="140"/>
      <c r="G244" s="147"/>
      <c r="H244" s="147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</row>
    <row r="245" spans="1:26" ht="18">
      <c r="A245" s="140"/>
      <c r="B245" s="137"/>
      <c r="C245" s="138"/>
      <c r="D245" s="139"/>
      <c r="E245" s="139"/>
      <c r="F245" s="140"/>
      <c r="G245" s="149"/>
      <c r="H245" s="149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</row>
    <row r="246" spans="1:26" ht="18">
      <c r="A246" s="140"/>
      <c r="B246" s="137"/>
      <c r="C246" s="138"/>
      <c r="D246" s="139"/>
      <c r="E246" s="139"/>
      <c r="F246" s="140"/>
      <c r="G246" s="147"/>
      <c r="H246" s="147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</row>
    <row r="247" spans="1:26" ht="18">
      <c r="A247" s="140"/>
      <c r="B247" s="137"/>
      <c r="C247" s="138"/>
      <c r="D247" s="139"/>
      <c r="E247" s="139"/>
      <c r="F247" s="140"/>
      <c r="G247" s="149"/>
      <c r="H247" s="149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</row>
    <row r="248" spans="1:26" ht="18">
      <c r="A248" s="140"/>
      <c r="B248" s="137"/>
      <c r="C248" s="138"/>
      <c r="D248" s="139"/>
      <c r="E248" s="139"/>
      <c r="F248" s="140"/>
      <c r="G248" s="147"/>
      <c r="H248" s="147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</row>
    <row r="249" spans="1:26" ht="18">
      <c r="A249" s="140"/>
      <c r="B249" s="137"/>
      <c r="C249" s="138"/>
      <c r="D249" s="139"/>
      <c r="E249" s="139"/>
      <c r="F249" s="140"/>
      <c r="G249" s="149"/>
      <c r="H249" s="149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</row>
    <row r="250" spans="1:26" ht="18">
      <c r="A250" s="140"/>
      <c r="B250" s="137"/>
      <c r="C250" s="138"/>
      <c r="D250" s="139"/>
      <c r="E250" s="139"/>
      <c r="F250" s="140"/>
      <c r="G250" s="147"/>
      <c r="H250" s="147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</row>
    <row r="251" spans="1:26" ht="18">
      <c r="A251" s="140"/>
      <c r="B251" s="137"/>
      <c r="C251" s="138"/>
      <c r="D251" s="139"/>
      <c r="E251" s="139"/>
      <c r="F251" s="140"/>
      <c r="G251" s="149"/>
      <c r="H251" s="149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</row>
    <row r="252" spans="1:26" ht="18">
      <c r="A252" s="140"/>
      <c r="B252" s="137"/>
      <c r="C252" s="138"/>
      <c r="D252" s="139"/>
      <c r="E252" s="139"/>
      <c r="F252" s="140"/>
      <c r="G252" s="147"/>
      <c r="H252" s="147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</row>
    <row r="253" spans="1:26" ht="18">
      <c r="A253" s="140"/>
      <c r="B253" s="137"/>
      <c r="C253" s="138"/>
      <c r="D253" s="139"/>
      <c r="E253" s="139"/>
      <c r="F253" s="140"/>
      <c r="G253" s="149"/>
      <c r="H253" s="149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</row>
    <row r="254" spans="1:26" ht="18">
      <c r="A254" s="140"/>
      <c r="B254" s="137"/>
      <c r="C254" s="138"/>
      <c r="D254" s="139"/>
      <c r="E254" s="139"/>
      <c r="F254" s="140"/>
      <c r="G254" s="147"/>
      <c r="H254" s="147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</row>
    <row r="255" spans="1:26" ht="18">
      <c r="A255" s="140"/>
      <c r="B255" s="137"/>
      <c r="C255" s="138"/>
      <c r="D255" s="139"/>
      <c r="E255" s="139"/>
      <c r="F255" s="140"/>
      <c r="G255" s="149"/>
      <c r="H255" s="149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</row>
    <row r="256" spans="1:26" ht="18">
      <c r="A256" s="140"/>
      <c r="B256" s="137"/>
      <c r="C256" s="138"/>
      <c r="D256" s="139"/>
      <c r="E256" s="139"/>
      <c r="F256" s="140"/>
      <c r="G256" s="147"/>
      <c r="H256" s="147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</row>
    <row r="257" spans="1:26" ht="18">
      <c r="A257" s="140"/>
      <c r="B257" s="137"/>
      <c r="C257" s="138"/>
      <c r="D257" s="139"/>
      <c r="E257" s="139"/>
      <c r="F257" s="140"/>
      <c r="G257" s="149"/>
      <c r="H257" s="149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</row>
    <row r="258" spans="1:26" ht="18">
      <c r="A258" s="140"/>
      <c r="B258" s="137"/>
      <c r="C258" s="138"/>
      <c r="D258" s="139"/>
      <c r="E258" s="139"/>
      <c r="F258" s="140"/>
      <c r="G258" s="147"/>
      <c r="H258" s="147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</row>
    <row r="259" spans="1:26" ht="18">
      <c r="A259" s="140"/>
      <c r="B259" s="137"/>
      <c r="C259" s="138"/>
      <c r="D259" s="139"/>
      <c r="E259" s="139"/>
      <c r="F259" s="140"/>
      <c r="G259" s="149"/>
      <c r="H259" s="149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</row>
    <row r="260" spans="1:26" ht="18">
      <c r="A260" s="140"/>
      <c r="B260" s="137"/>
      <c r="C260" s="138"/>
      <c r="D260" s="139"/>
      <c r="E260" s="139"/>
      <c r="F260" s="140"/>
      <c r="G260" s="147"/>
      <c r="H260" s="147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</row>
    <row r="261" spans="1:26" ht="18">
      <c r="A261" s="140"/>
      <c r="B261" s="137"/>
      <c r="C261" s="138"/>
      <c r="D261" s="139"/>
      <c r="E261" s="139"/>
      <c r="F261" s="140"/>
      <c r="G261" s="149"/>
      <c r="H261" s="149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</row>
    <row r="262" spans="1:26" ht="18">
      <c r="A262" s="140"/>
      <c r="B262" s="137"/>
      <c r="C262" s="138"/>
      <c r="D262" s="139"/>
      <c r="E262" s="139"/>
      <c r="F262" s="140"/>
      <c r="G262" s="147"/>
      <c r="H262" s="147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</row>
    <row r="263" spans="1:26" ht="18">
      <c r="A263" s="140"/>
      <c r="B263" s="137"/>
      <c r="C263" s="138"/>
      <c r="D263" s="139"/>
      <c r="E263" s="139"/>
      <c r="F263" s="140"/>
      <c r="G263" s="149"/>
      <c r="H263" s="149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</row>
    <row r="264" spans="1:26" ht="18">
      <c r="A264" s="140"/>
      <c r="B264" s="137"/>
      <c r="C264" s="138"/>
      <c r="D264" s="139"/>
      <c r="E264" s="139"/>
      <c r="F264" s="140"/>
      <c r="G264" s="147"/>
      <c r="H264" s="147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</row>
    <row r="265" spans="1:26" ht="18">
      <c r="A265" s="140"/>
      <c r="B265" s="137"/>
      <c r="C265" s="138"/>
      <c r="D265" s="139"/>
      <c r="E265" s="139"/>
      <c r="F265" s="140"/>
      <c r="G265" s="149"/>
      <c r="H265" s="149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</row>
    <row r="266" spans="1:26" ht="18">
      <c r="A266" s="140"/>
      <c r="B266" s="137"/>
      <c r="C266" s="138"/>
      <c r="D266" s="139"/>
      <c r="E266" s="139"/>
      <c r="F266" s="140"/>
      <c r="G266" s="147"/>
      <c r="H266" s="147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</row>
    <row r="267" spans="1:26" ht="18">
      <c r="A267" s="140"/>
      <c r="B267" s="137"/>
      <c r="C267" s="138"/>
      <c r="D267" s="139"/>
      <c r="E267" s="139"/>
      <c r="F267" s="140"/>
      <c r="G267" s="149"/>
      <c r="H267" s="149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</row>
    <row r="268" spans="1:26" ht="18">
      <c r="A268" s="140"/>
      <c r="B268" s="137"/>
      <c r="C268" s="138"/>
      <c r="D268" s="139"/>
      <c r="E268" s="139"/>
      <c r="F268" s="140"/>
      <c r="G268" s="147"/>
      <c r="H268" s="147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</row>
    <row r="269" spans="1:26" ht="18">
      <c r="A269" s="140"/>
      <c r="B269" s="137"/>
      <c r="C269" s="138"/>
      <c r="D269" s="139"/>
      <c r="E269" s="139"/>
      <c r="F269" s="140"/>
      <c r="G269" s="149"/>
      <c r="H269" s="149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</row>
    <row r="270" spans="1:26" ht="18">
      <c r="A270" s="140"/>
      <c r="B270" s="137"/>
      <c r="C270" s="138"/>
      <c r="D270" s="139"/>
      <c r="E270" s="139"/>
      <c r="F270" s="140"/>
      <c r="G270" s="147"/>
      <c r="H270" s="147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</row>
    <row r="271" spans="1:26" ht="18">
      <c r="A271" s="140"/>
      <c r="B271" s="137"/>
      <c r="C271" s="138"/>
      <c r="D271" s="139"/>
      <c r="E271" s="139"/>
      <c r="F271" s="140"/>
      <c r="G271" s="149"/>
      <c r="H271" s="149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</row>
    <row r="272" spans="1:26" ht="18">
      <c r="A272" s="140"/>
      <c r="B272" s="137"/>
      <c r="C272" s="138"/>
      <c r="D272" s="139"/>
      <c r="E272" s="139"/>
      <c r="F272" s="140"/>
      <c r="G272" s="147"/>
      <c r="H272" s="147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</row>
    <row r="273" spans="1:26" ht="18">
      <c r="A273" s="140"/>
      <c r="B273" s="137"/>
      <c r="C273" s="138"/>
      <c r="D273" s="139"/>
      <c r="E273" s="139"/>
      <c r="F273" s="140"/>
      <c r="G273" s="149"/>
      <c r="H273" s="149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</row>
    <row r="274" spans="1:26" ht="18">
      <c r="A274" s="140"/>
      <c r="B274" s="137"/>
      <c r="C274" s="138"/>
      <c r="D274" s="139"/>
      <c r="E274" s="139"/>
      <c r="F274" s="140"/>
      <c r="G274" s="147"/>
      <c r="H274" s="147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</row>
    <row r="275" spans="1:26" ht="18">
      <c r="A275" s="140"/>
      <c r="B275" s="137"/>
      <c r="C275" s="138"/>
      <c r="D275" s="139"/>
      <c r="E275" s="139"/>
      <c r="F275" s="140"/>
      <c r="G275" s="149"/>
      <c r="H275" s="149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</row>
    <row r="276" spans="1:26" ht="18">
      <c r="A276" s="140"/>
      <c r="B276" s="137"/>
      <c r="C276" s="138"/>
      <c r="D276" s="139"/>
      <c r="E276" s="139"/>
      <c r="F276" s="140"/>
      <c r="G276" s="147"/>
      <c r="H276" s="147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</row>
    <row r="277" spans="1:26" ht="18">
      <c r="A277" s="140"/>
      <c r="B277" s="137"/>
      <c r="C277" s="138"/>
      <c r="D277" s="139"/>
      <c r="E277" s="139"/>
      <c r="F277" s="140"/>
      <c r="G277" s="149"/>
      <c r="H277" s="149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</row>
    <row r="278" spans="1:26" ht="18">
      <c r="A278" s="140"/>
      <c r="B278" s="137"/>
      <c r="C278" s="138"/>
      <c r="D278" s="139"/>
      <c r="E278" s="139"/>
      <c r="F278" s="140"/>
      <c r="G278" s="147"/>
      <c r="H278" s="147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</row>
    <row r="279" spans="1:26" ht="18">
      <c r="A279" s="140"/>
      <c r="B279" s="137"/>
      <c r="C279" s="138"/>
      <c r="D279" s="139"/>
      <c r="E279" s="139"/>
      <c r="F279" s="140"/>
      <c r="G279" s="149"/>
      <c r="H279" s="149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</row>
    <row r="280" spans="1:26" ht="18">
      <c r="A280" s="140"/>
      <c r="B280" s="137"/>
      <c r="C280" s="138"/>
      <c r="D280" s="139"/>
      <c r="E280" s="139"/>
      <c r="F280" s="140"/>
      <c r="G280" s="147"/>
      <c r="H280" s="147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</row>
    <row r="281" spans="1:26" ht="18">
      <c r="A281" s="140"/>
      <c r="B281" s="137"/>
      <c r="C281" s="138"/>
      <c r="D281" s="139"/>
      <c r="E281" s="139"/>
      <c r="F281" s="140"/>
      <c r="G281" s="149"/>
      <c r="H281" s="149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</row>
    <row r="282" spans="1:26" ht="18">
      <c r="A282" s="140"/>
      <c r="B282" s="137"/>
      <c r="C282" s="138"/>
      <c r="D282" s="139"/>
      <c r="E282" s="139"/>
      <c r="F282" s="140"/>
      <c r="G282" s="147"/>
      <c r="H282" s="147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</row>
    <row r="283" spans="1:26" ht="18">
      <c r="A283" s="140"/>
      <c r="B283" s="137"/>
      <c r="C283" s="138"/>
      <c r="D283" s="139"/>
      <c r="E283" s="139"/>
      <c r="F283" s="140"/>
      <c r="G283" s="149"/>
      <c r="H283" s="149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</row>
    <row r="284" spans="1:26" ht="18">
      <c r="A284" s="140"/>
      <c r="B284" s="137"/>
      <c r="C284" s="138"/>
      <c r="D284" s="139"/>
      <c r="E284" s="139"/>
      <c r="F284" s="140"/>
      <c r="G284" s="147"/>
      <c r="H284" s="147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</row>
    <row r="285" spans="1:26" ht="18">
      <c r="A285" s="140"/>
      <c r="B285" s="137"/>
      <c r="C285" s="138"/>
      <c r="D285" s="139"/>
      <c r="E285" s="139"/>
      <c r="F285" s="140"/>
      <c r="G285" s="149"/>
      <c r="H285" s="149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</row>
    <row r="286" spans="1:26" ht="18">
      <c r="A286" s="140"/>
      <c r="B286" s="137"/>
      <c r="C286" s="138"/>
      <c r="D286" s="139"/>
      <c r="E286" s="139"/>
      <c r="F286" s="140"/>
      <c r="G286" s="147"/>
      <c r="H286" s="147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</row>
    <row r="287" spans="1:26" ht="18">
      <c r="A287" s="140"/>
      <c r="B287" s="137"/>
      <c r="C287" s="138"/>
      <c r="D287" s="139"/>
      <c r="E287" s="139"/>
      <c r="F287" s="140"/>
      <c r="G287" s="149"/>
      <c r="H287" s="149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</row>
    <row r="288" spans="1:26" ht="18">
      <c r="A288" s="140"/>
      <c r="B288" s="137"/>
      <c r="C288" s="138"/>
      <c r="D288" s="139"/>
      <c r="E288" s="139"/>
      <c r="F288" s="140"/>
      <c r="G288" s="147"/>
      <c r="H288" s="147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</row>
    <row r="289" spans="1:26" ht="18">
      <c r="A289" s="140"/>
      <c r="B289" s="137"/>
      <c r="C289" s="138"/>
      <c r="D289" s="139"/>
      <c r="E289" s="139"/>
      <c r="F289" s="140"/>
      <c r="G289" s="149"/>
      <c r="H289" s="149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</row>
    <row r="290" spans="1:26" ht="18">
      <c r="A290" s="140"/>
      <c r="B290" s="137"/>
      <c r="C290" s="138"/>
      <c r="D290" s="139"/>
      <c r="E290" s="139"/>
      <c r="F290" s="140"/>
      <c r="G290" s="147"/>
      <c r="H290" s="147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</row>
    <row r="291" spans="1:26" ht="18">
      <c r="A291" s="140"/>
      <c r="B291" s="137"/>
      <c r="C291" s="138"/>
      <c r="D291" s="139"/>
      <c r="E291" s="139"/>
      <c r="F291" s="140"/>
      <c r="G291" s="149"/>
      <c r="H291" s="149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</row>
    <row r="292" spans="1:26" ht="18">
      <c r="A292" s="140"/>
      <c r="B292" s="137"/>
      <c r="C292" s="138"/>
      <c r="D292" s="139"/>
      <c r="E292" s="139"/>
      <c r="F292" s="140"/>
      <c r="G292" s="147"/>
      <c r="H292" s="147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</row>
    <row r="293" spans="1:26" ht="18">
      <c r="A293" s="140"/>
      <c r="B293" s="137"/>
      <c r="C293" s="138"/>
      <c r="D293" s="139"/>
      <c r="E293" s="139"/>
      <c r="F293" s="140"/>
      <c r="G293" s="149"/>
      <c r="H293" s="149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</row>
    <row r="294" spans="1:26" ht="18">
      <c r="A294" s="140"/>
      <c r="B294" s="137"/>
      <c r="C294" s="138"/>
      <c r="D294" s="139"/>
      <c r="E294" s="139"/>
      <c r="F294" s="140"/>
      <c r="G294" s="147"/>
      <c r="H294" s="147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</row>
    <row r="295" spans="1:26" ht="18">
      <c r="A295" s="140"/>
      <c r="B295" s="137"/>
      <c r="C295" s="138"/>
      <c r="D295" s="139"/>
      <c r="E295" s="139"/>
      <c r="F295" s="140"/>
      <c r="G295" s="149"/>
      <c r="H295" s="149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</row>
    <row r="296" spans="1:26" ht="18">
      <c r="A296" s="140"/>
      <c r="B296" s="137"/>
      <c r="C296" s="138"/>
      <c r="D296" s="139"/>
      <c r="E296" s="139"/>
      <c r="F296" s="140"/>
      <c r="G296" s="147"/>
      <c r="H296" s="147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</row>
    <row r="297" spans="1:26" ht="18">
      <c r="A297" s="140"/>
      <c r="B297" s="137"/>
      <c r="C297" s="138"/>
      <c r="D297" s="139"/>
      <c r="E297" s="139"/>
      <c r="F297" s="140"/>
      <c r="G297" s="149"/>
      <c r="H297" s="149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</row>
    <row r="298" spans="1:26" ht="18">
      <c r="A298" s="140"/>
      <c r="B298" s="137"/>
      <c r="C298" s="138"/>
      <c r="D298" s="139"/>
      <c r="E298" s="139"/>
      <c r="F298" s="140"/>
      <c r="G298" s="147"/>
      <c r="H298" s="147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</row>
    <row r="299" spans="1:26" ht="18">
      <c r="A299" s="140"/>
      <c r="B299" s="137"/>
      <c r="C299" s="138"/>
      <c r="D299" s="139"/>
      <c r="E299" s="139"/>
      <c r="F299" s="140"/>
      <c r="G299" s="149"/>
      <c r="H299" s="149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</row>
    <row r="300" spans="1:26" ht="18">
      <c r="A300" s="140"/>
      <c r="B300" s="137"/>
      <c r="C300" s="138"/>
      <c r="D300" s="139"/>
      <c r="E300" s="139"/>
      <c r="F300" s="140"/>
      <c r="G300" s="147"/>
      <c r="H300" s="147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</row>
    <row r="301" spans="1:26" ht="18">
      <c r="A301" s="140"/>
      <c r="B301" s="137"/>
      <c r="C301" s="138"/>
      <c r="D301" s="139"/>
      <c r="E301" s="139"/>
      <c r="F301" s="140"/>
      <c r="G301" s="149"/>
      <c r="H301" s="149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</row>
    <row r="302" spans="1:26" ht="18">
      <c r="A302" s="140"/>
      <c r="B302" s="137"/>
      <c r="C302" s="138"/>
      <c r="D302" s="139"/>
      <c r="E302" s="139"/>
      <c r="F302" s="140"/>
      <c r="G302" s="147"/>
      <c r="H302" s="147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</row>
    <row r="303" spans="1:26" ht="18">
      <c r="A303" s="140"/>
      <c r="B303" s="137"/>
      <c r="C303" s="138"/>
      <c r="D303" s="139"/>
      <c r="E303" s="139"/>
      <c r="F303" s="140"/>
      <c r="G303" s="149"/>
      <c r="H303" s="149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</row>
    <row r="304" spans="1:26" ht="18">
      <c r="A304" s="140"/>
      <c r="B304" s="137"/>
      <c r="C304" s="138"/>
      <c r="D304" s="139"/>
      <c r="E304" s="139"/>
      <c r="F304" s="140"/>
      <c r="G304" s="147"/>
      <c r="H304" s="147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</row>
    <row r="305" spans="1:26" ht="18">
      <c r="A305" s="140"/>
      <c r="B305" s="137"/>
      <c r="C305" s="138"/>
      <c r="D305" s="139"/>
      <c r="E305" s="139"/>
      <c r="F305" s="140"/>
      <c r="G305" s="149"/>
      <c r="H305" s="149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</row>
    <row r="306" spans="1:26" ht="18">
      <c r="A306" s="140"/>
      <c r="B306" s="137"/>
      <c r="C306" s="138"/>
      <c r="D306" s="139"/>
      <c r="E306" s="139"/>
      <c r="F306" s="140"/>
      <c r="G306" s="147"/>
      <c r="H306" s="147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</row>
    <row r="307" spans="1:26" ht="18">
      <c r="A307" s="140"/>
      <c r="B307" s="137"/>
      <c r="C307" s="138"/>
      <c r="D307" s="139"/>
      <c r="E307" s="139"/>
      <c r="F307" s="140"/>
      <c r="G307" s="149"/>
      <c r="H307" s="149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</row>
    <row r="308" spans="1:26" ht="18">
      <c r="A308" s="140"/>
      <c r="B308" s="137"/>
      <c r="C308" s="138"/>
      <c r="D308" s="139"/>
      <c r="E308" s="139"/>
      <c r="F308" s="140"/>
      <c r="G308" s="147"/>
      <c r="H308" s="147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</row>
    <row r="309" spans="1:26" ht="18">
      <c r="A309" s="140"/>
      <c r="B309" s="137"/>
      <c r="C309" s="138"/>
      <c r="D309" s="139"/>
      <c r="E309" s="139"/>
      <c r="F309" s="140"/>
      <c r="G309" s="149"/>
      <c r="H309" s="149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</row>
    <row r="310" spans="1:26" ht="18">
      <c r="A310" s="140"/>
      <c r="B310" s="137"/>
      <c r="C310" s="138"/>
      <c r="D310" s="139"/>
      <c r="E310" s="139"/>
      <c r="F310" s="140"/>
      <c r="G310" s="147"/>
      <c r="H310" s="147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</row>
    <row r="311" spans="1:26" ht="18">
      <c r="A311" s="140"/>
      <c r="B311" s="137"/>
      <c r="C311" s="138"/>
      <c r="D311" s="139"/>
      <c r="E311" s="139"/>
      <c r="F311" s="140"/>
      <c r="G311" s="149"/>
      <c r="H311" s="149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</row>
    <row r="312" spans="1:26" ht="18">
      <c r="A312" s="140"/>
      <c r="B312" s="137"/>
      <c r="C312" s="138"/>
      <c r="D312" s="139"/>
      <c r="E312" s="139"/>
      <c r="F312" s="140"/>
      <c r="G312" s="147"/>
      <c r="H312" s="147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</row>
    <row r="313" spans="1:26" ht="18">
      <c r="A313" s="140"/>
      <c r="B313" s="137"/>
      <c r="C313" s="138"/>
      <c r="D313" s="139"/>
      <c r="E313" s="139"/>
      <c r="F313" s="140"/>
      <c r="G313" s="149"/>
      <c r="H313" s="149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</row>
    <row r="314" spans="1:26" ht="18">
      <c r="A314" s="140"/>
      <c r="B314" s="137"/>
      <c r="C314" s="138"/>
      <c r="D314" s="139"/>
      <c r="E314" s="139"/>
      <c r="F314" s="140"/>
      <c r="G314" s="147"/>
      <c r="H314" s="147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</row>
    <row r="315" spans="1:26" ht="18">
      <c r="A315" s="140"/>
      <c r="B315" s="137"/>
      <c r="C315" s="138"/>
      <c r="D315" s="139"/>
      <c r="E315" s="139"/>
      <c r="F315" s="140"/>
      <c r="G315" s="149"/>
      <c r="H315" s="149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</row>
    <row r="316" spans="1:26" ht="18">
      <c r="A316" s="140"/>
      <c r="B316" s="137"/>
      <c r="C316" s="138"/>
      <c r="D316" s="139"/>
      <c r="E316" s="139"/>
      <c r="F316" s="140"/>
      <c r="G316" s="147"/>
      <c r="H316" s="147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</row>
    <row r="317" spans="1:26" ht="18">
      <c r="A317" s="140"/>
      <c r="B317" s="137"/>
      <c r="C317" s="138"/>
      <c r="D317" s="139"/>
      <c r="E317" s="139"/>
      <c r="F317" s="140"/>
      <c r="G317" s="149"/>
      <c r="H317" s="149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</row>
    <row r="318" spans="1:26" ht="18">
      <c r="A318" s="140"/>
      <c r="B318" s="137"/>
      <c r="C318" s="138"/>
      <c r="D318" s="139"/>
      <c r="E318" s="139"/>
      <c r="F318" s="140"/>
      <c r="G318" s="147"/>
      <c r="H318" s="147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</row>
    <row r="319" spans="1:26" ht="18">
      <c r="A319" s="140"/>
      <c r="B319" s="137"/>
      <c r="C319" s="138"/>
      <c r="D319" s="139"/>
      <c r="E319" s="139"/>
      <c r="F319" s="140"/>
      <c r="G319" s="149"/>
      <c r="H319" s="149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</row>
    <row r="320" spans="1:26" ht="18">
      <c r="A320" s="140"/>
      <c r="B320" s="137"/>
      <c r="C320" s="138"/>
      <c r="D320" s="139"/>
      <c r="E320" s="139"/>
      <c r="F320" s="140"/>
      <c r="G320" s="147"/>
      <c r="H320" s="147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</row>
    <row r="321" spans="1:26" ht="18">
      <c r="A321" s="140"/>
      <c r="B321" s="137"/>
      <c r="C321" s="138"/>
      <c r="D321" s="139"/>
      <c r="E321" s="139"/>
      <c r="F321" s="140"/>
      <c r="G321" s="149"/>
      <c r="H321" s="149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</row>
    <row r="322" spans="1:26" ht="18">
      <c r="A322" s="140"/>
      <c r="B322" s="137"/>
      <c r="C322" s="138"/>
      <c r="D322" s="139"/>
      <c r="E322" s="139"/>
      <c r="F322" s="140"/>
      <c r="G322" s="147"/>
      <c r="H322" s="147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</row>
    <row r="323" spans="1:26" ht="18">
      <c r="A323" s="140"/>
      <c r="B323" s="137"/>
      <c r="C323" s="138"/>
      <c r="D323" s="139"/>
      <c r="E323" s="139"/>
      <c r="F323" s="140"/>
      <c r="G323" s="149"/>
      <c r="H323" s="149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</row>
    <row r="324" spans="1:26" ht="18">
      <c r="A324" s="140"/>
      <c r="B324" s="137"/>
      <c r="C324" s="138"/>
      <c r="D324" s="139"/>
      <c r="E324" s="139"/>
      <c r="F324" s="140"/>
      <c r="G324" s="147"/>
      <c r="H324" s="147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</row>
    <row r="325" spans="1:26" ht="18">
      <c r="A325" s="140"/>
      <c r="B325" s="137"/>
      <c r="C325" s="138"/>
      <c r="D325" s="139"/>
      <c r="E325" s="139"/>
      <c r="F325" s="140"/>
      <c r="G325" s="149"/>
      <c r="H325" s="149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</row>
    <row r="326" spans="1:26" ht="18">
      <c r="A326" s="140"/>
      <c r="B326" s="137"/>
      <c r="C326" s="138"/>
      <c r="D326" s="139"/>
      <c r="E326" s="139"/>
      <c r="F326" s="140"/>
      <c r="G326" s="147"/>
      <c r="H326" s="147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</row>
    <row r="327" spans="1:26" ht="18">
      <c r="A327" s="140"/>
      <c r="B327" s="137"/>
      <c r="C327" s="138"/>
      <c r="D327" s="139"/>
      <c r="E327" s="139"/>
      <c r="F327" s="140"/>
      <c r="G327" s="149"/>
      <c r="H327" s="149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</row>
    <row r="328" spans="1:26" ht="18">
      <c r="A328" s="140"/>
      <c r="B328" s="137"/>
      <c r="C328" s="138"/>
      <c r="D328" s="139"/>
      <c r="E328" s="139"/>
      <c r="F328" s="140"/>
      <c r="G328" s="147"/>
      <c r="H328" s="147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</row>
    <row r="329" spans="1:26" ht="18">
      <c r="A329" s="140"/>
      <c r="B329" s="137"/>
      <c r="C329" s="138"/>
      <c r="D329" s="139"/>
      <c r="E329" s="139"/>
      <c r="F329" s="140"/>
      <c r="G329" s="149"/>
      <c r="H329" s="149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</row>
    <row r="330" spans="1:26" ht="18">
      <c r="A330" s="140"/>
      <c r="B330" s="137"/>
      <c r="C330" s="138"/>
      <c r="D330" s="139"/>
      <c r="E330" s="139"/>
      <c r="F330" s="140"/>
      <c r="G330" s="147"/>
      <c r="H330" s="147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</row>
    <row r="331" spans="1:26" ht="18">
      <c r="A331" s="140"/>
      <c r="B331" s="137"/>
      <c r="C331" s="138"/>
      <c r="D331" s="139"/>
      <c r="E331" s="139"/>
      <c r="F331" s="140"/>
      <c r="G331" s="149"/>
      <c r="H331" s="149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</row>
    <row r="332" spans="1:26" ht="18">
      <c r="A332" s="140"/>
      <c r="B332" s="137"/>
      <c r="C332" s="138"/>
      <c r="D332" s="139"/>
      <c r="E332" s="139"/>
      <c r="F332" s="140"/>
      <c r="G332" s="147"/>
      <c r="H332" s="147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</row>
    <row r="333" spans="1:26" ht="18">
      <c r="A333" s="140"/>
      <c r="B333" s="137"/>
      <c r="C333" s="138"/>
      <c r="D333" s="139"/>
      <c r="E333" s="139"/>
      <c r="F333" s="140"/>
      <c r="G333" s="149"/>
      <c r="H333" s="149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</row>
    <row r="334" spans="1:26" ht="18">
      <c r="A334" s="140"/>
      <c r="B334" s="137"/>
      <c r="C334" s="138"/>
      <c r="D334" s="139"/>
      <c r="E334" s="139"/>
      <c r="F334" s="140"/>
      <c r="G334" s="147"/>
      <c r="H334" s="147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</row>
    <row r="335" spans="1:26" ht="18">
      <c r="A335" s="140"/>
      <c r="B335" s="137"/>
      <c r="C335" s="138"/>
      <c r="D335" s="139"/>
      <c r="E335" s="139"/>
      <c r="F335" s="140"/>
      <c r="G335" s="149"/>
      <c r="H335" s="149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</row>
    <row r="336" spans="1:26" ht="18">
      <c r="A336" s="140"/>
      <c r="B336" s="137"/>
      <c r="C336" s="138"/>
      <c r="D336" s="139"/>
      <c r="E336" s="139"/>
      <c r="F336" s="140"/>
      <c r="G336" s="147"/>
      <c r="H336" s="147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</row>
    <row r="337" spans="1:26" ht="18">
      <c r="A337" s="140"/>
      <c r="B337" s="137"/>
      <c r="C337" s="138"/>
      <c r="D337" s="139"/>
      <c r="E337" s="139"/>
      <c r="F337" s="140"/>
      <c r="G337" s="149"/>
      <c r="H337" s="149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</row>
    <row r="338" spans="1:26" ht="18">
      <c r="A338" s="140"/>
      <c r="B338" s="137"/>
      <c r="C338" s="138"/>
      <c r="D338" s="139"/>
      <c r="E338" s="139"/>
      <c r="F338" s="140"/>
      <c r="G338" s="147"/>
      <c r="H338" s="147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</row>
    <row r="339" spans="1:26" ht="18">
      <c r="A339" s="140"/>
      <c r="B339" s="137"/>
      <c r="C339" s="138"/>
      <c r="D339" s="139"/>
      <c r="E339" s="139"/>
      <c r="F339" s="140"/>
      <c r="G339" s="149"/>
      <c r="H339" s="149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</row>
    <row r="340" spans="1:26" ht="18">
      <c r="A340" s="140"/>
      <c r="B340" s="137"/>
      <c r="C340" s="138"/>
      <c r="D340" s="139"/>
      <c r="E340" s="139"/>
      <c r="F340" s="140"/>
      <c r="G340" s="147"/>
      <c r="H340" s="147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</row>
    <row r="341" spans="1:26" ht="18">
      <c r="A341" s="140"/>
      <c r="B341" s="137"/>
      <c r="C341" s="138"/>
      <c r="D341" s="139"/>
      <c r="E341" s="139"/>
      <c r="F341" s="140"/>
      <c r="G341" s="149"/>
      <c r="H341" s="149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</row>
    <row r="342" spans="1:26" ht="18">
      <c r="A342" s="140"/>
      <c r="B342" s="137"/>
      <c r="C342" s="138"/>
      <c r="D342" s="139"/>
      <c r="E342" s="139"/>
      <c r="F342" s="140"/>
      <c r="G342" s="147"/>
      <c r="H342" s="147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</row>
    <row r="343" spans="1:26" ht="18">
      <c r="A343" s="140"/>
      <c r="B343" s="137"/>
      <c r="C343" s="138"/>
      <c r="D343" s="139"/>
      <c r="E343" s="139"/>
      <c r="F343" s="140"/>
      <c r="G343" s="149"/>
      <c r="H343" s="149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</row>
    <row r="344" spans="1:26" ht="18">
      <c r="A344" s="140"/>
      <c r="B344" s="137"/>
      <c r="C344" s="138"/>
      <c r="D344" s="139"/>
      <c r="E344" s="139"/>
      <c r="F344" s="140"/>
      <c r="G344" s="147"/>
      <c r="H344" s="147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</row>
    <row r="345" spans="1:26" ht="18">
      <c r="A345" s="140"/>
      <c r="B345" s="137"/>
      <c r="C345" s="138"/>
      <c r="D345" s="139"/>
      <c r="E345" s="139"/>
      <c r="F345" s="140"/>
      <c r="G345" s="149"/>
      <c r="H345" s="149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</row>
    <row r="346" spans="1:26" ht="18">
      <c r="A346" s="140"/>
      <c r="B346" s="137"/>
      <c r="C346" s="138"/>
      <c r="D346" s="139"/>
      <c r="E346" s="139"/>
      <c r="F346" s="140"/>
      <c r="G346" s="147"/>
      <c r="H346" s="147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</row>
    <row r="347" spans="1:26" ht="18">
      <c r="A347" s="140"/>
      <c r="B347" s="137"/>
      <c r="C347" s="138"/>
      <c r="D347" s="139"/>
      <c r="E347" s="139"/>
      <c r="F347" s="140"/>
      <c r="G347" s="149"/>
      <c r="H347" s="149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</row>
    <row r="348" spans="1:26" ht="18">
      <c r="A348" s="140"/>
      <c r="B348" s="137"/>
      <c r="C348" s="138"/>
      <c r="D348" s="139"/>
      <c r="E348" s="139"/>
      <c r="F348" s="140"/>
      <c r="G348" s="147"/>
      <c r="H348" s="147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</row>
    <row r="349" spans="1:26" ht="18">
      <c r="A349" s="140"/>
      <c r="B349" s="137"/>
      <c r="C349" s="138"/>
      <c r="D349" s="139"/>
      <c r="E349" s="139"/>
      <c r="F349" s="140"/>
      <c r="G349" s="149"/>
      <c r="H349" s="149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</row>
    <row r="350" spans="1:26" ht="18">
      <c r="A350" s="140"/>
      <c r="B350" s="137"/>
      <c r="C350" s="138"/>
      <c r="D350" s="139"/>
      <c r="E350" s="139"/>
      <c r="F350" s="140"/>
      <c r="G350" s="147"/>
      <c r="H350" s="147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</row>
    <row r="351" spans="1:26" ht="18">
      <c r="A351" s="140"/>
      <c r="B351" s="137"/>
      <c r="C351" s="138"/>
      <c r="D351" s="139"/>
      <c r="E351" s="139"/>
      <c r="F351" s="140"/>
      <c r="G351" s="149"/>
      <c r="H351" s="149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</row>
    <row r="352" spans="1:26" ht="18">
      <c r="A352" s="140"/>
      <c r="B352" s="137"/>
      <c r="C352" s="138"/>
      <c r="D352" s="139"/>
      <c r="E352" s="139"/>
      <c r="F352" s="140"/>
      <c r="G352" s="147"/>
      <c r="H352" s="147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</row>
    <row r="353" spans="1:26" ht="18">
      <c r="A353" s="140"/>
      <c r="B353" s="137"/>
      <c r="C353" s="138"/>
      <c r="D353" s="139"/>
      <c r="E353" s="139"/>
      <c r="F353" s="140"/>
      <c r="G353" s="149"/>
      <c r="H353" s="149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</row>
    <row r="354" spans="1:26" ht="18">
      <c r="A354" s="140"/>
      <c r="B354" s="137"/>
      <c r="C354" s="138"/>
      <c r="D354" s="139"/>
      <c r="E354" s="139"/>
      <c r="F354" s="140"/>
      <c r="G354" s="147"/>
      <c r="H354" s="147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</row>
    <row r="355" spans="1:26" ht="18">
      <c r="A355" s="140"/>
      <c r="B355" s="137"/>
      <c r="C355" s="138"/>
      <c r="D355" s="139"/>
      <c r="E355" s="139"/>
      <c r="F355" s="140"/>
      <c r="G355" s="149"/>
      <c r="H355" s="149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</row>
    <row r="356" spans="1:26" ht="18">
      <c r="A356" s="140"/>
      <c r="B356" s="137"/>
      <c r="C356" s="138"/>
      <c r="D356" s="139"/>
      <c r="E356" s="139"/>
      <c r="F356" s="140"/>
      <c r="G356" s="147"/>
      <c r="H356" s="147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</row>
    <row r="357" spans="1:26" ht="18">
      <c r="A357" s="140"/>
      <c r="B357" s="137"/>
      <c r="C357" s="138"/>
      <c r="D357" s="139"/>
      <c r="E357" s="139"/>
      <c r="F357" s="140"/>
      <c r="G357" s="149"/>
      <c r="H357" s="149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</row>
    <row r="358" spans="1:26" ht="18">
      <c r="A358" s="140"/>
      <c r="B358" s="137"/>
      <c r="C358" s="138"/>
      <c r="D358" s="139"/>
      <c r="E358" s="139"/>
      <c r="F358" s="140"/>
      <c r="G358" s="147"/>
      <c r="H358" s="147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</row>
    <row r="359" spans="1:26" ht="18">
      <c r="A359" s="140"/>
      <c r="B359" s="137"/>
      <c r="C359" s="138"/>
      <c r="D359" s="139"/>
      <c r="E359" s="139"/>
      <c r="F359" s="140"/>
      <c r="G359" s="149"/>
      <c r="H359" s="149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</row>
    <row r="360" spans="1:26" ht="18">
      <c r="A360" s="140"/>
      <c r="B360" s="137"/>
      <c r="C360" s="138"/>
      <c r="D360" s="139"/>
      <c r="E360" s="139"/>
      <c r="F360" s="140"/>
      <c r="G360" s="147"/>
      <c r="H360" s="147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</row>
    <row r="361" spans="1:26" ht="18">
      <c r="A361" s="140"/>
      <c r="B361" s="137"/>
      <c r="C361" s="138"/>
      <c r="D361" s="139"/>
      <c r="E361" s="139"/>
      <c r="F361" s="140"/>
      <c r="G361" s="149"/>
      <c r="H361" s="149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</row>
    <row r="362" spans="1:26" ht="18">
      <c r="A362" s="140"/>
      <c r="B362" s="137"/>
      <c r="C362" s="138"/>
      <c r="D362" s="139"/>
      <c r="E362" s="139"/>
      <c r="F362" s="140"/>
      <c r="G362" s="147"/>
      <c r="H362" s="147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</row>
    <row r="363" spans="1:26" ht="18">
      <c r="A363" s="140"/>
      <c r="B363" s="137"/>
      <c r="C363" s="138"/>
      <c r="D363" s="139"/>
      <c r="E363" s="139"/>
      <c r="F363" s="140"/>
      <c r="G363" s="149"/>
      <c r="H363" s="149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</row>
    <row r="364" spans="1:26" ht="18">
      <c r="A364" s="140"/>
      <c r="B364" s="137"/>
      <c r="C364" s="138"/>
      <c r="D364" s="139"/>
      <c r="E364" s="139"/>
      <c r="F364" s="140"/>
      <c r="G364" s="147"/>
      <c r="H364" s="147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</row>
    <row r="365" spans="1:26" ht="18">
      <c r="A365" s="140"/>
      <c r="B365" s="137"/>
      <c r="C365" s="138"/>
      <c r="D365" s="139"/>
      <c r="E365" s="139"/>
      <c r="F365" s="140"/>
      <c r="G365" s="149"/>
      <c r="H365" s="149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</row>
    <row r="366" spans="1:26" ht="18">
      <c r="A366" s="140"/>
      <c r="B366" s="137"/>
      <c r="C366" s="138"/>
      <c r="D366" s="139"/>
      <c r="E366" s="139"/>
      <c r="F366" s="140"/>
      <c r="G366" s="147"/>
      <c r="H366" s="147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</row>
    <row r="367" spans="1:26" ht="18">
      <c r="A367" s="140"/>
      <c r="B367" s="137"/>
      <c r="C367" s="138"/>
      <c r="D367" s="139"/>
      <c r="E367" s="139"/>
      <c r="F367" s="140"/>
      <c r="G367" s="149"/>
      <c r="H367" s="149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</row>
    <row r="368" spans="1:26" ht="18">
      <c r="A368" s="140"/>
      <c r="B368" s="137"/>
      <c r="C368" s="138"/>
      <c r="D368" s="139"/>
      <c r="E368" s="139"/>
      <c r="F368" s="140"/>
      <c r="G368" s="147"/>
      <c r="H368" s="147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</row>
    <row r="369" spans="1:26" ht="18">
      <c r="A369" s="140"/>
      <c r="B369" s="137"/>
      <c r="C369" s="138"/>
      <c r="D369" s="139"/>
      <c r="E369" s="139"/>
      <c r="F369" s="140"/>
      <c r="G369" s="149"/>
      <c r="H369" s="149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</row>
    <row r="370" spans="1:26" ht="18">
      <c r="A370" s="140"/>
      <c r="B370" s="137"/>
      <c r="C370" s="138"/>
      <c r="D370" s="139"/>
      <c r="E370" s="139"/>
      <c r="F370" s="140"/>
      <c r="G370" s="147"/>
      <c r="H370" s="147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</row>
    <row r="371" spans="1:26" ht="18">
      <c r="A371" s="140"/>
      <c r="B371" s="137"/>
      <c r="C371" s="138"/>
      <c r="D371" s="139"/>
      <c r="E371" s="139"/>
      <c r="F371" s="140"/>
      <c r="G371" s="149"/>
      <c r="H371" s="149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</row>
    <row r="372" spans="1:26" ht="18">
      <c r="A372" s="140"/>
      <c r="B372" s="137"/>
      <c r="C372" s="138"/>
      <c r="D372" s="139"/>
      <c r="E372" s="139"/>
      <c r="F372" s="140"/>
      <c r="G372" s="147"/>
      <c r="H372" s="147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</row>
    <row r="373" spans="1:26" ht="18">
      <c r="A373" s="140"/>
      <c r="B373" s="137"/>
      <c r="C373" s="138"/>
      <c r="D373" s="139"/>
      <c r="E373" s="139"/>
      <c r="F373" s="140"/>
      <c r="G373" s="149"/>
      <c r="H373" s="149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</row>
    <row r="374" spans="1:26" ht="18">
      <c r="A374" s="140"/>
      <c r="B374" s="137"/>
      <c r="C374" s="138"/>
      <c r="D374" s="139"/>
      <c r="E374" s="139"/>
      <c r="F374" s="140"/>
      <c r="G374" s="147"/>
      <c r="H374" s="147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</row>
    <row r="375" spans="1:26" ht="18">
      <c r="A375" s="140"/>
      <c r="B375" s="137"/>
      <c r="C375" s="138"/>
      <c r="D375" s="139"/>
      <c r="E375" s="139"/>
      <c r="F375" s="140"/>
      <c r="G375" s="149"/>
      <c r="H375" s="149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</row>
    <row r="376" spans="1:26" ht="18">
      <c r="A376" s="140"/>
      <c r="B376" s="137"/>
      <c r="C376" s="138"/>
      <c r="D376" s="139"/>
      <c r="E376" s="139"/>
      <c r="F376" s="140"/>
      <c r="G376" s="147"/>
      <c r="H376" s="147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</row>
    <row r="377" spans="1:26" ht="18">
      <c r="A377" s="140"/>
      <c r="B377" s="137"/>
      <c r="C377" s="138"/>
      <c r="D377" s="139"/>
      <c r="E377" s="139"/>
      <c r="F377" s="140"/>
      <c r="G377" s="149"/>
      <c r="H377" s="149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</row>
    <row r="378" spans="1:26" ht="18">
      <c r="A378" s="140"/>
      <c r="B378" s="137"/>
      <c r="C378" s="138"/>
      <c r="D378" s="139"/>
      <c r="E378" s="139"/>
      <c r="F378" s="140"/>
      <c r="G378" s="147"/>
      <c r="H378" s="147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</row>
    <row r="379" spans="1:26" ht="18">
      <c r="A379" s="140"/>
      <c r="B379" s="137"/>
      <c r="C379" s="138"/>
      <c r="D379" s="139"/>
      <c r="E379" s="139"/>
      <c r="F379" s="140"/>
      <c r="G379" s="149"/>
      <c r="H379" s="149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</row>
    <row r="380" spans="1:26" ht="18">
      <c r="A380" s="140"/>
      <c r="B380" s="137"/>
      <c r="C380" s="138"/>
      <c r="D380" s="139"/>
      <c r="E380" s="139"/>
      <c r="F380" s="140"/>
      <c r="G380" s="147"/>
      <c r="H380" s="147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</row>
    <row r="381" spans="1:26" ht="18">
      <c r="A381" s="140"/>
      <c r="B381" s="137"/>
      <c r="C381" s="138"/>
      <c r="D381" s="139"/>
      <c r="E381" s="139"/>
      <c r="F381" s="140"/>
      <c r="G381" s="149"/>
      <c r="H381" s="149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</row>
    <row r="382" spans="1:26" ht="18">
      <c r="A382" s="140"/>
      <c r="B382" s="137"/>
      <c r="C382" s="138"/>
      <c r="D382" s="139"/>
      <c r="E382" s="139"/>
      <c r="F382" s="140"/>
      <c r="G382" s="147"/>
      <c r="H382" s="147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</row>
    <row r="383" spans="1:26" ht="18">
      <c r="A383" s="140"/>
      <c r="B383" s="137"/>
      <c r="C383" s="138"/>
      <c r="D383" s="139"/>
      <c r="E383" s="139"/>
      <c r="F383" s="140"/>
      <c r="G383" s="149"/>
      <c r="H383" s="149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</row>
    <row r="384" spans="1:26" ht="18">
      <c r="A384" s="140"/>
      <c r="B384" s="137"/>
      <c r="C384" s="138"/>
      <c r="D384" s="139"/>
      <c r="E384" s="139"/>
      <c r="F384" s="140"/>
      <c r="G384" s="147"/>
      <c r="H384" s="147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</row>
    <row r="385" spans="1:26" ht="18">
      <c r="A385" s="140"/>
      <c r="B385" s="137"/>
      <c r="C385" s="138"/>
      <c r="D385" s="139"/>
      <c r="E385" s="139"/>
      <c r="F385" s="140"/>
      <c r="G385" s="149"/>
      <c r="H385" s="149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</row>
    <row r="386" spans="1:26" ht="18">
      <c r="A386" s="140"/>
      <c r="B386" s="137"/>
      <c r="C386" s="138"/>
      <c r="D386" s="139"/>
      <c r="E386" s="139"/>
      <c r="F386" s="140"/>
      <c r="G386" s="147"/>
      <c r="H386" s="147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</row>
    <row r="387" spans="1:26" ht="18">
      <c r="A387" s="140"/>
      <c r="B387" s="137"/>
      <c r="C387" s="138"/>
      <c r="D387" s="139"/>
      <c r="E387" s="139"/>
      <c r="F387" s="140"/>
      <c r="G387" s="149"/>
      <c r="H387" s="149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</row>
    <row r="388" spans="1:26" ht="18">
      <c r="A388" s="140"/>
      <c r="B388" s="137"/>
      <c r="C388" s="138"/>
      <c r="D388" s="139"/>
      <c r="E388" s="139"/>
      <c r="F388" s="140"/>
      <c r="G388" s="147"/>
      <c r="H388" s="147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</row>
    <row r="389" spans="1:26" ht="18">
      <c r="A389" s="140"/>
      <c r="B389" s="137"/>
      <c r="C389" s="138"/>
      <c r="D389" s="139"/>
      <c r="E389" s="139"/>
      <c r="F389" s="140"/>
      <c r="G389" s="149"/>
      <c r="H389" s="149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</row>
    <row r="390" spans="1:26" ht="18">
      <c r="A390" s="140"/>
      <c r="B390" s="137"/>
      <c r="C390" s="138"/>
      <c r="D390" s="139"/>
      <c r="E390" s="139"/>
      <c r="F390" s="140"/>
      <c r="G390" s="147"/>
      <c r="H390" s="147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</row>
    <row r="391" spans="1:26" ht="18">
      <c r="A391" s="140"/>
      <c r="B391" s="137"/>
      <c r="C391" s="138"/>
      <c r="D391" s="139"/>
      <c r="E391" s="139"/>
      <c r="F391" s="140"/>
      <c r="G391" s="149"/>
      <c r="H391" s="149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</row>
    <row r="392" spans="1:26" ht="18">
      <c r="A392" s="140"/>
      <c r="B392" s="137"/>
      <c r="C392" s="138"/>
      <c r="D392" s="139"/>
      <c r="E392" s="139"/>
      <c r="F392" s="140"/>
      <c r="G392" s="147"/>
      <c r="H392" s="147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</row>
    <row r="393" spans="1:26" ht="18">
      <c r="A393" s="140"/>
      <c r="B393" s="137"/>
      <c r="C393" s="138"/>
      <c r="D393" s="139"/>
      <c r="E393" s="139"/>
      <c r="F393" s="140"/>
      <c r="G393" s="149"/>
      <c r="H393" s="149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</row>
    <row r="394" spans="1:26" ht="18">
      <c r="A394" s="140"/>
      <c r="B394" s="137"/>
      <c r="C394" s="138"/>
      <c r="D394" s="139"/>
      <c r="E394" s="139"/>
      <c r="F394" s="140"/>
      <c r="G394" s="147"/>
      <c r="H394" s="147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</row>
    <row r="395" spans="1:26" ht="18">
      <c r="A395" s="140"/>
      <c r="B395" s="137"/>
      <c r="C395" s="138"/>
      <c r="D395" s="139"/>
      <c r="E395" s="139"/>
      <c r="F395" s="140"/>
      <c r="G395" s="149"/>
      <c r="H395" s="149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</row>
    <row r="396" spans="1:26" ht="18">
      <c r="A396" s="140"/>
      <c r="B396" s="137"/>
      <c r="C396" s="138"/>
      <c r="D396" s="139"/>
      <c r="E396" s="139"/>
      <c r="F396" s="140"/>
      <c r="G396" s="147"/>
      <c r="H396" s="147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</row>
    <row r="397" spans="1:26" ht="18">
      <c r="A397" s="140"/>
      <c r="B397" s="137"/>
      <c r="C397" s="138"/>
      <c r="D397" s="139"/>
      <c r="E397" s="139"/>
      <c r="F397" s="140"/>
      <c r="G397" s="149"/>
      <c r="H397" s="149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</row>
    <row r="398" spans="1:26" ht="18">
      <c r="A398" s="140"/>
      <c r="B398" s="137"/>
      <c r="C398" s="138"/>
      <c r="D398" s="139"/>
      <c r="E398" s="139"/>
      <c r="F398" s="140"/>
      <c r="G398" s="147"/>
      <c r="H398" s="147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</row>
    <row r="399" spans="1:26" ht="18">
      <c r="A399" s="140"/>
      <c r="B399" s="137"/>
      <c r="C399" s="138"/>
      <c r="D399" s="139"/>
      <c r="E399" s="139"/>
      <c r="F399" s="140"/>
      <c r="G399" s="149"/>
      <c r="H399" s="149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</row>
    <row r="400" spans="1:26" ht="18">
      <c r="A400" s="140"/>
      <c r="B400" s="137"/>
      <c r="C400" s="138"/>
      <c r="D400" s="139"/>
      <c r="E400" s="139"/>
      <c r="F400" s="140"/>
      <c r="G400" s="147"/>
      <c r="H400" s="147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</row>
    <row r="401" spans="1:26" ht="18">
      <c r="A401" s="140"/>
      <c r="B401" s="137"/>
      <c r="C401" s="138"/>
      <c r="D401" s="139"/>
      <c r="E401" s="139"/>
      <c r="F401" s="140"/>
      <c r="G401" s="149"/>
      <c r="H401" s="149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</row>
    <row r="402" spans="1:26" ht="18">
      <c r="A402" s="140"/>
      <c r="B402" s="137"/>
      <c r="C402" s="138"/>
      <c r="D402" s="139"/>
      <c r="E402" s="139"/>
      <c r="F402" s="140"/>
      <c r="G402" s="147"/>
      <c r="H402" s="147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</row>
    <row r="403" spans="1:26" ht="18">
      <c r="A403" s="140"/>
      <c r="B403" s="137"/>
      <c r="C403" s="138"/>
      <c r="D403" s="139"/>
      <c r="E403" s="139"/>
      <c r="F403" s="140"/>
      <c r="G403" s="149"/>
      <c r="H403" s="149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</row>
    <row r="404" spans="1:26" ht="18">
      <c r="A404" s="140"/>
      <c r="B404" s="137"/>
      <c r="C404" s="138"/>
      <c r="D404" s="139"/>
      <c r="E404" s="139"/>
      <c r="F404" s="140"/>
      <c r="G404" s="147"/>
      <c r="H404" s="147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</row>
    <row r="405" spans="1:26" ht="18">
      <c r="A405" s="140"/>
      <c r="B405" s="137"/>
      <c r="C405" s="138"/>
      <c r="D405" s="139"/>
      <c r="E405" s="139"/>
      <c r="F405" s="140"/>
      <c r="G405" s="149"/>
      <c r="H405" s="149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</row>
    <row r="406" spans="1:26" ht="18">
      <c r="A406" s="140"/>
      <c r="B406" s="137"/>
      <c r="C406" s="138"/>
      <c r="D406" s="139"/>
      <c r="E406" s="139"/>
      <c r="F406" s="140"/>
      <c r="G406" s="147"/>
      <c r="H406" s="147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</row>
    <row r="407" spans="1:26" ht="18">
      <c r="A407" s="140"/>
      <c r="B407" s="137"/>
      <c r="C407" s="138"/>
      <c r="D407" s="139"/>
      <c r="E407" s="139"/>
      <c r="F407" s="140"/>
      <c r="G407" s="149"/>
      <c r="H407" s="149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</row>
    <row r="408" spans="1:26" ht="18">
      <c r="A408" s="140"/>
      <c r="B408" s="137"/>
      <c r="C408" s="138"/>
      <c r="D408" s="139"/>
      <c r="E408" s="139"/>
      <c r="F408" s="140"/>
      <c r="G408" s="147"/>
      <c r="H408" s="147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</row>
    <row r="409" spans="1:26" ht="18">
      <c r="A409" s="140"/>
      <c r="B409" s="137"/>
      <c r="C409" s="138"/>
      <c r="D409" s="139"/>
      <c r="E409" s="139"/>
      <c r="F409" s="140"/>
      <c r="G409" s="149"/>
      <c r="H409" s="149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</row>
    <row r="410" spans="1:26" ht="18">
      <c r="A410" s="140"/>
      <c r="B410" s="137"/>
      <c r="C410" s="138"/>
      <c r="D410" s="139"/>
      <c r="E410" s="139"/>
      <c r="F410" s="140"/>
      <c r="G410" s="147"/>
      <c r="H410" s="147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</row>
    <row r="411" spans="1:26" ht="18">
      <c r="A411" s="140"/>
      <c r="B411" s="137"/>
      <c r="C411" s="138"/>
      <c r="D411" s="139"/>
      <c r="E411" s="139"/>
      <c r="F411" s="140"/>
      <c r="G411" s="149"/>
      <c r="H411" s="149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</row>
    <row r="412" spans="1:26" ht="18">
      <c r="A412" s="140"/>
      <c r="B412" s="137"/>
      <c r="C412" s="138"/>
      <c r="D412" s="139"/>
      <c r="E412" s="139"/>
      <c r="F412" s="140"/>
      <c r="G412" s="147"/>
      <c r="H412" s="147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</row>
    <row r="413" spans="1:26" ht="18">
      <c r="A413" s="140"/>
      <c r="B413" s="137"/>
      <c r="C413" s="138"/>
      <c r="D413" s="139"/>
      <c r="E413" s="139"/>
      <c r="F413" s="140"/>
      <c r="G413" s="149"/>
      <c r="H413" s="149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</row>
    <row r="414" spans="1:26" ht="18">
      <c r="A414" s="140"/>
      <c r="B414" s="137"/>
      <c r="C414" s="138"/>
      <c r="D414" s="139"/>
      <c r="E414" s="139"/>
      <c r="F414" s="140"/>
      <c r="G414" s="147"/>
      <c r="H414" s="147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</row>
    <row r="415" spans="1:26" ht="18">
      <c r="A415" s="140"/>
      <c r="B415" s="137"/>
      <c r="C415" s="138"/>
      <c r="D415" s="139"/>
      <c r="E415" s="139"/>
      <c r="F415" s="140"/>
      <c r="G415" s="149"/>
      <c r="H415" s="149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</row>
    <row r="416" spans="1:26" ht="18">
      <c r="A416" s="140"/>
      <c r="B416" s="137"/>
      <c r="C416" s="138"/>
      <c r="D416" s="139"/>
      <c r="E416" s="139"/>
      <c r="F416" s="140"/>
      <c r="G416" s="147"/>
      <c r="H416" s="147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</row>
    <row r="417" spans="1:26" ht="18">
      <c r="A417" s="140"/>
      <c r="B417" s="137"/>
      <c r="C417" s="138"/>
      <c r="D417" s="139"/>
      <c r="E417" s="139"/>
      <c r="F417" s="140"/>
      <c r="G417" s="149"/>
      <c r="H417" s="149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</row>
    <row r="418" spans="1:26" ht="18">
      <c r="A418" s="140"/>
      <c r="B418" s="137"/>
      <c r="C418" s="138"/>
      <c r="D418" s="139"/>
      <c r="E418" s="139"/>
      <c r="F418" s="140"/>
      <c r="G418" s="147"/>
      <c r="H418" s="147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</row>
    <row r="419" spans="1:26" ht="18">
      <c r="A419" s="140"/>
      <c r="B419" s="137"/>
      <c r="C419" s="138"/>
      <c r="D419" s="139"/>
      <c r="E419" s="139"/>
      <c r="F419" s="140"/>
      <c r="G419" s="149"/>
      <c r="H419" s="149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</row>
    <row r="420" spans="1:26" ht="18">
      <c r="A420" s="140"/>
      <c r="B420" s="137"/>
      <c r="C420" s="138"/>
      <c r="D420" s="139"/>
      <c r="E420" s="139"/>
      <c r="F420" s="140"/>
      <c r="G420" s="147"/>
      <c r="H420" s="147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</row>
    <row r="421" spans="1:26" ht="18">
      <c r="A421" s="140"/>
      <c r="B421" s="137"/>
      <c r="C421" s="138"/>
      <c r="D421" s="139"/>
      <c r="E421" s="139"/>
      <c r="F421" s="140"/>
      <c r="G421" s="149"/>
      <c r="H421" s="149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</row>
    <row r="422" spans="1:26" ht="18">
      <c r="A422" s="140"/>
      <c r="B422" s="137"/>
      <c r="C422" s="138"/>
      <c r="D422" s="139"/>
      <c r="E422" s="139"/>
      <c r="F422" s="140"/>
      <c r="G422" s="147"/>
      <c r="H422" s="147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</row>
    <row r="423" spans="1:26" ht="18">
      <c r="A423" s="140"/>
      <c r="B423" s="137"/>
      <c r="C423" s="138"/>
      <c r="D423" s="139"/>
      <c r="E423" s="139"/>
      <c r="F423" s="140"/>
      <c r="G423" s="149"/>
      <c r="H423" s="149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</row>
    <row r="424" spans="1:26" ht="18">
      <c r="A424" s="140"/>
      <c r="B424" s="137"/>
      <c r="C424" s="138"/>
      <c r="D424" s="139"/>
      <c r="E424" s="139"/>
      <c r="F424" s="140"/>
      <c r="G424" s="147"/>
      <c r="H424" s="147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</row>
    <row r="425" spans="1:26" ht="18">
      <c r="A425" s="140"/>
      <c r="B425" s="137"/>
      <c r="C425" s="138"/>
      <c r="D425" s="139"/>
      <c r="E425" s="139"/>
      <c r="F425" s="140"/>
      <c r="G425" s="149"/>
      <c r="H425" s="149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</row>
    <row r="426" spans="1:26" ht="18">
      <c r="A426" s="140"/>
      <c r="B426" s="137"/>
      <c r="C426" s="138"/>
      <c r="D426" s="139"/>
      <c r="E426" s="139"/>
      <c r="F426" s="140"/>
      <c r="G426" s="147"/>
      <c r="H426" s="147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</row>
    <row r="427" spans="1:26" ht="18">
      <c r="A427" s="140"/>
      <c r="B427" s="137"/>
      <c r="C427" s="138"/>
      <c r="D427" s="139"/>
      <c r="E427" s="139"/>
      <c r="F427" s="140"/>
      <c r="G427" s="149"/>
      <c r="H427" s="149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</row>
    <row r="428" spans="1:26" ht="18">
      <c r="A428" s="140"/>
      <c r="B428" s="137"/>
      <c r="C428" s="138"/>
      <c r="D428" s="139"/>
      <c r="E428" s="139"/>
      <c r="F428" s="140"/>
      <c r="G428" s="147"/>
      <c r="H428" s="147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</row>
    <row r="429" spans="1:26" ht="18">
      <c r="A429" s="140"/>
      <c r="B429" s="137"/>
      <c r="C429" s="138"/>
      <c r="D429" s="139"/>
      <c r="E429" s="139"/>
      <c r="F429" s="140"/>
      <c r="G429" s="149"/>
      <c r="H429" s="149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</row>
    <row r="430" spans="1:26" ht="18">
      <c r="A430" s="140"/>
      <c r="B430" s="137"/>
      <c r="C430" s="138"/>
      <c r="D430" s="139"/>
      <c r="E430" s="139"/>
      <c r="F430" s="140"/>
      <c r="G430" s="147"/>
      <c r="H430" s="147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</row>
    <row r="431" spans="1:26" ht="18">
      <c r="A431" s="140"/>
      <c r="B431" s="137"/>
      <c r="C431" s="138"/>
      <c r="D431" s="139"/>
      <c r="E431" s="139"/>
      <c r="F431" s="140"/>
      <c r="G431" s="149"/>
      <c r="H431" s="149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</row>
    <row r="432" spans="1:26" ht="18">
      <c r="A432" s="140"/>
      <c r="B432" s="137"/>
      <c r="C432" s="138"/>
      <c r="D432" s="139"/>
      <c r="E432" s="139"/>
      <c r="F432" s="140"/>
      <c r="G432" s="147"/>
      <c r="H432" s="147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</row>
    <row r="433" spans="1:26" ht="18">
      <c r="A433" s="140"/>
      <c r="B433" s="137"/>
      <c r="C433" s="138"/>
      <c r="D433" s="139"/>
      <c r="E433" s="139"/>
      <c r="F433" s="140"/>
      <c r="G433" s="149"/>
      <c r="H433" s="149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</row>
    <row r="434" spans="1:26" ht="18">
      <c r="A434" s="140"/>
      <c r="B434" s="137"/>
      <c r="C434" s="138"/>
      <c r="D434" s="139"/>
      <c r="E434" s="139"/>
      <c r="F434" s="140"/>
      <c r="G434" s="147"/>
      <c r="H434" s="147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</row>
    <row r="435" spans="1:26" ht="18">
      <c r="A435" s="140"/>
      <c r="B435" s="137"/>
      <c r="C435" s="138"/>
      <c r="D435" s="139"/>
      <c r="E435" s="139"/>
      <c r="F435" s="140"/>
      <c r="G435" s="149"/>
      <c r="H435" s="149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</row>
    <row r="436" spans="1:26" ht="18">
      <c r="A436" s="140"/>
      <c r="B436" s="137"/>
      <c r="C436" s="138"/>
      <c r="D436" s="139"/>
      <c r="E436" s="139"/>
      <c r="F436" s="140"/>
      <c r="G436" s="147"/>
      <c r="H436" s="147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</row>
    <row r="437" spans="1:26" ht="18">
      <c r="A437" s="140"/>
      <c r="B437" s="137"/>
      <c r="C437" s="138"/>
      <c r="D437" s="139"/>
      <c r="E437" s="139"/>
      <c r="F437" s="140"/>
      <c r="G437" s="149"/>
      <c r="H437" s="149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</row>
    <row r="438" spans="1:26" ht="18">
      <c r="A438" s="140"/>
      <c r="B438" s="137"/>
      <c r="C438" s="138"/>
      <c r="D438" s="139"/>
      <c r="E438" s="139"/>
      <c r="F438" s="140"/>
      <c r="G438" s="147"/>
      <c r="H438" s="147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</row>
    <row r="439" spans="1:26" ht="18">
      <c r="A439" s="140"/>
      <c r="B439" s="137"/>
      <c r="C439" s="138"/>
      <c r="D439" s="139"/>
      <c r="E439" s="139"/>
      <c r="F439" s="140"/>
      <c r="G439" s="149"/>
      <c r="H439" s="149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</row>
    <row r="440" spans="1:26" ht="18">
      <c r="A440" s="140"/>
      <c r="B440" s="137"/>
      <c r="C440" s="138"/>
      <c r="D440" s="139"/>
      <c r="E440" s="139"/>
      <c r="F440" s="140"/>
      <c r="G440" s="147"/>
      <c r="H440" s="147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</row>
    <row r="441" spans="1:26" ht="18">
      <c r="A441" s="140"/>
      <c r="B441" s="137"/>
      <c r="C441" s="138"/>
      <c r="D441" s="139"/>
      <c r="E441" s="139"/>
      <c r="F441" s="140"/>
      <c r="G441" s="149"/>
      <c r="H441" s="149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</row>
    <row r="442" spans="1:26" ht="18">
      <c r="A442" s="140"/>
      <c r="B442" s="137"/>
      <c r="C442" s="138"/>
      <c r="D442" s="139"/>
      <c r="E442" s="139"/>
      <c r="F442" s="140"/>
      <c r="G442" s="147"/>
      <c r="H442" s="147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</row>
    <row r="443" spans="1:26" ht="18">
      <c r="A443" s="140"/>
      <c r="B443" s="137"/>
      <c r="C443" s="138"/>
      <c r="D443" s="139"/>
      <c r="E443" s="139"/>
      <c r="F443" s="140"/>
      <c r="G443" s="149"/>
      <c r="H443" s="149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</row>
    <row r="444" spans="1:26" ht="18">
      <c r="A444" s="140"/>
      <c r="B444" s="137"/>
      <c r="C444" s="138"/>
      <c r="D444" s="139"/>
      <c r="E444" s="139"/>
      <c r="F444" s="140"/>
      <c r="G444" s="147"/>
      <c r="H444" s="147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</row>
    <row r="445" spans="1:26" ht="18">
      <c r="A445" s="140"/>
      <c r="B445" s="137"/>
      <c r="C445" s="138"/>
      <c r="D445" s="139"/>
      <c r="E445" s="139"/>
      <c r="F445" s="140"/>
      <c r="G445" s="149"/>
      <c r="H445" s="149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</row>
    <row r="446" spans="1:26" ht="18">
      <c r="A446" s="140"/>
      <c r="B446" s="137"/>
      <c r="C446" s="138"/>
      <c r="D446" s="139"/>
      <c r="E446" s="139"/>
      <c r="F446" s="140"/>
      <c r="G446" s="147"/>
      <c r="H446" s="147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</row>
    <row r="447" spans="1:26" ht="18">
      <c r="A447" s="140"/>
      <c r="B447" s="137"/>
      <c r="C447" s="138"/>
      <c r="D447" s="139"/>
      <c r="E447" s="139"/>
      <c r="F447" s="140"/>
      <c r="G447" s="149"/>
      <c r="H447" s="149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</row>
    <row r="448" spans="1:26" ht="18">
      <c r="A448" s="140"/>
      <c r="B448" s="137"/>
      <c r="C448" s="138"/>
      <c r="D448" s="139"/>
      <c r="E448" s="139"/>
      <c r="F448" s="140"/>
      <c r="G448" s="147"/>
      <c r="H448" s="147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</row>
    <row r="449" spans="1:26" ht="18">
      <c r="A449" s="140"/>
      <c r="B449" s="137"/>
      <c r="C449" s="138"/>
      <c r="D449" s="139"/>
      <c r="E449" s="139"/>
      <c r="F449" s="140"/>
      <c r="G449" s="149"/>
      <c r="H449" s="149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</row>
    <row r="450" spans="1:26" ht="18">
      <c r="A450" s="140"/>
      <c r="B450" s="137"/>
      <c r="C450" s="138"/>
      <c r="D450" s="139"/>
      <c r="E450" s="139"/>
      <c r="F450" s="140"/>
      <c r="G450" s="147"/>
      <c r="H450" s="147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</row>
    <row r="451" spans="1:26" ht="18">
      <c r="A451" s="140"/>
      <c r="B451" s="137"/>
      <c r="C451" s="138"/>
      <c r="D451" s="139"/>
      <c r="E451" s="139"/>
      <c r="F451" s="140"/>
      <c r="G451" s="149"/>
      <c r="H451" s="149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</row>
    <row r="452" spans="1:26" ht="18">
      <c r="A452" s="140"/>
      <c r="B452" s="137"/>
      <c r="C452" s="138"/>
      <c r="D452" s="139"/>
      <c r="E452" s="139"/>
      <c r="F452" s="140"/>
      <c r="G452" s="147"/>
      <c r="H452" s="147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</row>
    <row r="453" spans="1:26" ht="18">
      <c r="A453" s="140"/>
      <c r="B453" s="137"/>
      <c r="C453" s="138"/>
      <c r="D453" s="139"/>
      <c r="E453" s="139"/>
      <c r="F453" s="140"/>
      <c r="G453" s="149"/>
      <c r="H453" s="149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</row>
    <row r="454" spans="1:26" ht="18">
      <c r="A454" s="140"/>
      <c r="B454" s="137"/>
      <c r="C454" s="138"/>
      <c r="D454" s="139"/>
      <c r="E454" s="139"/>
      <c r="F454" s="140"/>
      <c r="G454" s="147"/>
      <c r="H454" s="147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</row>
    <row r="455" spans="1:26" ht="18">
      <c r="A455" s="140"/>
      <c r="B455" s="137"/>
      <c r="C455" s="138"/>
      <c r="D455" s="139"/>
      <c r="E455" s="139"/>
      <c r="F455" s="140"/>
      <c r="G455" s="149"/>
      <c r="H455" s="149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</row>
    <row r="456" spans="1:26" ht="18">
      <c r="A456" s="140"/>
      <c r="B456" s="137"/>
      <c r="C456" s="138"/>
      <c r="D456" s="139"/>
      <c r="E456" s="139"/>
      <c r="F456" s="140"/>
      <c r="G456" s="147"/>
      <c r="H456" s="147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</row>
    <row r="457" spans="1:26" ht="18">
      <c r="A457" s="140"/>
      <c r="B457" s="137"/>
      <c r="C457" s="138"/>
      <c r="D457" s="139"/>
      <c r="E457" s="139"/>
      <c r="F457" s="140"/>
      <c r="G457" s="149"/>
      <c r="H457" s="149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</row>
    <row r="458" spans="1:26" ht="18">
      <c r="A458" s="140"/>
      <c r="B458" s="137"/>
      <c r="C458" s="138"/>
      <c r="D458" s="139"/>
      <c r="E458" s="139"/>
      <c r="F458" s="140"/>
      <c r="G458" s="147"/>
      <c r="H458" s="147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</row>
    <row r="459" spans="1:26" ht="18">
      <c r="A459" s="140"/>
      <c r="B459" s="137"/>
      <c r="C459" s="138"/>
      <c r="D459" s="139"/>
      <c r="E459" s="139"/>
      <c r="F459" s="140"/>
      <c r="G459" s="149"/>
      <c r="H459" s="149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</row>
    <row r="460" spans="1:26" ht="18">
      <c r="A460" s="140"/>
      <c r="B460" s="137"/>
      <c r="C460" s="138"/>
      <c r="D460" s="139"/>
      <c r="E460" s="139"/>
      <c r="F460" s="140"/>
      <c r="G460" s="147"/>
      <c r="H460" s="147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</row>
    <row r="461" spans="1:26" ht="18">
      <c r="A461" s="140"/>
      <c r="B461" s="137"/>
      <c r="C461" s="138"/>
      <c r="D461" s="139"/>
      <c r="E461" s="139"/>
      <c r="F461" s="140"/>
      <c r="G461" s="149"/>
      <c r="H461" s="149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</row>
    <row r="462" spans="1:26" ht="18">
      <c r="A462" s="140"/>
      <c r="B462" s="137"/>
      <c r="C462" s="138"/>
      <c r="D462" s="139"/>
      <c r="E462" s="139"/>
      <c r="F462" s="140"/>
      <c r="G462" s="147"/>
      <c r="H462" s="147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</row>
    <row r="463" spans="1:26" ht="18">
      <c r="A463" s="140"/>
      <c r="B463" s="137"/>
      <c r="C463" s="138"/>
      <c r="D463" s="139"/>
      <c r="E463" s="139"/>
      <c r="F463" s="140"/>
      <c r="G463" s="149"/>
      <c r="H463" s="149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</row>
    <row r="464" spans="1:26" ht="18">
      <c r="A464" s="140"/>
      <c r="B464" s="137"/>
      <c r="C464" s="138"/>
      <c r="D464" s="139"/>
      <c r="E464" s="139"/>
      <c r="F464" s="140"/>
      <c r="G464" s="147"/>
      <c r="H464" s="147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</row>
    <row r="465" spans="1:26" ht="18">
      <c r="A465" s="140"/>
      <c r="B465" s="137"/>
      <c r="C465" s="138"/>
      <c r="D465" s="139"/>
      <c r="E465" s="139"/>
      <c r="F465" s="140"/>
      <c r="G465" s="149"/>
      <c r="H465" s="149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</row>
    <row r="466" spans="1:26" ht="18">
      <c r="A466" s="140"/>
      <c r="B466" s="137"/>
      <c r="C466" s="138"/>
      <c r="D466" s="139"/>
      <c r="E466" s="139"/>
      <c r="F466" s="140"/>
      <c r="G466" s="147"/>
      <c r="H466" s="147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</row>
    <row r="467" spans="1:26" ht="18">
      <c r="A467" s="140"/>
      <c r="B467" s="137"/>
      <c r="C467" s="138"/>
      <c r="D467" s="139"/>
      <c r="E467" s="139"/>
      <c r="F467" s="140"/>
      <c r="G467" s="149"/>
      <c r="H467" s="149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</row>
    <row r="468" spans="1:26" ht="18">
      <c r="A468" s="140"/>
      <c r="B468" s="137"/>
      <c r="C468" s="138"/>
      <c r="D468" s="139"/>
      <c r="E468" s="139"/>
      <c r="F468" s="140"/>
      <c r="G468" s="147"/>
      <c r="H468" s="147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</row>
    <row r="469" spans="1:26" ht="18">
      <c r="A469" s="140"/>
      <c r="B469" s="137"/>
      <c r="C469" s="138"/>
      <c r="D469" s="139"/>
      <c r="E469" s="139"/>
      <c r="F469" s="140"/>
      <c r="G469" s="149"/>
      <c r="H469" s="149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</row>
    <row r="470" spans="1:26" ht="18">
      <c r="A470" s="140"/>
      <c r="B470" s="137"/>
      <c r="C470" s="138"/>
      <c r="D470" s="139"/>
      <c r="E470" s="139"/>
      <c r="F470" s="140"/>
      <c r="G470" s="147"/>
      <c r="H470" s="147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</row>
    <row r="471" spans="1:26" ht="18">
      <c r="A471" s="140"/>
      <c r="B471" s="137"/>
      <c r="C471" s="138"/>
      <c r="D471" s="139"/>
      <c r="E471" s="139"/>
      <c r="F471" s="140"/>
      <c r="G471" s="149"/>
      <c r="H471" s="149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</row>
    <row r="472" spans="1:26" ht="18">
      <c r="A472" s="140"/>
      <c r="B472" s="137"/>
      <c r="C472" s="138"/>
      <c r="D472" s="139"/>
      <c r="E472" s="139"/>
      <c r="F472" s="140"/>
      <c r="G472" s="147"/>
      <c r="H472" s="147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</row>
    <row r="473" spans="1:26" ht="18">
      <c r="A473" s="140"/>
      <c r="B473" s="137"/>
      <c r="C473" s="138"/>
      <c r="D473" s="139"/>
      <c r="E473" s="139"/>
      <c r="F473" s="140"/>
      <c r="G473" s="149"/>
      <c r="H473" s="149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</row>
    <row r="474" spans="1:26" ht="18">
      <c r="A474" s="140"/>
      <c r="B474" s="137"/>
      <c r="C474" s="138"/>
      <c r="D474" s="139"/>
      <c r="E474" s="139"/>
      <c r="F474" s="140"/>
      <c r="G474" s="147"/>
      <c r="H474" s="147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</row>
    <row r="475" spans="1:26" ht="18">
      <c r="A475" s="140"/>
      <c r="B475" s="137"/>
      <c r="C475" s="138"/>
      <c r="D475" s="139"/>
      <c r="E475" s="139"/>
      <c r="F475" s="140"/>
      <c r="G475" s="149"/>
      <c r="H475" s="149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</row>
    <row r="476" spans="1:26" ht="18">
      <c r="A476" s="140"/>
      <c r="B476" s="137"/>
      <c r="C476" s="138"/>
      <c r="D476" s="139"/>
      <c r="E476" s="139"/>
      <c r="F476" s="140"/>
      <c r="G476" s="147"/>
      <c r="H476" s="147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</row>
    <row r="477" spans="1:26" ht="18">
      <c r="A477" s="140"/>
      <c r="B477" s="137"/>
      <c r="C477" s="138"/>
      <c r="D477" s="139"/>
      <c r="E477" s="139"/>
      <c r="F477" s="140"/>
      <c r="G477" s="149"/>
      <c r="H477" s="149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</row>
    <row r="478" spans="1:26" ht="18">
      <c r="A478" s="140"/>
      <c r="B478" s="137"/>
      <c r="C478" s="138"/>
      <c r="D478" s="139"/>
      <c r="E478" s="139"/>
      <c r="F478" s="140"/>
      <c r="G478" s="147"/>
      <c r="H478" s="147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</row>
    <row r="479" spans="1:26" ht="18">
      <c r="A479" s="140"/>
      <c r="B479" s="137"/>
      <c r="C479" s="138"/>
      <c r="D479" s="139"/>
      <c r="E479" s="139"/>
      <c r="F479" s="140"/>
      <c r="G479" s="149"/>
      <c r="H479" s="149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</row>
    <row r="480" spans="1:26" ht="18">
      <c r="A480" s="140"/>
      <c r="B480" s="137"/>
      <c r="C480" s="138"/>
      <c r="D480" s="139"/>
      <c r="E480" s="139"/>
      <c r="F480" s="140"/>
      <c r="G480" s="147"/>
      <c r="H480" s="147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</row>
    <row r="481" spans="1:26" ht="18">
      <c r="A481" s="140"/>
      <c r="B481" s="137"/>
      <c r="C481" s="138"/>
      <c r="D481" s="139"/>
      <c r="E481" s="139"/>
      <c r="F481" s="140"/>
      <c r="G481" s="149"/>
      <c r="H481" s="149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</row>
    <row r="482" spans="1:26" ht="18">
      <c r="A482" s="140"/>
      <c r="B482" s="137"/>
      <c r="C482" s="138"/>
      <c r="D482" s="139"/>
      <c r="E482" s="139"/>
      <c r="F482" s="140"/>
      <c r="G482" s="147"/>
      <c r="H482" s="147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</row>
    <row r="483" spans="1:26" ht="18">
      <c r="A483" s="140"/>
      <c r="B483" s="137"/>
      <c r="C483" s="138"/>
      <c r="D483" s="139"/>
      <c r="E483" s="139"/>
      <c r="F483" s="140"/>
      <c r="G483" s="149"/>
      <c r="H483" s="149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</row>
    <row r="484" spans="1:26" ht="18">
      <c r="A484" s="140"/>
      <c r="B484" s="137"/>
      <c r="C484" s="138"/>
      <c r="D484" s="139"/>
      <c r="E484" s="139"/>
      <c r="F484" s="140"/>
      <c r="G484" s="147"/>
      <c r="H484" s="147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</row>
    <row r="485" spans="1:26" ht="18">
      <c r="A485" s="140"/>
      <c r="B485" s="137"/>
      <c r="C485" s="138"/>
      <c r="D485" s="139"/>
      <c r="E485" s="139"/>
      <c r="F485" s="140"/>
      <c r="G485" s="149"/>
      <c r="H485" s="149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</row>
    <row r="486" spans="1:26" ht="18">
      <c r="A486" s="140"/>
      <c r="B486" s="137"/>
      <c r="C486" s="138"/>
      <c r="D486" s="139"/>
      <c r="E486" s="139"/>
      <c r="F486" s="140"/>
      <c r="G486" s="147"/>
      <c r="H486" s="147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</row>
    <row r="487" spans="1:26" ht="18">
      <c r="A487" s="140"/>
      <c r="B487" s="137"/>
      <c r="C487" s="138"/>
      <c r="D487" s="139"/>
      <c r="E487" s="139"/>
      <c r="F487" s="140"/>
      <c r="G487" s="149"/>
      <c r="H487" s="149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</row>
    <row r="488" spans="1:26" ht="18">
      <c r="A488" s="140"/>
      <c r="B488" s="137"/>
      <c r="C488" s="138"/>
      <c r="D488" s="139"/>
      <c r="E488" s="139"/>
      <c r="F488" s="140"/>
      <c r="G488" s="147"/>
      <c r="H488" s="147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</row>
    <row r="489" spans="1:26" ht="18">
      <c r="A489" s="140"/>
      <c r="B489" s="137"/>
      <c r="C489" s="138"/>
      <c r="D489" s="139"/>
      <c r="E489" s="139"/>
      <c r="F489" s="140"/>
      <c r="G489" s="149"/>
      <c r="H489" s="149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</row>
    <row r="490" spans="1:26" ht="18">
      <c r="A490" s="140"/>
      <c r="B490" s="137"/>
      <c r="C490" s="138"/>
      <c r="D490" s="139"/>
      <c r="E490" s="139"/>
      <c r="F490" s="140"/>
      <c r="G490" s="147"/>
      <c r="H490" s="147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</row>
    <row r="491" spans="1:26" ht="18">
      <c r="A491" s="140"/>
      <c r="B491" s="137"/>
      <c r="C491" s="138"/>
      <c r="D491" s="139"/>
      <c r="E491" s="139"/>
      <c r="F491" s="140"/>
      <c r="G491" s="149"/>
      <c r="H491" s="149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</row>
    <row r="492" spans="1:26" ht="18">
      <c r="A492" s="140"/>
      <c r="B492" s="137"/>
      <c r="C492" s="138"/>
      <c r="D492" s="139"/>
      <c r="E492" s="139"/>
      <c r="F492" s="140"/>
      <c r="G492" s="147"/>
      <c r="H492" s="147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</row>
    <row r="493" spans="1:26" ht="18">
      <c r="A493" s="140"/>
      <c r="B493" s="137"/>
      <c r="C493" s="138"/>
      <c r="D493" s="139"/>
      <c r="E493" s="139"/>
      <c r="F493" s="140"/>
      <c r="G493" s="149"/>
      <c r="H493" s="149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</row>
    <row r="494" spans="1:26" ht="18">
      <c r="A494" s="140"/>
      <c r="B494" s="137"/>
      <c r="C494" s="138"/>
      <c r="D494" s="139"/>
      <c r="E494" s="139"/>
      <c r="F494" s="140"/>
      <c r="G494" s="147"/>
      <c r="H494" s="147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</row>
    <row r="495" spans="1:26" ht="18">
      <c r="A495" s="140"/>
      <c r="B495" s="137"/>
      <c r="C495" s="138"/>
      <c r="D495" s="139"/>
      <c r="E495" s="139"/>
      <c r="F495" s="140"/>
      <c r="G495" s="149"/>
      <c r="H495" s="149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</row>
    <row r="496" spans="1:26" ht="18">
      <c r="A496" s="140"/>
      <c r="B496" s="137"/>
      <c r="C496" s="138"/>
      <c r="D496" s="139"/>
      <c r="E496" s="139"/>
      <c r="F496" s="140"/>
      <c r="G496" s="147"/>
      <c r="H496" s="147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</row>
    <row r="497" spans="1:26" ht="18">
      <c r="A497" s="140"/>
      <c r="B497" s="137"/>
      <c r="C497" s="138"/>
      <c r="D497" s="139"/>
      <c r="E497" s="139"/>
      <c r="F497" s="140"/>
      <c r="G497" s="149"/>
      <c r="H497" s="149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</row>
    <row r="498" spans="1:26" ht="18">
      <c r="A498" s="140"/>
      <c r="B498" s="137"/>
      <c r="C498" s="138"/>
      <c r="D498" s="139"/>
      <c r="E498" s="139"/>
      <c r="F498" s="140"/>
      <c r="G498" s="147"/>
      <c r="H498" s="147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</row>
    <row r="499" spans="1:26" ht="18">
      <c r="A499" s="140"/>
      <c r="B499" s="137"/>
      <c r="C499" s="138"/>
      <c r="D499" s="139"/>
      <c r="E499" s="139"/>
      <c r="F499" s="140"/>
      <c r="G499" s="149"/>
      <c r="H499" s="149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</row>
    <row r="500" spans="1:26" ht="18">
      <c r="A500" s="140"/>
      <c r="B500" s="137"/>
      <c r="C500" s="138"/>
      <c r="D500" s="139"/>
      <c r="E500" s="139"/>
      <c r="F500" s="140"/>
      <c r="G500" s="147"/>
      <c r="H500" s="147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</row>
    <row r="501" spans="1:26" ht="18">
      <c r="A501" s="140"/>
      <c r="B501" s="137"/>
      <c r="C501" s="138"/>
      <c r="D501" s="139"/>
      <c r="E501" s="139"/>
      <c r="F501" s="140"/>
      <c r="G501" s="149"/>
      <c r="H501" s="149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</row>
    <row r="502" spans="1:26" ht="18">
      <c r="A502" s="140"/>
      <c r="B502" s="137"/>
      <c r="C502" s="138"/>
      <c r="D502" s="139"/>
      <c r="E502" s="139"/>
      <c r="F502" s="140"/>
      <c r="G502" s="147"/>
      <c r="H502" s="147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</row>
    <row r="503" spans="1:26" ht="18">
      <c r="A503" s="140"/>
      <c r="B503" s="137"/>
      <c r="C503" s="138"/>
      <c r="D503" s="139"/>
      <c r="E503" s="139"/>
      <c r="F503" s="140"/>
      <c r="G503" s="149"/>
      <c r="H503" s="149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</row>
    <row r="504" spans="1:26" ht="18">
      <c r="A504" s="140"/>
      <c r="B504" s="137"/>
      <c r="C504" s="138"/>
      <c r="D504" s="139"/>
      <c r="E504" s="139"/>
      <c r="F504" s="140"/>
      <c r="G504" s="147"/>
      <c r="H504" s="147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</row>
    <row r="505" spans="1:26" ht="18">
      <c r="A505" s="140"/>
      <c r="B505" s="137"/>
      <c r="C505" s="138"/>
      <c r="D505" s="139"/>
      <c r="E505" s="139"/>
      <c r="F505" s="140"/>
      <c r="G505" s="149"/>
      <c r="H505" s="149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</row>
    <row r="506" spans="1:26" ht="18">
      <c r="A506" s="140"/>
      <c r="B506" s="137"/>
      <c r="C506" s="138"/>
      <c r="D506" s="139"/>
      <c r="E506" s="139"/>
      <c r="F506" s="140"/>
      <c r="G506" s="147"/>
      <c r="H506" s="147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</row>
    <row r="507" spans="1:26" ht="18">
      <c r="A507" s="140"/>
      <c r="B507" s="137"/>
      <c r="C507" s="138"/>
      <c r="D507" s="139"/>
      <c r="E507" s="139"/>
      <c r="F507" s="140"/>
      <c r="G507" s="149"/>
      <c r="H507" s="149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</row>
    <row r="508" spans="1:26" ht="18">
      <c r="A508" s="140"/>
      <c r="B508" s="137"/>
      <c r="C508" s="138"/>
      <c r="D508" s="139"/>
      <c r="E508" s="139"/>
      <c r="F508" s="140"/>
      <c r="G508" s="147"/>
      <c r="H508" s="147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</row>
    <row r="509" spans="1:26" ht="18">
      <c r="A509" s="140"/>
      <c r="B509" s="137"/>
      <c r="C509" s="138"/>
      <c r="D509" s="139"/>
      <c r="E509" s="139"/>
      <c r="F509" s="140"/>
      <c r="G509" s="149"/>
      <c r="H509" s="149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</row>
    <row r="510" spans="1:26" ht="18">
      <c r="A510" s="140"/>
      <c r="B510" s="137"/>
      <c r="C510" s="138"/>
      <c r="D510" s="139"/>
      <c r="E510" s="139"/>
      <c r="F510" s="140"/>
      <c r="G510" s="147"/>
      <c r="H510" s="147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</row>
    <row r="511" spans="1:26" ht="18">
      <c r="A511" s="140"/>
      <c r="B511" s="137"/>
      <c r="C511" s="138"/>
      <c r="D511" s="139"/>
      <c r="E511" s="139"/>
      <c r="F511" s="140"/>
      <c r="G511" s="149"/>
      <c r="H511" s="149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</row>
    <row r="512" spans="1:26" ht="18">
      <c r="A512" s="140"/>
      <c r="B512" s="137"/>
      <c r="C512" s="138"/>
      <c r="D512" s="139"/>
      <c r="E512" s="139"/>
      <c r="F512" s="140"/>
      <c r="G512" s="147"/>
      <c r="H512" s="147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</row>
    <row r="513" spans="1:26" ht="18">
      <c r="A513" s="140"/>
      <c r="B513" s="137"/>
      <c r="C513" s="138"/>
      <c r="D513" s="139"/>
      <c r="E513" s="139"/>
      <c r="F513" s="140"/>
      <c r="G513" s="149"/>
      <c r="H513" s="149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</row>
    <row r="514" spans="1:26" ht="18">
      <c r="A514" s="140"/>
      <c r="B514" s="137"/>
      <c r="C514" s="138"/>
      <c r="D514" s="139"/>
      <c r="E514" s="139"/>
      <c r="F514" s="140"/>
      <c r="G514" s="147"/>
      <c r="H514" s="147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</row>
    <row r="515" spans="1:26" ht="18">
      <c r="A515" s="140"/>
      <c r="B515" s="137"/>
      <c r="C515" s="138"/>
      <c r="D515" s="139"/>
      <c r="E515" s="139"/>
      <c r="F515" s="140"/>
      <c r="G515" s="149"/>
      <c r="H515" s="149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</row>
    <row r="516" spans="1:26" ht="18">
      <c r="A516" s="140"/>
      <c r="B516" s="137"/>
      <c r="C516" s="138"/>
      <c r="D516" s="139"/>
      <c r="E516" s="139"/>
      <c r="F516" s="140"/>
      <c r="G516" s="147"/>
      <c r="H516" s="147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</row>
    <row r="517" spans="1:26" ht="18">
      <c r="A517" s="140"/>
      <c r="B517" s="137"/>
      <c r="C517" s="138"/>
      <c r="D517" s="139"/>
      <c r="E517" s="139"/>
      <c r="F517" s="140"/>
      <c r="G517" s="149"/>
      <c r="H517" s="149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</row>
    <row r="518" spans="1:26" ht="18">
      <c r="A518" s="140"/>
      <c r="B518" s="137"/>
      <c r="C518" s="138"/>
      <c r="D518" s="139"/>
      <c r="E518" s="139"/>
      <c r="F518" s="140"/>
      <c r="G518" s="147"/>
      <c r="H518" s="147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</row>
    <row r="519" spans="1:26" ht="18">
      <c r="A519" s="140"/>
      <c r="B519" s="137"/>
      <c r="C519" s="138"/>
      <c r="D519" s="139"/>
      <c r="E519" s="139"/>
      <c r="F519" s="140"/>
      <c r="G519" s="149"/>
      <c r="H519" s="149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</row>
    <row r="520" spans="1:26" ht="18">
      <c r="A520" s="140"/>
      <c r="B520" s="137"/>
      <c r="C520" s="138"/>
      <c r="D520" s="139"/>
      <c r="E520" s="139"/>
      <c r="F520" s="140"/>
      <c r="G520" s="147"/>
      <c r="H520" s="147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</row>
    <row r="521" spans="1:26" ht="18">
      <c r="A521" s="140"/>
      <c r="B521" s="137"/>
      <c r="C521" s="138"/>
      <c r="D521" s="139"/>
      <c r="E521" s="139"/>
      <c r="F521" s="140"/>
      <c r="G521" s="149"/>
      <c r="H521" s="149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</row>
    <row r="522" spans="1:26" ht="18">
      <c r="A522" s="140"/>
      <c r="B522" s="137"/>
      <c r="C522" s="138"/>
      <c r="D522" s="139"/>
      <c r="E522" s="139"/>
      <c r="F522" s="140"/>
      <c r="G522" s="147"/>
      <c r="H522" s="147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</row>
    <row r="523" spans="1:26" ht="18">
      <c r="A523" s="140"/>
      <c r="B523" s="137"/>
      <c r="C523" s="138"/>
      <c r="D523" s="139"/>
      <c r="E523" s="139"/>
      <c r="F523" s="140"/>
      <c r="G523" s="149"/>
      <c r="H523" s="149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</row>
    <row r="524" spans="1:26" ht="18">
      <c r="A524" s="140"/>
      <c r="B524" s="137"/>
      <c r="C524" s="138"/>
      <c r="D524" s="139"/>
      <c r="E524" s="139"/>
      <c r="F524" s="140"/>
      <c r="G524" s="147"/>
      <c r="H524" s="147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</row>
    <row r="525" spans="1:26" ht="18">
      <c r="A525" s="140"/>
      <c r="B525" s="137"/>
      <c r="C525" s="138"/>
      <c r="D525" s="139"/>
      <c r="E525" s="139"/>
      <c r="F525" s="140"/>
      <c r="G525" s="149"/>
      <c r="H525" s="149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</row>
    <row r="526" spans="1:26" ht="18">
      <c r="A526" s="140"/>
      <c r="B526" s="137"/>
      <c r="C526" s="138"/>
      <c r="D526" s="139"/>
      <c r="E526" s="139"/>
      <c r="F526" s="140"/>
      <c r="G526" s="147"/>
      <c r="H526" s="147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</row>
    <row r="527" spans="1:26" ht="18">
      <c r="A527" s="140"/>
      <c r="B527" s="137"/>
      <c r="C527" s="138"/>
      <c r="D527" s="139"/>
      <c r="E527" s="139"/>
      <c r="F527" s="140"/>
      <c r="G527" s="149"/>
      <c r="H527" s="149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</row>
    <row r="528" spans="1:26" ht="18">
      <c r="A528" s="140"/>
      <c r="B528" s="137"/>
      <c r="C528" s="138"/>
      <c r="D528" s="139"/>
      <c r="E528" s="139"/>
      <c r="F528" s="140"/>
      <c r="G528" s="147"/>
      <c r="H528" s="147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</row>
    <row r="529" spans="1:26" ht="18">
      <c r="A529" s="140"/>
      <c r="B529" s="137"/>
      <c r="C529" s="138"/>
      <c r="D529" s="139"/>
      <c r="E529" s="139"/>
      <c r="F529" s="140"/>
      <c r="G529" s="149"/>
      <c r="H529" s="149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</row>
    <row r="530" spans="1:26" ht="18">
      <c r="A530" s="140"/>
      <c r="B530" s="137"/>
      <c r="C530" s="138"/>
      <c r="D530" s="139"/>
      <c r="E530" s="139"/>
      <c r="F530" s="140"/>
      <c r="G530" s="147"/>
      <c r="H530" s="147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</row>
    <row r="531" spans="1:26" ht="18">
      <c r="A531" s="140"/>
      <c r="B531" s="137"/>
      <c r="C531" s="138"/>
      <c r="D531" s="139"/>
      <c r="E531" s="139"/>
      <c r="F531" s="140"/>
      <c r="G531" s="149"/>
      <c r="H531" s="149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</row>
    <row r="532" spans="1:26" ht="18">
      <c r="A532" s="140"/>
      <c r="B532" s="137"/>
      <c r="C532" s="138"/>
      <c r="D532" s="139"/>
      <c r="E532" s="139"/>
      <c r="F532" s="140"/>
      <c r="G532" s="147"/>
      <c r="H532" s="147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</row>
    <row r="533" spans="1:26" ht="18">
      <c r="A533" s="140"/>
      <c r="B533" s="137"/>
      <c r="C533" s="138"/>
      <c r="D533" s="139"/>
      <c r="E533" s="139"/>
      <c r="F533" s="140"/>
      <c r="G533" s="149"/>
      <c r="H533" s="149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</row>
    <row r="534" spans="1:26" ht="18">
      <c r="A534" s="140"/>
      <c r="B534" s="137"/>
      <c r="C534" s="138"/>
      <c r="D534" s="139"/>
      <c r="E534" s="139"/>
      <c r="F534" s="140"/>
      <c r="G534" s="147"/>
      <c r="H534" s="147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</row>
    <row r="535" spans="1:26" ht="18">
      <c r="A535" s="140"/>
      <c r="B535" s="137"/>
      <c r="C535" s="138"/>
      <c r="D535" s="139"/>
      <c r="E535" s="139"/>
      <c r="F535" s="140"/>
      <c r="G535" s="149"/>
      <c r="H535" s="149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</row>
    <row r="536" spans="1:26" ht="18">
      <c r="A536" s="140"/>
      <c r="B536" s="137"/>
      <c r="C536" s="138"/>
      <c r="D536" s="139"/>
      <c r="E536" s="139"/>
      <c r="F536" s="140"/>
      <c r="G536" s="147"/>
      <c r="H536" s="147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</row>
    <row r="537" spans="1:26" ht="18">
      <c r="A537" s="140"/>
      <c r="B537" s="137"/>
      <c r="C537" s="138"/>
      <c r="D537" s="139"/>
      <c r="E537" s="139"/>
      <c r="F537" s="140"/>
      <c r="G537" s="149"/>
      <c r="H537" s="149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</row>
    <row r="538" spans="1:26" ht="18">
      <c r="A538" s="140"/>
      <c r="B538" s="137"/>
      <c r="C538" s="138"/>
      <c r="D538" s="139"/>
      <c r="E538" s="139"/>
      <c r="F538" s="140"/>
      <c r="G538" s="147"/>
      <c r="H538" s="147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</row>
    <row r="539" spans="1:26" ht="18">
      <c r="A539" s="140"/>
      <c r="B539" s="137"/>
      <c r="C539" s="138"/>
      <c r="D539" s="139"/>
      <c r="E539" s="139"/>
      <c r="F539" s="140"/>
      <c r="G539" s="149"/>
      <c r="H539" s="149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</row>
    <row r="540" spans="1:26" ht="18">
      <c r="A540" s="140"/>
      <c r="B540" s="137"/>
      <c r="C540" s="138"/>
      <c r="D540" s="139"/>
      <c r="E540" s="139"/>
      <c r="F540" s="140"/>
      <c r="G540" s="147"/>
      <c r="H540" s="147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</row>
    <row r="541" spans="1:26" ht="18">
      <c r="A541" s="140"/>
      <c r="B541" s="137"/>
      <c r="C541" s="138"/>
      <c r="D541" s="139"/>
      <c r="E541" s="139"/>
      <c r="F541" s="140"/>
      <c r="G541" s="149"/>
      <c r="H541" s="149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</row>
    <row r="542" spans="1:26" ht="18">
      <c r="A542" s="140"/>
      <c r="B542" s="137"/>
      <c r="C542" s="138"/>
      <c r="D542" s="139"/>
      <c r="E542" s="139"/>
      <c r="F542" s="140"/>
      <c r="G542" s="147"/>
      <c r="H542" s="147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</row>
    <row r="543" spans="1:26" ht="18">
      <c r="A543" s="140"/>
      <c r="B543" s="137"/>
      <c r="C543" s="138"/>
      <c r="D543" s="139"/>
      <c r="E543" s="139"/>
      <c r="F543" s="140"/>
      <c r="G543" s="149"/>
      <c r="H543" s="149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</row>
    <row r="544" spans="1:26" ht="18">
      <c r="A544" s="140"/>
      <c r="B544" s="137"/>
      <c r="C544" s="138"/>
      <c r="D544" s="139"/>
      <c r="E544" s="139"/>
      <c r="F544" s="140"/>
      <c r="G544" s="147"/>
      <c r="H544" s="147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</row>
    <row r="545" spans="1:26" ht="18">
      <c r="A545" s="140"/>
      <c r="B545" s="137"/>
      <c r="C545" s="138"/>
      <c r="D545" s="139"/>
      <c r="E545" s="139"/>
      <c r="F545" s="140"/>
      <c r="G545" s="149"/>
      <c r="H545" s="149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</row>
    <row r="546" spans="1:26" ht="18">
      <c r="A546" s="140"/>
      <c r="B546" s="137"/>
      <c r="C546" s="138"/>
      <c r="D546" s="139"/>
      <c r="E546" s="139"/>
      <c r="F546" s="140"/>
      <c r="G546" s="147"/>
      <c r="H546" s="147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</row>
    <row r="547" spans="1:26" ht="18">
      <c r="A547" s="140"/>
      <c r="B547" s="137"/>
      <c r="C547" s="138"/>
      <c r="D547" s="139"/>
      <c r="E547" s="139"/>
      <c r="F547" s="140"/>
      <c r="G547" s="149"/>
      <c r="H547" s="149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</row>
    <row r="548" spans="1:26" ht="18">
      <c r="A548" s="140"/>
      <c r="B548" s="137"/>
      <c r="C548" s="138"/>
      <c r="D548" s="139"/>
      <c r="E548" s="139"/>
      <c r="F548" s="140"/>
      <c r="G548" s="147"/>
      <c r="H548" s="147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</row>
    <row r="549" spans="1:26" ht="18">
      <c r="A549" s="140"/>
      <c r="B549" s="137"/>
      <c r="C549" s="138"/>
      <c r="D549" s="139"/>
      <c r="E549" s="139"/>
      <c r="F549" s="140"/>
      <c r="G549" s="149"/>
      <c r="H549" s="149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</row>
    <row r="550" spans="1:26" ht="18">
      <c r="A550" s="140"/>
      <c r="B550" s="137"/>
      <c r="C550" s="138"/>
      <c r="D550" s="139"/>
      <c r="E550" s="139"/>
      <c r="F550" s="140"/>
      <c r="G550" s="147"/>
      <c r="H550" s="147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</row>
    <row r="551" spans="1:26" ht="18">
      <c r="A551" s="140"/>
      <c r="B551" s="137"/>
      <c r="C551" s="138"/>
      <c r="D551" s="139"/>
      <c r="E551" s="139"/>
      <c r="F551" s="140"/>
      <c r="G551" s="149"/>
      <c r="H551" s="149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</row>
    <row r="552" spans="1:26" ht="18">
      <c r="A552" s="140"/>
      <c r="B552" s="137"/>
      <c r="C552" s="138"/>
      <c r="D552" s="139"/>
      <c r="E552" s="139"/>
      <c r="F552" s="140"/>
      <c r="G552" s="147"/>
      <c r="H552" s="147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</row>
    <row r="553" spans="1:26" ht="18">
      <c r="A553" s="140"/>
      <c r="B553" s="137"/>
      <c r="C553" s="138"/>
      <c r="D553" s="139"/>
      <c r="E553" s="139"/>
      <c r="F553" s="140"/>
      <c r="G553" s="149"/>
      <c r="H553" s="149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</row>
    <row r="554" spans="1:26" ht="18">
      <c r="A554" s="140"/>
      <c r="B554" s="137"/>
      <c r="C554" s="138"/>
      <c r="D554" s="139"/>
      <c r="E554" s="139"/>
      <c r="F554" s="140"/>
      <c r="G554" s="147"/>
      <c r="H554" s="147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</row>
    <row r="555" spans="1:26" ht="18">
      <c r="A555" s="140"/>
      <c r="B555" s="137"/>
      <c r="C555" s="138"/>
      <c r="D555" s="139"/>
      <c r="E555" s="139"/>
      <c r="F555" s="140"/>
      <c r="G555" s="149"/>
      <c r="H555" s="149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</row>
    <row r="556" spans="1:26" ht="18">
      <c r="A556" s="140"/>
      <c r="B556" s="137"/>
      <c r="C556" s="138"/>
      <c r="D556" s="139"/>
      <c r="E556" s="139"/>
      <c r="F556" s="140"/>
      <c r="G556" s="147"/>
      <c r="H556" s="147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</row>
    <row r="557" spans="1:26" ht="18">
      <c r="A557" s="140"/>
      <c r="B557" s="137"/>
      <c r="C557" s="138"/>
      <c r="D557" s="139"/>
      <c r="E557" s="139"/>
      <c r="F557" s="140"/>
      <c r="G557" s="149"/>
      <c r="H557" s="149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</row>
    <row r="558" spans="1:26" ht="18">
      <c r="A558" s="140"/>
      <c r="B558" s="137"/>
      <c r="C558" s="138"/>
      <c r="D558" s="139"/>
      <c r="E558" s="139"/>
      <c r="F558" s="140"/>
      <c r="G558" s="147"/>
      <c r="H558" s="147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</row>
    <row r="559" spans="1:26" ht="18">
      <c r="A559" s="140"/>
      <c r="B559" s="137"/>
      <c r="C559" s="138"/>
      <c r="D559" s="139"/>
      <c r="E559" s="139"/>
      <c r="F559" s="140"/>
      <c r="G559" s="149"/>
      <c r="H559" s="149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</row>
    <row r="560" spans="1:26" ht="18">
      <c r="A560" s="140"/>
      <c r="B560" s="137"/>
      <c r="C560" s="138"/>
      <c r="D560" s="139"/>
      <c r="E560" s="139"/>
      <c r="F560" s="140"/>
      <c r="G560" s="147"/>
      <c r="H560" s="147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</row>
    <row r="561" spans="1:26" ht="18">
      <c r="A561" s="140"/>
      <c r="B561" s="137"/>
      <c r="C561" s="138"/>
      <c r="D561" s="139"/>
      <c r="E561" s="139"/>
      <c r="F561" s="140"/>
      <c r="G561" s="149"/>
      <c r="H561" s="149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</row>
    <row r="562" spans="1:26" ht="18">
      <c r="A562" s="140"/>
      <c r="B562" s="137"/>
      <c r="C562" s="138"/>
      <c r="D562" s="139"/>
      <c r="E562" s="139"/>
      <c r="F562" s="140"/>
      <c r="G562" s="147"/>
      <c r="H562" s="147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</row>
    <row r="563" spans="1:26" ht="18">
      <c r="A563" s="140"/>
      <c r="B563" s="137"/>
      <c r="C563" s="138"/>
      <c r="D563" s="139"/>
      <c r="E563" s="139"/>
      <c r="F563" s="140"/>
      <c r="G563" s="149"/>
      <c r="H563" s="149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</row>
    <row r="564" spans="1:26" ht="18">
      <c r="A564" s="140"/>
      <c r="B564" s="137"/>
      <c r="C564" s="138"/>
      <c r="D564" s="139"/>
      <c r="E564" s="139"/>
      <c r="F564" s="140"/>
      <c r="G564" s="147"/>
      <c r="H564" s="147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</row>
    <row r="565" spans="1:26" ht="18">
      <c r="A565" s="140"/>
      <c r="B565" s="137"/>
      <c r="C565" s="138"/>
      <c r="D565" s="139"/>
      <c r="E565" s="139"/>
      <c r="F565" s="140"/>
      <c r="G565" s="149"/>
      <c r="H565" s="149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</row>
    <row r="566" spans="1:26" ht="18">
      <c r="A566" s="140"/>
      <c r="B566" s="137"/>
      <c r="C566" s="138"/>
      <c r="D566" s="139"/>
      <c r="E566" s="139"/>
      <c r="F566" s="140"/>
      <c r="G566" s="147"/>
      <c r="H566" s="147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</row>
    <row r="567" spans="1:26" ht="18">
      <c r="A567" s="140"/>
      <c r="B567" s="137"/>
      <c r="C567" s="138"/>
      <c r="D567" s="139"/>
      <c r="E567" s="139"/>
      <c r="F567" s="140"/>
      <c r="G567" s="149"/>
      <c r="H567" s="149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</row>
    <row r="568" spans="1:26" ht="18">
      <c r="A568" s="140"/>
      <c r="B568" s="137"/>
      <c r="C568" s="138"/>
      <c r="D568" s="139"/>
      <c r="E568" s="139"/>
      <c r="F568" s="140"/>
      <c r="G568" s="147"/>
      <c r="H568" s="147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</row>
    <row r="569" spans="1:26" ht="18">
      <c r="A569" s="140"/>
      <c r="B569" s="137"/>
      <c r="C569" s="138"/>
      <c r="D569" s="139"/>
      <c r="E569" s="139"/>
      <c r="F569" s="140"/>
      <c r="G569" s="149"/>
      <c r="H569" s="149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</row>
    <row r="570" spans="1:26" ht="18">
      <c r="A570" s="140"/>
      <c r="B570" s="137"/>
      <c r="C570" s="138"/>
      <c r="D570" s="139"/>
      <c r="E570" s="139"/>
      <c r="F570" s="140"/>
      <c r="G570" s="147"/>
      <c r="H570" s="147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</row>
    <row r="571" spans="1:26" ht="18">
      <c r="A571" s="140"/>
      <c r="B571" s="137"/>
      <c r="C571" s="138"/>
      <c r="D571" s="139"/>
      <c r="E571" s="139"/>
      <c r="F571" s="140"/>
      <c r="G571" s="149"/>
      <c r="H571" s="149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</row>
    <row r="572" spans="1:26" ht="18">
      <c r="A572" s="140"/>
      <c r="B572" s="137"/>
      <c r="C572" s="138"/>
      <c r="D572" s="139"/>
      <c r="E572" s="139"/>
      <c r="F572" s="140"/>
      <c r="G572" s="147"/>
      <c r="H572" s="147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</row>
    <row r="573" spans="1:26" ht="18">
      <c r="A573" s="140"/>
      <c r="B573" s="137"/>
      <c r="C573" s="138"/>
      <c r="D573" s="139"/>
      <c r="E573" s="139"/>
      <c r="F573" s="140"/>
      <c r="G573" s="149"/>
      <c r="H573" s="149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</row>
    <row r="574" spans="1:26" ht="18">
      <c r="A574" s="140"/>
      <c r="B574" s="137"/>
      <c r="C574" s="138"/>
      <c r="D574" s="139"/>
      <c r="E574" s="139"/>
      <c r="F574" s="140"/>
      <c r="G574" s="147"/>
      <c r="H574" s="147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</row>
    <row r="575" spans="1:26" ht="18">
      <c r="A575" s="140"/>
      <c r="B575" s="137"/>
      <c r="C575" s="138"/>
      <c r="D575" s="139"/>
      <c r="E575" s="139"/>
      <c r="F575" s="140"/>
      <c r="G575" s="149"/>
      <c r="H575" s="149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</row>
    <row r="576" spans="1:26" ht="18">
      <c r="A576" s="140"/>
      <c r="B576" s="137"/>
      <c r="C576" s="138"/>
      <c r="D576" s="139"/>
      <c r="E576" s="139"/>
      <c r="F576" s="140"/>
      <c r="G576" s="147"/>
      <c r="H576" s="147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</row>
    <row r="577" spans="1:26" ht="18">
      <c r="A577" s="140"/>
      <c r="B577" s="137"/>
      <c r="C577" s="138"/>
      <c r="D577" s="139"/>
      <c r="E577" s="139"/>
      <c r="F577" s="140"/>
      <c r="G577" s="149"/>
      <c r="H577" s="149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</row>
    <row r="578" spans="1:26" ht="18">
      <c r="A578" s="140"/>
      <c r="B578" s="137"/>
      <c r="C578" s="138"/>
      <c r="D578" s="139"/>
      <c r="E578" s="139"/>
      <c r="F578" s="140"/>
      <c r="G578" s="147"/>
      <c r="H578" s="147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</row>
    <row r="579" spans="1:26" ht="18">
      <c r="A579" s="140"/>
      <c r="B579" s="137"/>
      <c r="C579" s="138"/>
      <c r="D579" s="139"/>
      <c r="E579" s="139"/>
      <c r="F579" s="140"/>
      <c r="G579" s="149"/>
      <c r="H579" s="149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</row>
    <row r="580" spans="1:26" ht="18">
      <c r="A580" s="140"/>
      <c r="B580" s="137"/>
      <c r="C580" s="138"/>
      <c r="D580" s="139"/>
      <c r="E580" s="139"/>
      <c r="F580" s="140"/>
      <c r="G580" s="147"/>
      <c r="H580" s="147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</row>
    <row r="581" spans="1:26" ht="18">
      <c r="A581" s="140"/>
      <c r="B581" s="137"/>
      <c r="C581" s="138"/>
      <c r="D581" s="139"/>
      <c r="E581" s="139"/>
      <c r="F581" s="140"/>
      <c r="G581" s="149"/>
      <c r="H581" s="149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</row>
    <row r="582" spans="1:26" ht="18">
      <c r="A582" s="140"/>
      <c r="B582" s="137"/>
      <c r="C582" s="138"/>
      <c r="D582" s="139"/>
      <c r="E582" s="139"/>
      <c r="F582" s="140"/>
      <c r="G582" s="147"/>
      <c r="H582" s="147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</row>
    <row r="583" spans="1:26" ht="18">
      <c r="A583" s="140"/>
      <c r="B583" s="137"/>
      <c r="C583" s="138"/>
      <c r="D583" s="139"/>
      <c r="E583" s="139"/>
      <c r="F583" s="140"/>
      <c r="G583" s="149"/>
      <c r="H583" s="149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</row>
    <row r="584" spans="1:26" ht="18">
      <c r="A584" s="140"/>
      <c r="B584" s="137"/>
      <c r="C584" s="138"/>
      <c r="D584" s="139"/>
      <c r="E584" s="139"/>
      <c r="F584" s="140"/>
      <c r="G584" s="147"/>
      <c r="H584" s="147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</row>
    <row r="585" spans="1:26" ht="18">
      <c r="A585" s="140"/>
      <c r="B585" s="137"/>
      <c r="C585" s="138"/>
      <c r="D585" s="139"/>
      <c r="E585" s="139"/>
      <c r="F585" s="140"/>
      <c r="G585" s="149"/>
      <c r="H585" s="149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</row>
    <row r="586" spans="1:26" ht="18">
      <c r="A586" s="140"/>
      <c r="B586" s="137"/>
      <c r="C586" s="138"/>
      <c r="D586" s="139"/>
      <c r="E586" s="139"/>
      <c r="F586" s="140"/>
      <c r="G586" s="147"/>
      <c r="H586" s="147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</row>
    <row r="587" spans="1:26" ht="18">
      <c r="A587" s="140"/>
      <c r="B587" s="137"/>
      <c r="C587" s="138"/>
      <c r="D587" s="139"/>
      <c r="E587" s="139"/>
      <c r="F587" s="140"/>
      <c r="G587" s="149"/>
      <c r="H587" s="149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</row>
    <row r="588" spans="1:26" ht="18">
      <c r="A588" s="140"/>
      <c r="B588" s="137"/>
      <c r="C588" s="138"/>
      <c r="D588" s="139"/>
      <c r="E588" s="139"/>
      <c r="F588" s="140"/>
      <c r="G588" s="147"/>
      <c r="H588" s="147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</row>
    <row r="589" spans="1:26" ht="18">
      <c r="A589" s="140"/>
      <c r="B589" s="137"/>
      <c r="C589" s="138"/>
      <c r="D589" s="139"/>
      <c r="E589" s="139"/>
      <c r="F589" s="140"/>
      <c r="G589" s="149"/>
      <c r="H589" s="149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</row>
    <row r="590" spans="1:26" ht="18">
      <c r="A590" s="140"/>
      <c r="B590" s="137"/>
      <c r="C590" s="138"/>
      <c r="D590" s="139"/>
      <c r="E590" s="139"/>
      <c r="F590" s="140"/>
      <c r="G590" s="147"/>
      <c r="H590" s="147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</row>
    <row r="591" spans="1:26" ht="18">
      <c r="A591" s="140"/>
      <c r="B591" s="137"/>
      <c r="C591" s="138"/>
      <c r="D591" s="139"/>
      <c r="E591" s="139"/>
      <c r="F591" s="140"/>
      <c r="G591" s="149"/>
      <c r="H591" s="149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</row>
    <row r="592" spans="1:26" ht="18">
      <c r="A592" s="140"/>
      <c r="B592" s="137"/>
      <c r="C592" s="138"/>
      <c r="D592" s="139"/>
      <c r="E592" s="139"/>
      <c r="F592" s="140"/>
      <c r="G592" s="147"/>
      <c r="H592" s="147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</row>
    <row r="593" spans="1:26" ht="18">
      <c r="A593" s="140"/>
      <c r="B593" s="137"/>
      <c r="C593" s="138"/>
      <c r="D593" s="139"/>
      <c r="E593" s="139"/>
      <c r="F593" s="140"/>
      <c r="G593" s="149"/>
      <c r="H593" s="149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</row>
    <row r="594" spans="1:26" ht="18">
      <c r="A594" s="140"/>
      <c r="B594" s="137"/>
      <c r="C594" s="138"/>
      <c r="D594" s="139"/>
      <c r="E594" s="139"/>
      <c r="F594" s="140"/>
      <c r="G594" s="147"/>
      <c r="H594" s="147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</row>
    <row r="595" spans="1:26" ht="18">
      <c r="A595" s="140"/>
      <c r="B595" s="137"/>
      <c r="C595" s="138"/>
      <c r="D595" s="139"/>
      <c r="E595" s="139"/>
      <c r="F595" s="140"/>
      <c r="G595" s="149"/>
      <c r="H595" s="149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</row>
    <row r="596" spans="1:26" ht="18">
      <c r="A596" s="140"/>
      <c r="B596" s="137"/>
      <c r="C596" s="138"/>
      <c r="D596" s="139"/>
      <c r="E596" s="139"/>
      <c r="F596" s="140"/>
      <c r="G596" s="147"/>
      <c r="H596" s="147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</row>
    <row r="597" spans="1:26" ht="18">
      <c r="A597" s="140"/>
      <c r="B597" s="137"/>
      <c r="C597" s="138"/>
      <c r="D597" s="139"/>
      <c r="E597" s="139"/>
      <c r="F597" s="140"/>
      <c r="G597" s="149"/>
      <c r="H597" s="149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</row>
    <row r="598" spans="1:26" ht="18">
      <c r="A598" s="140"/>
      <c r="B598" s="137"/>
      <c r="C598" s="138"/>
      <c r="D598" s="139"/>
      <c r="E598" s="139"/>
      <c r="F598" s="140"/>
      <c r="G598" s="147"/>
      <c r="H598" s="147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</row>
    <row r="599" spans="1:26" ht="18">
      <c r="A599" s="140"/>
      <c r="B599" s="137"/>
      <c r="C599" s="138"/>
      <c r="D599" s="139"/>
      <c r="E599" s="139"/>
      <c r="F599" s="140"/>
      <c r="G599" s="149"/>
      <c r="H599" s="149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</row>
    <row r="600" spans="1:26" ht="18">
      <c r="A600" s="140"/>
      <c r="B600" s="137"/>
      <c r="C600" s="138"/>
      <c r="D600" s="139"/>
      <c r="E600" s="139"/>
      <c r="F600" s="140"/>
      <c r="G600" s="147"/>
      <c r="H600" s="147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</row>
    <row r="601" spans="1:26" ht="18">
      <c r="A601" s="140"/>
      <c r="B601" s="137"/>
      <c r="C601" s="138"/>
      <c r="D601" s="139"/>
      <c r="E601" s="139"/>
      <c r="F601" s="140"/>
      <c r="G601" s="149"/>
      <c r="H601" s="149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</row>
    <row r="602" spans="1:26" ht="18">
      <c r="A602" s="140"/>
      <c r="B602" s="137"/>
      <c r="C602" s="138"/>
      <c r="D602" s="139"/>
      <c r="E602" s="139"/>
      <c r="F602" s="140"/>
      <c r="G602" s="147"/>
      <c r="H602" s="147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</row>
    <row r="603" spans="1:26" ht="18">
      <c r="A603" s="140"/>
      <c r="B603" s="137"/>
      <c r="C603" s="138"/>
      <c r="D603" s="139"/>
      <c r="E603" s="139"/>
      <c r="F603" s="140"/>
      <c r="G603" s="149"/>
      <c r="H603" s="149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</row>
    <row r="604" spans="1:26" ht="18">
      <c r="A604" s="140"/>
      <c r="B604" s="137"/>
      <c r="C604" s="138"/>
      <c r="D604" s="139"/>
      <c r="E604" s="139"/>
      <c r="F604" s="140"/>
      <c r="G604" s="147"/>
      <c r="H604" s="147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</row>
    <row r="605" spans="1:26" ht="18">
      <c r="A605" s="140"/>
      <c r="B605" s="137"/>
      <c r="C605" s="138"/>
      <c r="D605" s="139"/>
      <c r="E605" s="139"/>
      <c r="F605" s="140"/>
      <c r="G605" s="149"/>
      <c r="H605" s="149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</row>
    <row r="606" spans="1:26" ht="18">
      <c r="A606" s="140"/>
      <c r="B606" s="137"/>
      <c r="C606" s="138"/>
      <c r="D606" s="139"/>
      <c r="E606" s="139"/>
      <c r="F606" s="140"/>
      <c r="G606" s="147"/>
      <c r="H606" s="147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</row>
    <row r="607" spans="1:26" ht="18">
      <c r="A607" s="140"/>
      <c r="B607" s="137"/>
      <c r="C607" s="138"/>
      <c r="D607" s="139"/>
      <c r="E607" s="139"/>
      <c r="F607" s="140"/>
      <c r="G607" s="149"/>
      <c r="H607" s="149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</row>
    <row r="608" spans="1:26" ht="18">
      <c r="A608" s="140"/>
      <c r="B608" s="137"/>
      <c r="C608" s="138"/>
      <c r="D608" s="139"/>
      <c r="E608" s="139"/>
      <c r="F608" s="140"/>
      <c r="G608" s="147"/>
      <c r="H608" s="147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</row>
    <row r="609" spans="1:26" ht="18">
      <c r="A609" s="140"/>
      <c r="B609" s="137"/>
      <c r="C609" s="138"/>
      <c r="D609" s="139"/>
      <c r="E609" s="139"/>
      <c r="F609" s="140"/>
      <c r="G609" s="149"/>
      <c r="H609" s="149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</row>
    <row r="610" spans="1:26" ht="18">
      <c r="A610" s="140"/>
      <c r="B610" s="137"/>
      <c r="C610" s="138"/>
      <c r="D610" s="139"/>
      <c r="E610" s="139"/>
      <c r="F610" s="140"/>
      <c r="G610" s="147"/>
      <c r="H610" s="147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</row>
    <row r="611" spans="1:26" ht="18">
      <c r="A611" s="140"/>
      <c r="B611" s="137"/>
      <c r="C611" s="138"/>
      <c r="D611" s="139"/>
      <c r="E611" s="139"/>
      <c r="F611" s="140"/>
      <c r="G611" s="149"/>
      <c r="H611" s="149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</row>
    <row r="612" spans="1:26" ht="18">
      <c r="A612" s="140"/>
      <c r="B612" s="137"/>
      <c r="C612" s="138"/>
      <c r="D612" s="139"/>
      <c r="E612" s="139"/>
      <c r="F612" s="140"/>
      <c r="G612" s="147"/>
      <c r="H612" s="147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</row>
    <row r="613" spans="1:26" ht="18">
      <c r="A613" s="140"/>
      <c r="B613" s="137"/>
      <c r="C613" s="138"/>
      <c r="D613" s="139"/>
      <c r="E613" s="139"/>
      <c r="F613" s="140"/>
      <c r="G613" s="149"/>
      <c r="H613" s="149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</row>
    <row r="614" spans="1:26" ht="18">
      <c r="A614" s="140"/>
      <c r="B614" s="137"/>
      <c r="C614" s="138"/>
      <c r="D614" s="139"/>
      <c r="E614" s="139"/>
      <c r="F614" s="140"/>
      <c r="G614" s="147"/>
      <c r="H614" s="147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</row>
    <row r="615" spans="1:26" ht="18">
      <c r="A615" s="140"/>
      <c r="B615" s="137"/>
      <c r="C615" s="138"/>
      <c r="D615" s="139"/>
      <c r="E615" s="139"/>
      <c r="F615" s="140"/>
      <c r="G615" s="149"/>
      <c r="H615" s="149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</row>
    <row r="616" spans="1:26" ht="18">
      <c r="A616" s="140"/>
      <c r="B616" s="137"/>
      <c r="C616" s="138"/>
      <c r="D616" s="139"/>
      <c r="E616" s="139"/>
      <c r="F616" s="140"/>
      <c r="G616" s="147"/>
      <c r="H616" s="147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</row>
    <row r="617" spans="1:26" ht="18">
      <c r="A617" s="140"/>
      <c r="B617" s="137"/>
      <c r="C617" s="138"/>
      <c r="D617" s="139"/>
      <c r="E617" s="139"/>
      <c r="F617" s="140"/>
      <c r="G617" s="149"/>
      <c r="H617" s="149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</row>
    <row r="618" spans="1:26" ht="18">
      <c r="A618" s="140"/>
      <c r="B618" s="137"/>
      <c r="C618" s="138"/>
      <c r="D618" s="139"/>
      <c r="E618" s="139"/>
      <c r="F618" s="140"/>
      <c r="G618" s="147"/>
      <c r="H618" s="147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</row>
    <row r="619" spans="1:26" ht="18">
      <c r="A619" s="140"/>
      <c r="B619" s="137"/>
      <c r="C619" s="138"/>
      <c r="D619" s="139"/>
      <c r="E619" s="139"/>
      <c r="F619" s="140"/>
      <c r="G619" s="149"/>
      <c r="H619" s="149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</row>
    <row r="620" spans="1:26" ht="18">
      <c r="A620" s="140"/>
      <c r="B620" s="137"/>
      <c r="C620" s="138"/>
      <c r="D620" s="139"/>
      <c r="E620" s="139"/>
      <c r="F620" s="140"/>
      <c r="G620" s="147"/>
      <c r="H620" s="147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</row>
    <row r="621" spans="1:26" ht="18">
      <c r="A621" s="140"/>
      <c r="B621" s="137"/>
      <c r="C621" s="138"/>
      <c r="D621" s="139"/>
      <c r="E621" s="139"/>
      <c r="F621" s="140"/>
      <c r="G621" s="149"/>
      <c r="H621" s="149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</row>
    <row r="622" spans="1:26" ht="18">
      <c r="A622" s="140"/>
      <c r="B622" s="137"/>
      <c r="C622" s="138"/>
      <c r="D622" s="139"/>
      <c r="E622" s="139"/>
      <c r="F622" s="140"/>
      <c r="G622" s="147"/>
      <c r="H622" s="147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</row>
    <row r="623" spans="1:26" ht="18">
      <c r="A623" s="140"/>
      <c r="B623" s="137"/>
      <c r="C623" s="138"/>
      <c r="D623" s="139"/>
      <c r="E623" s="139"/>
      <c r="F623" s="140"/>
      <c r="G623" s="149"/>
      <c r="H623" s="149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</row>
    <row r="624" spans="1:26" ht="18">
      <c r="A624" s="140"/>
      <c r="B624" s="137"/>
      <c r="C624" s="138"/>
      <c r="D624" s="139"/>
      <c r="E624" s="139"/>
      <c r="F624" s="140"/>
      <c r="G624" s="147"/>
      <c r="H624" s="147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</row>
    <row r="625" spans="1:26" ht="18">
      <c r="A625" s="140"/>
      <c r="B625" s="137"/>
      <c r="C625" s="138"/>
      <c r="D625" s="139"/>
      <c r="E625" s="139"/>
      <c r="F625" s="140"/>
      <c r="G625" s="149"/>
      <c r="H625" s="149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</row>
    <row r="626" spans="1:26" ht="18">
      <c r="A626" s="140"/>
      <c r="B626" s="137"/>
      <c r="C626" s="138"/>
      <c r="D626" s="139"/>
      <c r="E626" s="139"/>
      <c r="F626" s="140"/>
      <c r="G626" s="147"/>
      <c r="H626" s="147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</row>
    <row r="627" spans="1:26" ht="18">
      <c r="A627" s="140"/>
      <c r="B627" s="137"/>
      <c r="C627" s="138"/>
      <c r="D627" s="139"/>
      <c r="E627" s="139"/>
      <c r="F627" s="140"/>
      <c r="G627" s="149"/>
      <c r="H627" s="149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</row>
    <row r="628" spans="1:26" ht="18">
      <c r="A628" s="140"/>
      <c r="B628" s="137"/>
      <c r="C628" s="138"/>
      <c r="D628" s="139"/>
      <c r="E628" s="139"/>
      <c r="F628" s="140"/>
      <c r="G628" s="147"/>
      <c r="H628" s="147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</row>
    <row r="629" spans="1:26" ht="18">
      <c r="A629" s="140"/>
      <c r="B629" s="137"/>
      <c r="C629" s="138"/>
      <c r="D629" s="139"/>
      <c r="E629" s="139"/>
      <c r="F629" s="140"/>
      <c r="G629" s="149"/>
      <c r="H629" s="149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</row>
    <row r="630" spans="1:26" ht="18">
      <c r="A630" s="140"/>
      <c r="B630" s="137"/>
      <c r="C630" s="138"/>
      <c r="D630" s="139"/>
      <c r="E630" s="139"/>
      <c r="F630" s="140"/>
      <c r="G630" s="147"/>
      <c r="H630" s="147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</row>
    <row r="631" spans="1:26" ht="18">
      <c r="A631" s="140"/>
      <c r="B631" s="137"/>
      <c r="C631" s="138"/>
      <c r="D631" s="139"/>
      <c r="E631" s="139"/>
      <c r="F631" s="140"/>
      <c r="G631" s="149"/>
      <c r="H631" s="149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</row>
    <row r="632" spans="1:26" ht="18">
      <c r="A632" s="140"/>
      <c r="B632" s="137"/>
      <c r="C632" s="138"/>
      <c r="D632" s="139"/>
      <c r="E632" s="139"/>
      <c r="F632" s="140"/>
      <c r="G632" s="147"/>
      <c r="H632" s="147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</row>
    <row r="633" spans="1:26" ht="18">
      <c r="A633" s="140"/>
      <c r="B633" s="137"/>
      <c r="C633" s="138"/>
      <c r="D633" s="139"/>
      <c r="E633" s="139"/>
      <c r="F633" s="140"/>
      <c r="G633" s="149"/>
      <c r="H633" s="149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</row>
    <row r="634" spans="1:26" ht="18">
      <c r="A634" s="140"/>
      <c r="B634" s="137"/>
      <c r="C634" s="138"/>
      <c r="D634" s="139"/>
      <c r="E634" s="139"/>
      <c r="F634" s="140"/>
      <c r="G634" s="147"/>
      <c r="H634" s="147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</row>
    <row r="635" spans="1:26" ht="18">
      <c r="A635" s="140"/>
      <c r="B635" s="137"/>
      <c r="C635" s="138"/>
      <c r="D635" s="139"/>
      <c r="E635" s="139"/>
      <c r="F635" s="140"/>
      <c r="G635" s="149"/>
      <c r="H635" s="149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</row>
    <row r="636" spans="1:26" ht="18">
      <c r="A636" s="140"/>
      <c r="B636" s="137"/>
      <c r="C636" s="138"/>
      <c r="D636" s="139"/>
      <c r="E636" s="139"/>
      <c r="F636" s="140"/>
      <c r="G636" s="147"/>
      <c r="H636" s="147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</row>
    <row r="637" spans="1:26" ht="18">
      <c r="A637" s="140"/>
      <c r="B637" s="137"/>
      <c r="C637" s="138"/>
      <c r="D637" s="139"/>
      <c r="E637" s="139"/>
      <c r="F637" s="140"/>
      <c r="G637" s="149"/>
      <c r="H637" s="149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</row>
    <row r="638" spans="1:26" ht="18">
      <c r="A638" s="140"/>
      <c r="B638" s="137"/>
      <c r="C638" s="138"/>
      <c r="D638" s="139"/>
      <c r="E638" s="139"/>
      <c r="F638" s="140"/>
      <c r="G638" s="147"/>
      <c r="H638" s="147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</row>
    <row r="639" spans="1:26" ht="18">
      <c r="A639" s="140"/>
      <c r="B639" s="137"/>
      <c r="C639" s="138"/>
      <c r="D639" s="139"/>
      <c r="E639" s="139"/>
      <c r="F639" s="140"/>
      <c r="G639" s="149"/>
      <c r="H639" s="149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</row>
    <row r="640" spans="1:26" ht="18">
      <c r="A640" s="140"/>
      <c r="B640" s="137"/>
      <c r="C640" s="138"/>
      <c r="D640" s="139"/>
      <c r="E640" s="139"/>
      <c r="F640" s="140"/>
      <c r="G640" s="147"/>
      <c r="H640" s="147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</row>
    <row r="641" spans="1:26" ht="18">
      <c r="A641" s="140"/>
      <c r="B641" s="137"/>
      <c r="C641" s="138"/>
      <c r="D641" s="139"/>
      <c r="E641" s="139"/>
      <c r="F641" s="140"/>
      <c r="G641" s="149"/>
      <c r="H641" s="149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</row>
    <row r="642" spans="1:26" ht="18">
      <c r="A642" s="140"/>
      <c r="B642" s="137"/>
      <c r="C642" s="138"/>
      <c r="D642" s="139"/>
      <c r="E642" s="139"/>
      <c r="F642" s="140"/>
      <c r="G642" s="147"/>
      <c r="H642" s="147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</row>
    <row r="643" spans="1:26" ht="18">
      <c r="A643" s="140"/>
      <c r="B643" s="137"/>
      <c r="C643" s="138"/>
      <c r="D643" s="139"/>
      <c r="E643" s="139"/>
      <c r="F643" s="140"/>
      <c r="G643" s="149"/>
      <c r="H643" s="149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</row>
    <row r="644" spans="1:26" ht="18">
      <c r="A644" s="140"/>
      <c r="B644" s="137"/>
      <c r="C644" s="138"/>
      <c r="D644" s="139"/>
      <c r="E644" s="139"/>
      <c r="F644" s="140"/>
      <c r="G644" s="147"/>
      <c r="H644" s="147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</row>
    <row r="645" spans="1:26" ht="18">
      <c r="A645" s="140"/>
      <c r="B645" s="137"/>
      <c r="C645" s="138"/>
      <c r="D645" s="139"/>
      <c r="E645" s="139"/>
      <c r="F645" s="140"/>
      <c r="G645" s="149"/>
      <c r="H645" s="149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</row>
    <row r="646" spans="1:26" ht="18">
      <c r="A646" s="140"/>
      <c r="B646" s="137"/>
      <c r="C646" s="138"/>
      <c r="D646" s="139"/>
      <c r="E646" s="139"/>
      <c r="F646" s="140"/>
      <c r="G646" s="147"/>
      <c r="H646" s="147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</row>
    <row r="647" spans="1:26" ht="18">
      <c r="A647" s="140"/>
      <c r="B647" s="137"/>
      <c r="C647" s="138"/>
      <c r="D647" s="139"/>
      <c r="E647" s="139"/>
      <c r="F647" s="140"/>
      <c r="G647" s="149"/>
      <c r="H647" s="149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</row>
    <row r="648" spans="1:26" ht="18">
      <c r="A648" s="140"/>
      <c r="B648" s="137"/>
      <c r="C648" s="138"/>
      <c r="D648" s="139"/>
      <c r="E648" s="139"/>
      <c r="F648" s="140"/>
      <c r="G648" s="147"/>
      <c r="H648" s="147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</row>
    <row r="649" spans="1:26" ht="18">
      <c r="A649" s="140"/>
      <c r="B649" s="137"/>
      <c r="C649" s="138"/>
      <c r="D649" s="139"/>
      <c r="E649" s="139"/>
      <c r="F649" s="140"/>
      <c r="G649" s="149"/>
      <c r="H649" s="149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</row>
    <row r="650" spans="1:26" ht="18">
      <c r="A650" s="140"/>
      <c r="B650" s="137"/>
      <c r="C650" s="138"/>
      <c r="D650" s="139"/>
      <c r="E650" s="139"/>
      <c r="F650" s="140"/>
      <c r="G650" s="147"/>
      <c r="H650" s="147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</row>
    <row r="651" spans="1:26" ht="18">
      <c r="A651" s="140"/>
      <c r="B651" s="137"/>
      <c r="C651" s="138"/>
      <c r="D651" s="139"/>
      <c r="E651" s="139"/>
      <c r="F651" s="140"/>
      <c r="G651" s="149"/>
      <c r="H651" s="149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</row>
    <row r="652" spans="1:26" ht="18">
      <c r="A652" s="140"/>
      <c r="B652" s="137"/>
      <c r="C652" s="138"/>
      <c r="D652" s="139"/>
      <c r="E652" s="139"/>
      <c r="F652" s="140"/>
      <c r="G652" s="147"/>
      <c r="H652" s="147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</row>
    <row r="653" spans="1:26" ht="18">
      <c r="A653" s="140"/>
      <c r="B653" s="137"/>
      <c r="C653" s="138"/>
      <c r="D653" s="139"/>
      <c r="E653" s="139"/>
      <c r="F653" s="140"/>
      <c r="G653" s="149"/>
      <c r="H653" s="149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</row>
    <row r="654" spans="1:26" ht="18">
      <c r="A654" s="140"/>
      <c r="B654" s="137"/>
      <c r="C654" s="138"/>
      <c r="D654" s="139"/>
      <c r="E654" s="139"/>
      <c r="F654" s="140"/>
      <c r="G654" s="147"/>
      <c r="H654" s="147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</row>
    <row r="655" spans="1:26" ht="18">
      <c r="A655" s="140"/>
      <c r="B655" s="137"/>
      <c r="C655" s="138"/>
      <c r="D655" s="139"/>
      <c r="E655" s="139"/>
      <c r="F655" s="140"/>
      <c r="G655" s="149"/>
      <c r="H655" s="149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</row>
    <row r="656" spans="1:26" ht="18">
      <c r="A656" s="140"/>
      <c r="B656" s="137"/>
      <c r="C656" s="138"/>
      <c r="D656" s="139"/>
      <c r="E656" s="139"/>
      <c r="F656" s="140"/>
      <c r="G656" s="147"/>
      <c r="H656" s="147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</row>
    <row r="657" spans="1:26" ht="18">
      <c r="A657" s="140"/>
      <c r="B657" s="137"/>
      <c r="C657" s="138"/>
      <c r="D657" s="139"/>
      <c r="E657" s="139"/>
      <c r="F657" s="140"/>
      <c r="G657" s="149"/>
      <c r="H657" s="149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</row>
    <row r="658" spans="1:26" ht="18">
      <c r="A658" s="140"/>
      <c r="B658" s="137"/>
      <c r="C658" s="138"/>
      <c r="D658" s="139"/>
      <c r="E658" s="139"/>
      <c r="F658" s="140"/>
      <c r="G658" s="147"/>
      <c r="H658" s="147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</row>
    <row r="659" spans="1:26" ht="18">
      <c r="A659" s="140"/>
      <c r="B659" s="137"/>
      <c r="C659" s="138"/>
      <c r="D659" s="139"/>
      <c r="E659" s="139"/>
      <c r="F659" s="140"/>
      <c r="G659" s="149"/>
      <c r="H659" s="149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</row>
    <row r="660" spans="1:26" ht="18">
      <c r="A660" s="140"/>
      <c r="B660" s="137"/>
      <c r="C660" s="138"/>
      <c r="D660" s="139"/>
      <c r="E660" s="139"/>
      <c r="F660" s="140"/>
      <c r="G660" s="147"/>
      <c r="H660" s="147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</row>
    <row r="661" spans="1:26" ht="18">
      <c r="A661" s="140"/>
      <c r="B661" s="137"/>
      <c r="C661" s="138"/>
      <c r="D661" s="139"/>
      <c r="E661" s="139"/>
      <c r="F661" s="140"/>
      <c r="G661" s="149"/>
      <c r="H661" s="149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</row>
    <row r="662" spans="1:26" ht="18">
      <c r="A662" s="140"/>
      <c r="B662" s="137"/>
      <c r="C662" s="138"/>
      <c r="D662" s="139"/>
      <c r="E662" s="139"/>
      <c r="F662" s="140"/>
      <c r="G662" s="147"/>
      <c r="H662" s="147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</row>
    <row r="663" spans="1:26" ht="18">
      <c r="A663" s="140"/>
      <c r="B663" s="137"/>
      <c r="C663" s="138"/>
      <c r="D663" s="139"/>
      <c r="E663" s="139"/>
      <c r="F663" s="140"/>
      <c r="G663" s="149"/>
      <c r="H663" s="149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</row>
    <row r="664" spans="1:26" ht="18">
      <c r="A664" s="140"/>
      <c r="B664" s="137"/>
      <c r="C664" s="138"/>
      <c r="D664" s="139"/>
      <c r="E664" s="139"/>
      <c r="F664" s="140"/>
      <c r="G664" s="147"/>
      <c r="H664" s="147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</row>
    <row r="665" spans="1:26" ht="18">
      <c r="A665" s="140"/>
      <c r="B665" s="137"/>
      <c r="C665" s="138"/>
      <c r="D665" s="139"/>
      <c r="E665" s="139"/>
      <c r="F665" s="140"/>
      <c r="G665" s="149"/>
      <c r="H665" s="149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</row>
    <row r="666" spans="1:26" ht="18">
      <c r="A666" s="140"/>
      <c r="B666" s="137"/>
      <c r="C666" s="138"/>
      <c r="D666" s="139"/>
      <c r="E666" s="139"/>
      <c r="F666" s="140"/>
      <c r="G666" s="147"/>
      <c r="H666" s="147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</row>
    <row r="667" spans="1:26" ht="18">
      <c r="A667" s="140"/>
      <c r="B667" s="137"/>
      <c r="C667" s="138"/>
      <c r="D667" s="139"/>
      <c r="E667" s="139"/>
      <c r="F667" s="140"/>
      <c r="G667" s="149"/>
      <c r="H667" s="149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</row>
    <row r="668" spans="1:26" ht="18">
      <c r="A668" s="140"/>
      <c r="B668" s="137"/>
      <c r="C668" s="138"/>
      <c r="D668" s="139"/>
      <c r="E668" s="139"/>
      <c r="F668" s="140"/>
      <c r="G668" s="147"/>
      <c r="H668" s="147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</row>
    <row r="669" spans="1:26" ht="18">
      <c r="A669" s="140"/>
      <c r="B669" s="137"/>
      <c r="C669" s="138"/>
      <c r="D669" s="139"/>
      <c r="E669" s="139"/>
      <c r="F669" s="140"/>
      <c r="G669" s="149"/>
      <c r="H669" s="149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</row>
    <row r="670" spans="1:26" ht="18">
      <c r="A670" s="140"/>
      <c r="B670" s="137"/>
      <c r="C670" s="138"/>
      <c r="D670" s="139"/>
      <c r="E670" s="139"/>
      <c r="F670" s="140"/>
      <c r="G670" s="147"/>
      <c r="H670" s="147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</row>
    <row r="671" spans="1:26" ht="18">
      <c r="A671" s="140"/>
      <c r="B671" s="137"/>
      <c r="C671" s="138"/>
      <c r="D671" s="139"/>
      <c r="E671" s="139"/>
      <c r="F671" s="140"/>
      <c r="G671" s="149"/>
      <c r="H671" s="149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</row>
    <row r="672" spans="1:26" ht="18">
      <c r="A672" s="140"/>
      <c r="B672" s="137"/>
      <c r="C672" s="138"/>
      <c r="D672" s="139"/>
      <c r="E672" s="139"/>
      <c r="F672" s="140"/>
      <c r="G672" s="147"/>
      <c r="H672" s="147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</row>
    <row r="673" spans="1:26" ht="18">
      <c r="A673" s="140"/>
      <c r="B673" s="137"/>
      <c r="C673" s="138"/>
      <c r="D673" s="139"/>
      <c r="E673" s="139"/>
      <c r="F673" s="140"/>
      <c r="G673" s="149"/>
      <c r="H673" s="149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</row>
    <row r="674" spans="1:26" ht="18">
      <c r="A674" s="140"/>
      <c r="B674" s="137"/>
      <c r="C674" s="138"/>
      <c r="D674" s="139"/>
      <c r="E674" s="139"/>
      <c r="F674" s="140"/>
      <c r="G674" s="147"/>
      <c r="H674" s="147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</row>
    <row r="675" spans="1:26" ht="18">
      <c r="A675" s="140"/>
      <c r="B675" s="137"/>
      <c r="C675" s="138"/>
      <c r="D675" s="139"/>
      <c r="E675" s="139"/>
      <c r="F675" s="140"/>
      <c r="G675" s="149"/>
      <c r="H675" s="149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</row>
    <row r="676" spans="1:26" ht="18">
      <c r="A676" s="140"/>
      <c r="B676" s="137"/>
      <c r="C676" s="138"/>
      <c r="D676" s="139"/>
      <c r="E676" s="139"/>
      <c r="F676" s="140"/>
      <c r="G676" s="147"/>
      <c r="H676" s="147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</row>
    <row r="677" spans="1:26" ht="18">
      <c r="A677" s="140"/>
      <c r="B677" s="137"/>
      <c r="C677" s="138"/>
      <c r="D677" s="139"/>
      <c r="E677" s="139"/>
      <c r="F677" s="140"/>
      <c r="G677" s="149"/>
      <c r="H677" s="149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</row>
    <row r="678" spans="1:26" ht="18">
      <c r="A678" s="140"/>
      <c r="B678" s="137"/>
      <c r="C678" s="138"/>
      <c r="D678" s="139"/>
      <c r="E678" s="139"/>
      <c r="F678" s="140"/>
      <c r="G678" s="147"/>
      <c r="H678" s="147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</row>
    <row r="679" spans="1:26" ht="18">
      <c r="A679" s="140"/>
      <c r="B679" s="137"/>
      <c r="C679" s="138"/>
      <c r="D679" s="139"/>
      <c r="E679" s="139"/>
      <c r="F679" s="140"/>
      <c r="G679" s="149"/>
      <c r="H679" s="149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</row>
    <row r="680" spans="1:26" ht="18">
      <c r="A680" s="140"/>
      <c r="B680" s="137"/>
      <c r="C680" s="138"/>
      <c r="D680" s="139"/>
      <c r="E680" s="139"/>
      <c r="F680" s="140"/>
      <c r="G680" s="147"/>
      <c r="H680" s="147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</row>
    <row r="681" spans="1:26" ht="18">
      <c r="A681" s="140"/>
      <c r="B681" s="137"/>
      <c r="C681" s="138"/>
      <c r="D681" s="139"/>
      <c r="E681" s="139"/>
      <c r="F681" s="140"/>
      <c r="G681" s="149"/>
      <c r="H681" s="149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</row>
    <row r="682" spans="1:26" ht="18">
      <c r="A682" s="140"/>
      <c r="B682" s="137"/>
      <c r="C682" s="138"/>
      <c r="D682" s="139"/>
      <c r="E682" s="139"/>
      <c r="F682" s="140"/>
      <c r="G682" s="147"/>
      <c r="H682" s="147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</row>
    <row r="683" spans="1:26" ht="18">
      <c r="A683" s="140"/>
      <c r="B683" s="137"/>
      <c r="C683" s="138"/>
      <c r="D683" s="139"/>
      <c r="E683" s="139"/>
      <c r="F683" s="140"/>
      <c r="G683" s="149"/>
      <c r="H683" s="149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</row>
    <row r="684" spans="1:26" ht="18">
      <c r="A684" s="140"/>
      <c r="B684" s="137"/>
      <c r="C684" s="138"/>
      <c r="D684" s="139"/>
      <c r="E684" s="139"/>
      <c r="F684" s="140"/>
      <c r="G684" s="147"/>
      <c r="H684" s="147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</row>
    <row r="685" spans="1:26" ht="18">
      <c r="A685" s="140"/>
      <c r="B685" s="137"/>
      <c r="C685" s="138"/>
      <c r="D685" s="139"/>
      <c r="E685" s="139"/>
      <c r="F685" s="140"/>
      <c r="G685" s="149"/>
      <c r="H685" s="149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</row>
    <row r="686" spans="1:26" ht="18">
      <c r="A686" s="140"/>
      <c r="B686" s="137"/>
      <c r="C686" s="138"/>
      <c r="D686" s="139"/>
      <c r="E686" s="139"/>
      <c r="F686" s="140"/>
      <c r="G686" s="147"/>
      <c r="H686" s="147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</row>
    <row r="687" spans="1:26" ht="18">
      <c r="A687" s="140"/>
      <c r="B687" s="137"/>
      <c r="C687" s="138"/>
      <c r="D687" s="139"/>
      <c r="E687" s="139"/>
      <c r="F687" s="140"/>
      <c r="G687" s="149"/>
      <c r="H687" s="149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</row>
    <row r="688" spans="1:26" ht="18">
      <c r="A688" s="140"/>
      <c r="B688" s="137"/>
      <c r="C688" s="138"/>
      <c r="D688" s="139"/>
      <c r="E688" s="139"/>
      <c r="F688" s="140"/>
      <c r="G688" s="147"/>
      <c r="H688" s="147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</row>
    <row r="689" spans="1:26" ht="18">
      <c r="A689" s="140"/>
      <c r="B689" s="137"/>
      <c r="C689" s="138"/>
      <c r="D689" s="139"/>
      <c r="E689" s="139"/>
      <c r="F689" s="140"/>
      <c r="G689" s="149"/>
      <c r="H689" s="149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</row>
    <row r="690" spans="1:26" ht="18">
      <c r="A690" s="140"/>
      <c r="B690" s="137"/>
      <c r="C690" s="138"/>
      <c r="D690" s="139"/>
      <c r="E690" s="139"/>
      <c r="F690" s="140"/>
      <c r="G690" s="147"/>
      <c r="H690" s="147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</row>
    <row r="691" spans="1:26" ht="18">
      <c r="A691" s="140"/>
      <c r="B691" s="137"/>
      <c r="C691" s="138"/>
      <c r="D691" s="139"/>
      <c r="E691" s="139"/>
      <c r="F691" s="140"/>
      <c r="G691" s="149"/>
      <c r="H691" s="149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</row>
    <row r="692" spans="1:26" ht="18">
      <c r="A692" s="140"/>
      <c r="B692" s="137"/>
      <c r="C692" s="138"/>
      <c r="D692" s="139"/>
      <c r="E692" s="139"/>
      <c r="F692" s="140"/>
      <c r="G692" s="147"/>
      <c r="H692" s="147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</row>
    <row r="693" spans="1:26" ht="18">
      <c r="A693" s="140"/>
      <c r="B693" s="137"/>
      <c r="C693" s="138"/>
      <c r="D693" s="139"/>
      <c r="E693" s="139"/>
      <c r="F693" s="140"/>
      <c r="G693" s="149"/>
      <c r="H693" s="149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</row>
    <row r="694" spans="1:26" ht="18">
      <c r="A694" s="140"/>
      <c r="B694" s="137"/>
      <c r="C694" s="138"/>
      <c r="D694" s="139"/>
      <c r="E694" s="139"/>
      <c r="F694" s="140"/>
      <c r="G694" s="147"/>
      <c r="H694" s="147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</row>
    <row r="695" spans="1:26" ht="18">
      <c r="A695" s="140"/>
      <c r="B695" s="137"/>
      <c r="C695" s="138"/>
      <c r="D695" s="139"/>
      <c r="E695" s="139"/>
      <c r="F695" s="140"/>
      <c r="G695" s="149"/>
      <c r="H695" s="149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</row>
    <row r="696" spans="1:26" ht="18">
      <c r="A696" s="140"/>
      <c r="B696" s="137"/>
      <c r="C696" s="138"/>
      <c r="D696" s="139"/>
      <c r="E696" s="139"/>
      <c r="F696" s="140"/>
      <c r="G696" s="147"/>
      <c r="H696" s="147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</row>
    <row r="697" spans="1:26" ht="18">
      <c r="A697" s="140"/>
      <c r="B697" s="137"/>
      <c r="C697" s="138"/>
      <c r="D697" s="139"/>
      <c r="E697" s="139"/>
      <c r="F697" s="140"/>
      <c r="G697" s="149"/>
      <c r="H697" s="149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</row>
    <row r="698" spans="1:26" ht="18">
      <c r="A698" s="140"/>
      <c r="B698" s="137"/>
      <c r="C698" s="138"/>
      <c r="D698" s="139"/>
      <c r="E698" s="139"/>
      <c r="F698" s="140"/>
      <c r="G698" s="147"/>
      <c r="H698" s="147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</row>
    <row r="699" spans="1:26" ht="18">
      <c r="A699" s="140"/>
      <c r="B699" s="137"/>
      <c r="C699" s="138"/>
      <c r="D699" s="139"/>
      <c r="E699" s="139"/>
      <c r="F699" s="140"/>
      <c r="G699" s="149"/>
      <c r="H699" s="149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</row>
    <row r="700" spans="1:26" ht="18">
      <c r="A700" s="140"/>
      <c r="B700" s="137"/>
      <c r="C700" s="138"/>
      <c r="D700" s="139"/>
      <c r="E700" s="139"/>
      <c r="F700" s="140"/>
      <c r="G700" s="147"/>
      <c r="H700" s="147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</row>
    <row r="701" spans="1:26" ht="18">
      <c r="A701" s="140"/>
      <c r="B701" s="137"/>
      <c r="C701" s="138"/>
      <c r="D701" s="139"/>
      <c r="E701" s="139"/>
      <c r="F701" s="140"/>
      <c r="G701" s="149"/>
      <c r="H701" s="149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</row>
    <row r="702" spans="1:26" ht="18">
      <c r="A702" s="140"/>
      <c r="B702" s="137"/>
      <c r="C702" s="138"/>
      <c r="D702" s="139"/>
      <c r="E702" s="139"/>
      <c r="F702" s="140"/>
      <c r="G702" s="147"/>
      <c r="H702" s="147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</row>
    <row r="703" spans="1:26" ht="18">
      <c r="A703" s="140"/>
      <c r="B703" s="137"/>
      <c r="C703" s="138"/>
      <c r="D703" s="139"/>
      <c r="E703" s="139"/>
      <c r="F703" s="140"/>
      <c r="G703" s="149"/>
      <c r="H703" s="149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</row>
    <row r="704" spans="1:26" ht="18">
      <c r="A704" s="140"/>
      <c r="B704" s="137"/>
      <c r="C704" s="138"/>
      <c r="D704" s="139"/>
      <c r="E704" s="139"/>
      <c r="F704" s="140"/>
      <c r="G704" s="147"/>
      <c r="H704" s="147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</row>
    <row r="705" spans="1:26" ht="18">
      <c r="A705" s="140"/>
      <c r="B705" s="137"/>
      <c r="C705" s="138"/>
      <c r="D705" s="139"/>
      <c r="E705" s="139"/>
      <c r="F705" s="140"/>
      <c r="G705" s="149"/>
      <c r="H705" s="149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</row>
    <row r="706" spans="1:26" ht="18">
      <c r="A706" s="140"/>
      <c r="B706" s="137"/>
      <c r="C706" s="138"/>
      <c r="D706" s="139"/>
      <c r="E706" s="139"/>
      <c r="F706" s="140"/>
      <c r="G706" s="147"/>
      <c r="H706" s="147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</row>
    <row r="707" spans="1:26" ht="18">
      <c r="A707" s="140"/>
      <c r="B707" s="137"/>
      <c r="C707" s="138"/>
      <c r="D707" s="139"/>
      <c r="E707" s="139"/>
      <c r="F707" s="140"/>
      <c r="G707" s="149"/>
      <c r="H707" s="149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</row>
    <row r="708" spans="1:26" ht="18">
      <c r="A708" s="140"/>
      <c r="B708" s="137"/>
      <c r="C708" s="138"/>
      <c r="D708" s="139"/>
      <c r="E708" s="139"/>
      <c r="F708" s="140"/>
      <c r="G708" s="147"/>
      <c r="H708" s="147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</row>
    <row r="709" spans="1:26" ht="18">
      <c r="A709" s="140"/>
      <c r="B709" s="137"/>
      <c r="C709" s="138"/>
      <c r="D709" s="139"/>
      <c r="E709" s="139"/>
      <c r="F709" s="140"/>
      <c r="G709" s="149"/>
      <c r="H709" s="149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</row>
    <row r="710" spans="1:26" ht="18">
      <c r="A710" s="140"/>
      <c r="B710" s="137"/>
      <c r="C710" s="138"/>
      <c r="D710" s="139"/>
      <c r="E710" s="139"/>
      <c r="F710" s="140"/>
      <c r="G710" s="147"/>
      <c r="H710" s="147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</row>
    <row r="711" spans="1:26" ht="18">
      <c r="A711" s="140"/>
      <c r="B711" s="137"/>
      <c r="C711" s="138"/>
      <c r="D711" s="139"/>
      <c r="E711" s="139"/>
      <c r="F711" s="140"/>
      <c r="G711" s="149"/>
      <c r="H711" s="149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</row>
    <row r="712" spans="1:26" ht="18">
      <c r="A712" s="140"/>
      <c r="B712" s="137"/>
      <c r="C712" s="138"/>
      <c r="D712" s="139"/>
      <c r="E712" s="139"/>
      <c r="F712" s="140"/>
      <c r="G712" s="147"/>
      <c r="H712" s="147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</row>
    <row r="713" spans="1:26" ht="18">
      <c r="A713" s="140"/>
      <c r="B713" s="137"/>
      <c r="C713" s="138"/>
      <c r="D713" s="139"/>
      <c r="E713" s="139"/>
      <c r="F713" s="140"/>
      <c r="G713" s="149"/>
      <c r="H713" s="149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</row>
    <row r="714" spans="1:26" ht="18">
      <c r="A714" s="140"/>
      <c r="B714" s="137"/>
      <c r="C714" s="138"/>
      <c r="D714" s="139"/>
      <c r="E714" s="139"/>
      <c r="F714" s="140"/>
      <c r="G714" s="147"/>
      <c r="H714" s="147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</row>
    <row r="715" spans="1:26" ht="18">
      <c r="A715" s="140"/>
      <c r="B715" s="137"/>
      <c r="C715" s="138"/>
      <c r="D715" s="139"/>
      <c r="E715" s="139"/>
      <c r="F715" s="140"/>
      <c r="G715" s="149"/>
      <c r="H715" s="149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</row>
    <row r="716" spans="1:26" ht="18">
      <c r="A716" s="140"/>
      <c r="B716" s="137"/>
      <c r="C716" s="138"/>
      <c r="D716" s="139"/>
      <c r="E716" s="139"/>
      <c r="F716" s="140"/>
      <c r="G716" s="147"/>
      <c r="H716" s="147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</row>
    <row r="717" spans="1:26" ht="18">
      <c r="A717" s="140"/>
      <c r="B717" s="137"/>
      <c r="C717" s="138"/>
      <c r="D717" s="139"/>
      <c r="E717" s="139"/>
      <c r="F717" s="140"/>
      <c r="G717" s="149"/>
      <c r="H717" s="149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</row>
    <row r="718" spans="1:26" ht="18">
      <c r="A718" s="140"/>
      <c r="B718" s="137"/>
      <c r="C718" s="138"/>
      <c r="D718" s="139"/>
      <c r="E718" s="139"/>
      <c r="F718" s="140"/>
      <c r="G718" s="147"/>
      <c r="H718" s="147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</row>
    <row r="719" spans="1:26" ht="18">
      <c r="A719" s="140"/>
      <c r="B719" s="137"/>
      <c r="C719" s="138"/>
      <c r="D719" s="139"/>
      <c r="E719" s="139"/>
      <c r="F719" s="140"/>
      <c r="G719" s="149"/>
      <c r="H719" s="149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</row>
    <row r="720" spans="1:26" ht="18">
      <c r="A720" s="140"/>
      <c r="B720" s="137"/>
      <c r="C720" s="138"/>
      <c r="D720" s="139"/>
      <c r="E720" s="139"/>
      <c r="F720" s="140"/>
      <c r="G720" s="147"/>
      <c r="H720" s="147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</row>
    <row r="721" spans="1:26" ht="18">
      <c r="A721" s="140"/>
      <c r="B721" s="137"/>
      <c r="C721" s="138"/>
      <c r="D721" s="139"/>
      <c r="E721" s="139"/>
      <c r="F721" s="140"/>
      <c r="G721" s="149"/>
      <c r="H721" s="149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</row>
    <row r="722" spans="1:26" ht="18">
      <c r="A722" s="140"/>
      <c r="B722" s="137"/>
      <c r="C722" s="138"/>
      <c r="D722" s="139"/>
      <c r="E722" s="139"/>
      <c r="F722" s="140"/>
      <c r="G722" s="147"/>
      <c r="H722" s="147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</row>
    <row r="723" spans="1:26" ht="18">
      <c r="A723" s="140"/>
      <c r="B723" s="137"/>
      <c r="C723" s="138"/>
      <c r="D723" s="139"/>
      <c r="E723" s="139"/>
      <c r="F723" s="140"/>
      <c r="G723" s="149"/>
      <c r="H723" s="149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</row>
    <row r="724" spans="1:26" ht="18">
      <c r="A724" s="140"/>
      <c r="B724" s="137"/>
      <c r="C724" s="138"/>
      <c r="D724" s="139"/>
      <c r="E724" s="139"/>
      <c r="F724" s="140"/>
      <c r="G724" s="147"/>
      <c r="H724" s="147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</row>
    <row r="725" spans="1:26" ht="18">
      <c r="A725" s="140"/>
      <c r="B725" s="137"/>
      <c r="C725" s="138"/>
      <c r="D725" s="139"/>
      <c r="E725" s="139"/>
      <c r="F725" s="140"/>
      <c r="G725" s="149"/>
      <c r="H725" s="149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</row>
    <row r="726" spans="1:26" ht="18">
      <c r="A726" s="140"/>
      <c r="B726" s="137"/>
      <c r="C726" s="138"/>
      <c r="D726" s="139"/>
      <c r="E726" s="139"/>
      <c r="F726" s="140"/>
      <c r="G726" s="147"/>
      <c r="H726" s="147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</row>
    <row r="727" spans="1:26" ht="18">
      <c r="A727" s="140"/>
      <c r="B727" s="137"/>
      <c r="C727" s="138"/>
      <c r="D727" s="139"/>
      <c r="E727" s="139"/>
      <c r="F727" s="140"/>
      <c r="G727" s="149"/>
      <c r="H727" s="149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</row>
    <row r="728" spans="1:26" ht="18">
      <c r="A728" s="140"/>
      <c r="B728" s="137"/>
      <c r="C728" s="138"/>
      <c r="D728" s="139"/>
      <c r="E728" s="139"/>
      <c r="F728" s="140"/>
      <c r="G728" s="147"/>
      <c r="H728" s="147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</row>
    <row r="729" spans="1:26" ht="18">
      <c r="A729" s="140"/>
      <c r="B729" s="137"/>
      <c r="C729" s="138"/>
      <c r="D729" s="139"/>
      <c r="E729" s="139"/>
      <c r="F729" s="140"/>
      <c r="G729" s="149"/>
      <c r="H729" s="149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</row>
    <row r="730" spans="1:26" ht="18">
      <c r="A730" s="140"/>
      <c r="B730" s="137"/>
      <c r="C730" s="138"/>
      <c r="D730" s="139"/>
      <c r="E730" s="139"/>
      <c r="F730" s="140"/>
      <c r="G730" s="147"/>
      <c r="H730" s="147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</row>
    <row r="731" spans="1:26" ht="18">
      <c r="A731" s="140"/>
      <c r="B731" s="137"/>
      <c r="C731" s="138"/>
      <c r="D731" s="139"/>
      <c r="E731" s="139"/>
      <c r="F731" s="140"/>
      <c r="G731" s="149"/>
      <c r="H731" s="149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</row>
    <row r="732" spans="1:26" ht="18">
      <c r="A732" s="140"/>
      <c r="B732" s="137"/>
      <c r="C732" s="138"/>
      <c r="D732" s="139"/>
      <c r="E732" s="139"/>
      <c r="F732" s="140"/>
      <c r="G732" s="147"/>
      <c r="H732" s="147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</row>
    <row r="733" spans="1:26" ht="18">
      <c r="A733" s="140"/>
      <c r="B733" s="137"/>
      <c r="C733" s="138"/>
      <c r="D733" s="139"/>
      <c r="E733" s="139"/>
      <c r="F733" s="140"/>
      <c r="G733" s="149"/>
      <c r="H733" s="149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</row>
    <row r="734" spans="1:26" ht="18">
      <c r="A734" s="140"/>
      <c r="B734" s="137"/>
      <c r="C734" s="138"/>
      <c r="D734" s="139"/>
      <c r="E734" s="139"/>
      <c r="F734" s="140"/>
      <c r="G734" s="147"/>
      <c r="H734" s="147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</row>
    <row r="735" spans="1:26" ht="18">
      <c r="A735" s="140"/>
      <c r="B735" s="137"/>
      <c r="C735" s="138"/>
      <c r="D735" s="139"/>
      <c r="E735" s="139"/>
      <c r="F735" s="140"/>
      <c r="G735" s="149"/>
      <c r="H735" s="149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</row>
    <row r="736" spans="1:26" ht="18">
      <c r="A736" s="140"/>
      <c r="B736" s="137"/>
      <c r="C736" s="138"/>
      <c r="D736" s="139"/>
      <c r="E736" s="139"/>
      <c r="F736" s="140"/>
      <c r="G736" s="147"/>
      <c r="H736" s="147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</row>
    <row r="737" spans="1:26" ht="18">
      <c r="A737" s="140"/>
      <c r="B737" s="137"/>
      <c r="C737" s="138"/>
      <c r="D737" s="139"/>
      <c r="E737" s="139"/>
      <c r="F737" s="140"/>
      <c r="G737" s="149"/>
      <c r="H737" s="149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</row>
    <row r="738" spans="1:26" ht="18">
      <c r="A738" s="140"/>
      <c r="B738" s="137"/>
      <c r="C738" s="138"/>
      <c r="D738" s="139"/>
      <c r="E738" s="139"/>
      <c r="F738" s="140"/>
      <c r="G738" s="147"/>
      <c r="H738" s="147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</row>
    <row r="739" spans="1:26" ht="18">
      <c r="A739" s="140"/>
      <c r="B739" s="137"/>
      <c r="C739" s="138"/>
      <c r="D739" s="139"/>
      <c r="E739" s="139"/>
      <c r="F739" s="140"/>
      <c r="G739" s="149"/>
      <c r="H739" s="149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</row>
    <row r="740" spans="1:26" ht="18">
      <c r="A740" s="140"/>
      <c r="B740" s="137"/>
      <c r="C740" s="138"/>
      <c r="D740" s="139"/>
      <c r="E740" s="139"/>
      <c r="F740" s="140"/>
      <c r="G740" s="147"/>
      <c r="H740" s="147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</row>
    <row r="741" spans="1:26" ht="18">
      <c r="A741" s="140"/>
      <c r="B741" s="137"/>
      <c r="C741" s="138"/>
      <c r="D741" s="139"/>
      <c r="E741" s="139"/>
      <c r="F741" s="140"/>
      <c r="G741" s="149"/>
      <c r="H741" s="149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</row>
    <row r="742" spans="1:26" ht="18">
      <c r="A742" s="140"/>
      <c r="B742" s="137"/>
      <c r="C742" s="138"/>
      <c r="D742" s="139"/>
      <c r="E742" s="139"/>
      <c r="F742" s="140"/>
      <c r="G742" s="147"/>
      <c r="H742" s="147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</row>
    <row r="743" spans="1:26" ht="18">
      <c r="A743" s="140"/>
      <c r="B743" s="137"/>
      <c r="C743" s="138"/>
      <c r="D743" s="139"/>
      <c r="E743" s="139"/>
      <c r="F743" s="140"/>
      <c r="G743" s="149"/>
      <c r="H743" s="149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</row>
    <row r="744" spans="1:26" ht="18">
      <c r="A744" s="140"/>
      <c r="B744" s="137"/>
      <c r="C744" s="138"/>
      <c r="D744" s="139"/>
      <c r="E744" s="139"/>
      <c r="F744" s="140"/>
      <c r="G744" s="147"/>
      <c r="H744" s="147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</row>
    <row r="745" spans="1:26" ht="18">
      <c r="A745" s="140"/>
      <c r="B745" s="137"/>
      <c r="C745" s="138"/>
      <c r="D745" s="139"/>
      <c r="E745" s="139"/>
      <c r="F745" s="140"/>
      <c r="G745" s="149"/>
      <c r="H745" s="149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</row>
    <row r="746" spans="1:26" ht="18">
      <c r="A746" s="140"/>
      <c r="B746" s="137"/>
      <c r="C746" s="138"/>
      <c r="D746" s="139"/>
      <c r="E746" s="139"/>
      <c r="F746" s="140"/>
      <c r="G746" s="147"/>
      <c r="H746" s="147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</row>
    <row r="747" spans="1:26" ht="18">
      <c r="A747" s="140"/>
      <c r="B747" s="137"/>
      <c r="C747" s="138"/>
      <c r="D747" s="139"/>
      <c r="E747" s="139"/>
      <c r="F747" s="140"/>
      <c r="G747" s="149"/>
      <c r="H747" s="149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</row>
    <row r="748" spans="1:26" ht="18">
      <c r="A748" s="140"/>
      <c r="B748" s="137"/>
      <c r="C748" s="138"/>
      <c r="D748" s="139"/>
      <c r="E748" s="139"/>
      <c r="F748" s="140"/>
      <c r="G748" s="147"/>
      <c r="H748" s="147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</row>
    <row r="749" spans="1:26" ht="18">
      <c r="A749" s="140"/>
      <c r="B749" s="137"/>
      <c r="C749" s="138"/>
      <c r="D749" s="139"/>
      <c r="E749" s="139"/>
      <c r="F749" s="140"/>
      <c r="G749" s="149"/>
      <c r="H749" s="149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</row>
    <row r="750" spans="1:26" ht="18">
      <c r="A750" s="140"/>
      <c r="B750" s="137"/>
      <c r="C750" s="138"/>
      <c r="D750" s="139"/>
      <c r="E750" s="139"/>
      <c r="F750" s="140"/>
      <c r="G750" s="147"/>
      <c r="H750" s="147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</row>
    <row r="751" spans="1:26" ht="18">
      <c r="A751" s="140"/>
      <c r="B751" s="137"/>
      <c r="C751" s="138"/>
      <c r="D751" s="139"/>
      <c r="E751" s="139"/>
      <c r="F751" s="140"/>
      <c r="G751" s="149"/>
      <c r="H751" s="149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</row>
    <row r="752" spans="1:26" ht="18">
      <c r="A752" s="140"/>
      <c r="B752" s="137"/>
      <c r="C752" s="138"/>
      <c r="D752" s="139"/>
      <c r="E752" s="139"/>
      <c r="F752" s="140"/>
      <c r="G752" s="147"/>
      <c r="H752" s="147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</row>
    <row r="753" spans="1:26" ht="18">
      <c r="A753" s="140"/>
      <c r="B753" s="137"/>
      <c r="C753" s="138"/>
      <c r="D753" s="139"/>
      <c r="E753" s="139"/>
      <c r="F753" s="140"/>
      <c r="G753" s="149"/>
      <c r="H753" s="149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</row>
    <row r="754" spans="1:26" ht="18">
      <c r="A754" s="140"/>
      <c r="B754" s="137"/>
      <c r="C754" s="138"/>
      <c r="D754" s="139"/>
      <c r="E754" s="139"/>
      <c r="F754" s="140"/>
      <c r="G754" s="147"/>
      <c r="H754" s="147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</row>
    <row r="755" spans="1:26" ht="18">
      <c r="A755" s="140"/>
      <c r="B755" s="137"/>
      <c r="C755" s="138"/>
      <c r="D755" s="139"/>
      <c r="E755" s="139"/>
      <c r="F755" s="140"/>
      <c r="G755" s="149"/>
      <c r="H755" s="149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</row>
    <row r="756" spans="1:26" ht="18">
      <c r="A756" s="140"/>
      <c r="B756" s="137"/>
      <c r="C756" s="138"/>
      <c r="D756" s="139"/>
      <c r="E756" s="139"/>
      <c r="F756" s="140"/>
      <c r="G756" s="147"/>
      <c r="H756" s="147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</row>
    <row r="757" spans="1:26" ht="18">
      <c r="A757" s="140"/>
      <c r="B757" s="137"/>
      <c r="C757" s="138"/>
      <c r="D757" s="139"/>
      <c r="E757" s="139"/>
      <c r="F757" s="140"/>
      <c r="G757" s="149"/>
      <c r="H757" s="149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</row>
    <row r="758" spans="1:26" ht="18">
      <c r="A758" s="140"/>
      <c r="B758" s="137"/>
      <c r="C758" s="138"/>
      <c r="D758" s="139"/>
      <c r="E758" s="139"/>
      <c r="F758" s="140"/>
      <c r="G758" s="147"/>
      <c r="H758" s="147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</row>
    <row r="759" spans="1:26" ht="18">
      <c r="A759" s="140"/>
      <c r="B759" s="137"/>
      <c r="C759" s="138"/>
      <c r="D759" s="139"/>
      <c r="E759" s="139"/>
      <c r="F759" s="140"/>
      <c r="G759" s="149"/>
      <c r="H759" s="149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</row>
    <row r="760" spans="1:26" ht="18">
      <c r="A760" s="140"/>
      <c r="B760" s="137"/>
      <c r="C760" s="138"/>
      <c r="D760" s="139"/>
      <c r="E760" s="139"/>
      <c r="F760" s="140"/>
      <c r="G760" s="147"/>
      <c r="H760" s="147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</row>
    <row r="761" spans="1:26" ht="18">
      <c r="A761" s="140"/>
      <c r="B761" s="137"/>
      <c r="C761" s="138"/>
      <c r="D761" s="139"/>
      <c r="E761" s="139"/>
      <c r="F761" s="140"/>
      <c r="G761" s="149"/>
      <c r="H761" s="149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</row>
    <row r="762" spans="1:26" ht="18">
      <c r="A762" s="140"/>
      <c r="B762" s="137"/>
      <c r="C762" s="138"/>
      <c r="D762" s="139"/>
      <c r="E762" s="139"/>
      <c r="F762" s="140"/>
      <c r="G762" s="147"/>
      <c r="H762" s="147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</row>
    <row r="763" spans="1:26" ht="18">
      <c r="A763" s="140"/>
      <c r="B763" s="137"/>
      <c r="C763" s="138"/>
      <c r="D763" s="139"/>
      <c r="E763" s="139"/>
      <c r="F763" s="140"/>
      <c r="G763" s="149"/>
      <c r="H763" s="149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</row>
    <row r="764" spans="1:26" ht="18">
      <c r="A764" s="140"/>
      <c r="B764" s="137"/>
      <c r="C764" s="138"/>
      <c r="D764" s="139"/>
      <c r="E764" s="139"/>
      <c r="F764" s="140"/>
      <c r="G764" s="147"/>
      <c r="H764" s="147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</row>
    <row r="765" spans="1:26" ht="18">
      <c r="A765" s="140"/>
      <c r="B765" s="137"/>
      <c r="C765" s="138"/>
      <c r="D765" s="139"/>
      <c r="E765" s="139"/>
      <c r="F765" s="140"/>
      <c r="G765" s="149"/>
      <c r="H765" s="149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</row>
    <row r="766" spans="1:26" ht="18">
      <c r="A766" s="140"/>
      <c r="B766" s="137"/>
      <c r="C766" s="138"/>
      <c r="D766" s="139"/>
      <c r="E766" s="139"/>
      <c r="F766" s="140"/>
      <c r="G766" s="147"/>
      <c r="H766" s="147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</row>
    <row r="767" spans="1:26" ht="18">
      <c r="A767" s="140"/>
      <c r="B767" s="137"/>
      <c r="C767" s="138"/>
      <c r="D767" s="139"/>
      <c r="E767" s="139"/>
      <c r="F767" s="140"/>
      <c r="G767" s="149"/>
      <c r="H767" s="149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</row>
    <row r="768" spans="1:26" ht="18">
      <c r="A768" s="140"/>
      <c r="B768" s="137"/>
      <c r="C768" s="138"/>
      <c r="D768" s="139"/>
      <c r="E768" s="139"/>
      <c r="F768" s="140"/>
      <c r="G768" s="147"/>
      <c r="H768" s="147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</row>
    <row r="769" spans="1:26" ht="18">
      <c r="A769" s="140"/>
      <c r="B769" s="137"/>
      <c r="C769" s="138"/>
      <c r="D769" s="139"/>
      <c r="E769" s="139"/>
      <c r="F769" s="140"/>
      <c r="G769" s="149"/>
      <c r="H769" s="149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</row>
    <row r="770" spans="1:26" ht="18">
      <c r="A770" s="140"/>
      <c r="B770" s="137"/>
      <c r="C770" s="138"/>
      <c r="D770" s="139"/>
      <c r="E770" s="139"/>
      <c r="F770" s="140"/>
      <c r="G770" s="147"/>
      <c r="H770" s="147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</row>
    <row r="771" spans="1:26" ht="18">
      <c r="A771" s="140"/>
      <c r="B771" s="137"/>
      <c r="C771" s="138"/>
      <c r="D771" s="139"/>
      <c r="E771" s="139"/>
      <c r="F771" s="140"/>
      <c r="G771" s="149"/>
      <c r="H771" s="149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</row>
    <row r="772" spans="1:26" ht="18">
      <c r="A772" s="140"/>
      <c r="B772" s="137"/>
      <c r="C772" s="138"/>
      <c r="D772" s="139"/>
      <c r="E772" s="139"/>
      <c r="F772" s="140"/>
      <c r="G772" s="147"/>
      <c r="H772" s="147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</row>
    <row r="773" spans="1:26" ht="18">
      <c r="A773" s="140"/>
      <c r="B773" s="137"/>
      <c r="C773" s="138"/>
      <c r="D773" s="139"/>
      <c r="E773" s="139"/>
      <c r="F773" s="140"/>
      <c r="G773" s="149"/>
      <c r="H773" s="149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</row>
    <row r="774" spans="1:26" ht="18">
      <c r="A774" s="140"/>
      <c r="B774" s="137"/>
      <c r="C774" s="138"/>
      <c r="D774" s="139"/>
      <c r="E774" s="139"/>
      <c r="F774" s="140"/>
      <c r="G774" s="147"/>
      <c r="H774" s="147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</row>
    <row r="775" spans="1:26" ht="18">
      <c r="A775" s="140"/>
      <c r="B775" s="137"/>
      <c r="C775" s="138"/>
      <c r="D775" s="139"/>
      <c r="E775" s="139"/>
      <c r="F775" s="140"/>
      <c r="G775" s="149"/>
      <c r="H775" s="149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</row>
    <row r="776" spans="1:26" ht="18">
      <c r="A776" s="140"/>
      <c r="B776" s="137"/>
      <c r="C776" s="138"/>
      <c r="D776" s="139"/>
      <c r="E776" s="139"/>
      <c r="F776" s="140"/>
      <c r="G776" s="147"/>
      <c r="H776" s="147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</row>
    <row r="777" spans="1:26" ht="18">
      <c r="A777" s="140"/>
      <c r="B777" s="137"/>
      <c r="C777" s="138"/>
      <c r="D777" s="139"/>
      <c r="E777" s="139"/>
      <c r="F777" s="140"/>
      <c r="G777" s="149"/>
      <c r="H777" s="149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</row>
    <row r="778" spans="1:26" ht="18">
      <c r="A778" s="140"/>
      <c r="B778" s="137"/>
      <c r="C778" s="138"/>
      <c r="D778" s="139"/>
      <c r="E778" s="139"/>
      <c r="F778" s="140"/>
      <c r="G778" s="147"/>
      <c r="H778" s="147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</row>
    <row r="779" spans="1:26" ht="18">
      <c r="A779" s="140"/>
      <c r="B779" s="137"/>
      <c r="C779" s="138"/>
      <c r="D779" s="139"/>
      <c r="E779" s="139"/>
      <c r="F779" s="140"/>
      <c r="G779" s="149"/>
      <c r="H779" s="149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</row>
    <row r="780" spans="1:26" ht="18">
      <c r="A780" s="140"/>
      <c r="B780" s="137"/>
      <c r="C780" s="138"/>
      <c r="D780" s="139"/>
      <c r="E780" s="139"/>
      <c r="F780" s="140"/>
      <c r="G780" s="147"/>
      <c r="H780" s="147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</row>
    <row r="781" spans="1:26" ht="18">
      <c r="A781" s="140"/>
      <c r="B781" s="137"/>
      <c r="C781" s="138"/>
      <c r="D781" s="139"/>
      <c r="E781" s="139"/>
      <c r="F781" s="140"/>
      <c r="G781" s="149"/>
      <c r="H781" s="149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</row>
    <row r="782" spans="1:26" ht="18">
      <c r="A782" s="140"/>
      <c r="B782" s="137"/>
      <c r="C782" s="138"/>
      <c r="D782" s="139"/>
      <c r="E782" s="139"/>
      <c r="F782" s="140"/>
      <c r="G782" s="147"/>
      <c r="H782" s="147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</row>
    <row r="783" spans="1:26" ht="18">
      <c r="A783" s="140"/>
      <c r="B783" s="137"/>
      <c r="C783" s="138"/>
      <c r="D783" s="139"/>
      <c r="E783" s="139"/>
      <c r="F783" s="140"/>
      <c r="G783" s="149"/>
      <c r="H783" s="149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</row>
    <row r="784" spans="1:26" ht="18">
      <c r="A784" s="140"/>
      <c r="B784" s="137"/>
      <c r="C784" s="138"/>
      <c r="D784" s="139"/>
      <c r="E784" s="139"/>
      <c r="F784" s="140"/>
      <c r="G784" s="147"/>
      <c r="H784" s="147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</row>
    <row r="785" spans="1:26" ht="18">
      <c r="A785" s="140"/>
      <c r="B785" s="137"/>
      <c r="C785" s="138"/>
      <c r="D785" s="139"/>
      <c r="E785" s="139"/>
      <c r="F785" s="140"/>
      <c r="G785" s="149"/>
      <c r="H785" s="149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</row>
    <row r="786" spans="1:26" ht="18">
      <c r="A786" s="140"/>
      <c r="B786" s="137"/>
      <c r="C786" s="138"/>
      <c r="D786" s="139"/>
      <c r="E786" s="139"/>
      <c r="F786" s="140"/>
      <c r="G786" s="147"/>
      <c r="H786" s="147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</row>
    <row r="787" spans="1:26" ht="18">
      <c r="A787" s="140"/>
      <c r="B787" s="137"/>
      <c r="C787" s="138"/>
      <c r="D787" s="139"/>
      <c r="E787" s="139"/>
      <c r="F787" s="140"/>
      <c r="G787" s="149"/>
      <c r="H787" s="149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</row>
    <row r="788" spans="1:26" ht="18">
      <c r="A788" s="140"/>
      <c r="B788" s="137"/>
      <c r="C788" s="138"/>
      <c r="D788" s="139"/>
      <c r="E788" s="139"/>
      <c r="F788" s="140"/>
      <c r="G788" s="147"/>
      <c r="H788" s="147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</row>
    <row r="789" spans="1:26" ht="18">
      <c r="A789" s="140"/>
      <c r="B789" s="137"/>
      <c r="C789" s="138"/>
      <c r="D789" s="139"/>
      <c r="E789" s="139"/>
      <c r="F789" s="140"/>
      <c r="G789" s="149"/>
      <c r="H789" s="149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</row>
    <row r="790" spans="1:26" ht="18">
      <c r="A790" s="140"/>
      <c r="B790" s="137"/>
      <c r="C790" s="138"/>
      <c r="D790" s="139"/>
      <c r="E790" s="139"/>
      <c r="F790" s="140"/>
      <c r="G790" s="147"/>
      <c r="H790" s="147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</row>
    <row r="791" spans="1:26" ht="18">
      <c r="A791" s="140"/>
      <c r="B791" s="137"/>
      <c r="C791" s="138"/>
      <c r="D791" s="139"/>
      <c r="E791" s="139"/>
      <c r="F791" s="140"/>
      <c r="G791" s="149"/>
      <c r="H791" s="149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</row>
    <row r="792" spans="1:26" ht="18">
      <c r="A792" s="140"/>
      <c r="B792" s="137"/>
      <c r="C792" s="138"/>
      <c r="D792" s="139"/>
      <c r="E792" s="139"/>
      <c r="F792" s="140"/>
      <c r="G792" s="147"/>
      <c r="H792" s="147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</row>
    <row r="793" spans="1:26" ht="18">
      <c r="A793" s="140"/>
      <c r="B793" s="137"/>
      <c r="C793" s="138"/>
      <c r="D793" s="139"/>
      <c r="E793" s="139"/>
      <c r="F793" s="140"/>
      <c r="G793" s="149"/>
      <c r="H793" s="149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</row>
    <row r="794" spans="1:26" ht="18">
      <c r="A794" s="140"/>
      <c r="B794" s="137"/>
      <c r="C794" s="138"/>
      <c r="D794" s="139"/>
      <c r="E794" s="139"/>
      <c r="F794" s="140"/>
      <c r="G794" s="147"/>
      <c r="H794" s="147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</row>
    <row r="795" spans="1:26" ht="18">
      <c r="A795" s="140"/>
      <c r="B795" s="137"/>
      <c r="C795" s="138"/>
      <c r="D795" s="139"/>
      <c r="E795" s="139"/>
      <c r="F795" s="140"/>
      <c r="G795" s="149"/>
      <c r="H795" s="149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</row>
    <row r="796" spans="1:26" ht="18">
      <c r="A796" s="140"/>
      <c r="B796" s="137"/>
      <c r="C796" s="138"/>
      <c r="D796" s="139"/>
      <c r="E796" s="139"/>
      <c r="F796" s="140"/>
      <c r="G796" s="147"/>
      <c r="H796" s="147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</row>
    <row r="797" spans="1:26" ht="18">
      <c r="A797" s="140"/>
      <c r="B797" s="137"/>
      <c r="C797" s="138"/>
      <c r="D797" s="139"/>
      <c r="E797" s="139"/>
      <c r="F797" s="140"/>
      <c r="G797" s="149"/>
      <c r="H797" s="149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</row>
    <row r="798" spans="1:26" ht="18">
      <c r="A798" s="140"/>
      <c r="B798" s="137"/>
      <c r="C798" s="138"/>
      <c r="D798" s="139"/>
      <c r="E798" s="139"/>
      <c r="F798" s="140"/>
      <c r="G798" s="147"/>
      <c r="H798" s="147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</row>
    <row r="799" spans="1:26" ht="18">
      <c r="A799" s="140"/>
      <c r="B799" s="137"/>
      <c r="C799" s="138"/>
      <c r="D799" s="139"/>
      <c r="E799" s="139"/>
      <c r="F799" s="140"/>
      <c r="G799" s="149"/>
      <c r="H799" s="149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</row>
    <row r="800" spans="1:26" ht="18">
      <c r="A800" s="140"/>
      <c r="B800" s="137"/>
      <c r="C800" s="138"/>
      <c r="D800" s="139"/>
      <c r="E800" s="139"/>
      <c r="F800" s="140"/>
      <c r="G800" s="147"/>
      <c r="H800" s="147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</row>
    <row r="801" spans="1:26" ht="18">
      <c r="A801" s="140"/>
      <c r="B801" s="137"/>
      <c r="C801" s="138"/>
      <c r="D801" s="139"/>
      <c r="E801" s="139"/>
      <c r="F801" s="140"/>
      <c r="G801" s="149"/>
      <c r="H801" s="149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</row>
    <row r="802" spans="1:26" ht="18">
      <c r="A802" s="140"/>
      <c r="B802" s="137"/>
      <c r="C802" s="138"/>
      <c r="D802" s="139"/>
      <c r="E802" s="139"/>
      <c r="F802" s="140"/>
      <c r="G802" s="147"/>
      <c r="H802" s="147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</row>
    <row r="803" spans="1:26" ht="18">
      <c r="A803" s="140"/>
      <c r="B803" s="137"/>
      <c r="C803" s="138"/>
      <c r="D803" s="139"/>
      <c r="E803" s="139"/>
      <c r="F803" s="140"/>
      <c r="G803" s="149"/>
      <c r="H803" s="149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</row>
    <row r="804" spans="1:26" ht="18">
      <c r="A804" s="140"/>
      <c r="B804" s="137"/>
      <c r="C804" s="138"/>
      <c r="D804" s="139"/>
      <c r="E804" s="139"/>
      <c r="F804" s="140"/>
      <c r="G804" s="147"/>
      <c r="H804" s="147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</row>
    <row r="805" spans="1:26" ht="18">
      <c r="A805" s="140"/>
      <c r="B805" s="137"/>
      <c r="C805" s="138"/>
      <c r="D805" s="139"/>
      <c r="E805" s="139"/>
      <c r="F805" s="140"/>
      <c r="G805" s="149"/>
      <c r="H805" s="149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</row>
    <row r="806" spans="1:26" ht="18">
      <c r="A806" s="140"/>
      <c r="B806" s="137"/>
      <c r="C806" s="138"/>
      <c r="D806" s="139"/>
      <c r="E806" s="139"/>
      <c r="F806" s="140"/>
      <c r="G806" s="147"/>
      <c r="H806" s="147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</row>
    <row r="807" spans="1:26" ht="18">
      <c r="A807" s="140"/>
      <c r="B807" s="137"/>
      <c r="C807" s="138"/>
      <c r="D807" s="139"/>
      <c r="E807" s="139"/>
      <c r="F807" s="140"/>
      <c r="G807" s="149"/>
      <c r="H807" s="149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</row>
    <row r="808" spans="1:26" ht="18">
      <c r="A808" s="140"/>
      <c r="B808" s="137"/>
      <c r="C808" s="138"/>
      <c r="D808" s="139"/>
      <c r="E808" s="139"/>
      <c r="F808" s="140"/>
      <c r="G808" s="147"/>
      <c r="H808" s="147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</row>
    <row r="809" spans="1:26" ht="18">
      <c r="A809" s="140"/>
      <c r="B809" s="137"/>
      <c r="C809" s="138"/>
      <c r="D809" s="139"/>
      <c r="E809" s="139"/>
      <c r="F809" s="140"/>
      <c r="G809" s="149"/>
      <c r="H809" s="149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</row>
    <row r="810" spans="1:26" ht="18">
      <c r="A810" s="140"/>
      <c r="B810" s="137"/>
      <c r="C810" s="138"/>
      <c r="D810" s="139"/>
      <c r="E810" s="139"/>
      <c r="F810" s="140"/>
      <c r="G810" s="147"/>
      <c r="H810" s="147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</row>
    <row r="811" spans="1:26" ht="18">
      <c r="A811" s="140"/>
      <c r="B811" s="137"/>
      <c r="C811" s="138"/>
      <c r="D811" s="139"/>
      <c r="E811" s="139"/>
      <c r="F811" s="140"/>
      <c r="G811" s="149"/>
      <c r="H811" s="149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</row>
    <row r="812" spans="1:26" ht="18">
      <c r="A812" s="140"/>
      <c r="B812" s="137"/>
      <c r="C812" s="138"/>
      <c r="D812" s="139"/>
      <c r="E812" s="139"/>
      <c r="F812" s="140"/>
      <c r="G812" s="147"/>
      <c r="H812" s="147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</row>
    <row r="813" spans="1:26" ht="18">
      <c r="A813" s="140"/>
      <c r="B813" s="137"/>
      <c r="C813" s="138"/>
      <c r="D813" s="139"/>
      <c r="E813" s="139"/>
      <c r="F813" s="140"/>
      <c r="G813" s="149"/>
      <c r="H813" s="149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</row>
    <row r="814" spans="1:26" ht="18">
      <c r="A814" s="140"/>
      <c r="B814" s="137"/>
      <c r="C814" s="138"/>
      <c r="D814" s="139"/>
      <c r="E814" s="139"/>
      <c r="F814" s="140"/>
      <c r="G814" s="147"/>
      <c r="H814" s="147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</row>
    <row r="815" spans="1:26" ht="18">
      <c r="A815" s="140"/>
      <c r="B815" s="137"/>
      <c r="C815" s="138"/>
      <c r="D815" s="139"/>
      <c r="E815" s="139"/>
      <c r="F815" s="140"/>
      <c r="G815" s="149"/>
      <c r="H815" s="149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</row>
    <row r="816" spans="1:26" ht="18">
      <c r="A816" s="140"/>
      <c r="B816" s="137"/>
      <c r="C816" s="138"/>
      <c r="D816" s="139"/>
      <c r="E816" s="139"/>
      <c r="F816" s="140"/>
      <c r="G816" s="147"/>
      <c r="H816" s="147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</row>
    <row r="817" spans="1:26" ht="18">
      <c r="A817" s="140"/>
      <c r="B817" s="137"/>
      <c r="C817" s="138"/>
      <c r="D817" s="139"/>
      <c r="E817" s="139"/>
      <c r="F817" s="140"/>
      <c r="G817" s="149"/>
      <c r="H817" s="149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</row>
    <row r="818" spans="1:26" ht="18">
      <c r="A818" s="140"/>
      <c r="B818" s="137"/>
      <c r="C818" s="138"/>
      <c r="D818" s="139"/>
      <c r="E818" s="139"/>
      <c r="F818" s="140"/>
      <c r="G818" s="147"/>
      <c r="H818" s="147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</row>
    <row r="819" spans="1:26" ht="18">
      <c r="A819" s="140"/>
      <c r="B819" s="137"/>
      <c r="C819" s="138"/>
      <c r="D819" s="139"/>
      <c r="E819" s="139"/>
      <c r="F819" s="140"/>
      <c r="G819" s="149"/>
      <c r="H819" s="149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</row>
    <row r="820" spans="1:26" ht="18">
      <c r="A820" s="140"/>
      <c r="B820" s="137"/>
      <c r="C820" s="138"/>
      <c r="D820" s="139"/>
      <c r="E820" s="139"/>
      <c r="F820" s="140"/>
      <c r="G820" s="147"/>
      <c r="H820" s="147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</row>
    <row r="821" spans="1:26" ht="18">
      <c r="A821" s="140"/>
      <c r="B821" s="137"/>
      <c r="C821" s="138"/>
      <c r="D821" s="139"/>
      <c r="E821" s="139"/>
      <c r="F821" s="140"/>
      <c r="G821" s="149"/>
      <c r="H821" s="149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</row>
    <row r="822" spans="1:26" ht="18">
      <c r="A822" s="140"/>
      <c r="B822" s="137"/>
      <c r="C822" s="138"/>
      <c r="D822" s="139"/>
      <c r="E822" s="139"/>
      <c r="F822" s="140"/>
      <c r="G822" s="147"/>
      <c r="H822" s="147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</row>
    <row r="823" spans="1:26" ht="18">
      <c r="A823" s="140"/>
      <c r="B823" s="137"/>
      <c r="C823" s="138"/>
      <c r="D823" s="139"/>
      <c r="E823" s="139"/>
      <c r="F823" s="140"/>
      <c r="G823" s="149"/>
      <c r="H823" s="149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</row>
    <row r="824" spans="1:26" ht="18">
      <c r="A824" s="140"/>
      <c r="B824" s="137"/>
      <c r="C824" s="138"/>
      <c r="D824" s="139"/>
      <c r="E824" s="139"/>
      <c r="F824" s="140"/>
      <c r="G824" s="147"/>
      <c r="H824" s="147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</row>
    <row r="825" spans="1:26" ht="18">
      <c r="A825" s="140"/>
      <c r="B825" s="137"/>
      <c r="C825" s="138"/>
      <c r="D825" s="139"/>
      <c r="E825" s="139"/>
      <c r="F825" s="140"/>
      <c r="G825" s="149"/>
      <c r="H825" s="149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</row>
    <row r="826" spans="1:26" ht="18">
      <c r="A826" s="140"/>
      <c r="B826" s="137"/>
      <c r="C826" s="138"/>
      <c r="D826" s="139"/>
      <c r="E826" s="139"/>
      <c r="F826" s="140"/>
      <c r="G826" s="147"/>
      <c r="H826" s="147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</row>
    <row r="827" spans="1:26" ht="18">
      <c r="A827" s="140"/>
      <c r="B827" s="137"/>
      <c r="C827" s="138"/>
      <c r="D827" s="139"/>
      <c r="E827" s="139"/>
      <c r="F827" s="140"/>
      <c r="G827" s="149"/>
      <c r="H827" s="149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</row>
    <row r="828" spans="1:26" ht="18">
      <c r="A828" s="140"/>
      <c r="B828" s="137"/>
      <c r="C828" s="138"/>
      <c r="D828" s="139"/>
      <c r="E828" s="139"/>
      <c r="F828" s="140"/>
      <c r="G828" s="147"/>
      <c r="H828" s="147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</row>
    <row r="829" spans="1:26" ht="18">
      <c r="A829" s="140"/>
      <c r="B829" s="137"/>
      <c r="C829" s="138"/>
      <c r="D829" s="139"/>
      <c r="E829" s="139"/>
      <c r="F829" s="140"/>
      <c r="G829" s="149"/>
      <c r="H829" s="149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</row>
    <row r="830" spans="1:26" ht="18">
      <c r="A830" s="140"/>
      <c r="B830" s="137"/>
      <c r="C830" s="138"/>
      <c r="D830" s="139"/>
      <c r="E830" s="139"/>
      <c r="F830" s="140"/>
      <c r="G830" s="147"/>
      <c r="H830" s="147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</row>
    <row r="831" spans="1:26" ht="18">
      <c r="A831" s="140"/>
      <c r="B831" s="137"/>
      <c r="C831" s="138"/>
      <c r="D831" s="139"/>
      <c r="E831" s="139"/>
      <c r="F831" s="140"/>
      <c r="G831" s="149"/>
      <c r="H831" s="149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</row>
    <row r="832" spans="1:26" ht="18">
      <c r="A832" s="140"/>
      <c r="B832" s="137"/>
      <c r="C832" s="138"/>
      <c r="D832" s="139"/>
      <c r="E832" s="139"/>
      <c r="F832" s="140"/>
      <c r="G832" s="147"/>
      <c r="H832" s="147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</row>
    <row r="833" spans="1:26" ht="18">
      <c r="A833" s="140"/>
      <c r="B833" s="137"/>
      <c r="C833" s="138"/>
      <c r="D833" s="139"/>
      <c r="E833" s="139"/>
      <c r="F833" s="140"/>
      <c r="G833" s="149"/>
      <c r="H833" s="149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</row>
    <row r="834" spans="1:26" ht="18">
      <c r="A834" s="140"/>
      <c r="B834" s="137"/>
      <c r="C834" s="138"/>
      <c r="D834" s="139"/>
      <c r="E834" s="139"/>
      <c r="F834" s="140"/>
      <c r="G834" s="147"/>
      <c r="H834" s="147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</row>
    <row r="835" spans="1:26" ht="18">
      <c r="A835" s="140"/>
      <c r="B835" s="137"/>
      <c r="C835" s="138"/>
      <c r="D835" s="139"/>
      <c r="E835" s="139"/>
      <c r="F835" s="140"/>
      <c r="G835" s="149"/>
      <c r="H835" s="149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</row>
    <row r="836" spans="1:26" ht="18">
      <c r="A836" s="140"/>
      <c r="B836" s="137"/>
      <c r="C836" s="138"/>
      <c r="D836" s="139"/>
      <c r="E836" s="139"/>
      <c r="F836" s="140"/>
      <c r="G836" s="147"/>
      <c r="H836" s="147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</row>
    <row r="837" spans="1:26" ht="18">
      <c r="A837" s="140"/>
      <c r="B837" s="137"/>
      <c r="C837" s="138"/>
      <c r="D837" s="139"/>
      <c r="E837" s="139"/>
      <c r="F837" s="140"/>
      <c r="G837" s="149"/>
      <c r="H837" s="149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</row>
    <row r="838" spans="1:26" ht="18">
      <c r="A838" s="140"/>
      <c r="B838" s="137"/>
      <c r="C838" s="138"/>
      <c r="D838" s="139"/>
      <c r="E838" s="139"/>
      <c r="F838" s="140"/>
      <c r="G838" s="147"/>
      <c r="H838" s="147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</row>
    <row r="839" spans="1:26" ht="18">
      <c r="A839" s="140"/>
      <c r="B839" s="137"/>
      <c r="C839" s="138"/>
      <c r="D839" s="139"/>
      <c r="E839" s="139"/>
      <c r="F839" s="140"/>
      <c r="G839" s="149"/>
      <c r="H839" s="149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</row>
    <row r="840" spans="1:26" ht="18">
      <c r="A840" s="140"/>
      <c r="B840" s="137"/>
      <c r="C840" s="138"/>
      <c r="D840" s="139"/>
      <c r="E840" s="139"/>
      <c r="F840" s="140"/>
      <c r="G840" s="147"/>
      <c r="H840" s="147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</row>
    <row r="841" spans="1:26" ht="18">
      <c r="A841" s="140"/>
      <c r="B841" s="137"/>
      <c r="C841" s="138"/>
      <c r="D841" s="139"/>
      <c r="E841" s="139"/>
      <c r="F841" s="140"/>
      <c r="G841" s="149"/>
      <c r="H841" s="149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</row>
    <row r="842" spans="1:26" ht="18">
      <c r="A842" s="140"/>
      <c r="B842" s="137"/>
      <c r="C842" s="138"/>
      <c r="D842" s="139"/>
      <c r="E842" s="139"/>
      <c r="F842" s="140"/>
      <c r="G842" s="147"/>
      <c r="H842" s="147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</row>
    <row r="843" spans="1:26" ht="18">
      <c r="A843" s="140"/>
      <c r="B843" s="137"/>
      <c r="C843" s="138"/>
      <c r="D843" s="139"/>
      <c r="E843" s="139"/>
      <c r="F843" s="140"/>
      <c r="G843" s="149"/>
      <c r="H843" s="149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</row>
    <row r="844" spans="1:26" ht="18">
      <c r="A844" s="140"/>
      <c r="B844" s="137"/>
      <c r="C844" s="138"/>
      <c r="D844" s="139"/>
      <c r="E844" s="139"/>
      <c r="F844" s="140"/>
      <c r="G844" s="147"/>
      <c r="H844" s="147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</row>
    <row r="845" spans="1:26" ht="18">
      <c r="A845" s="140"/>
      <c r="B845" s="137"/>
      <c r="C845" s="138"/>
      <c r="D845" s="139"/>
      <c r="E845" s="139"/>
      <c r="F845" s="140"/>
      <c r="G845" s="149"/>
      <c r="H845" s="149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</row>
    <row r="846" spans="1:26" ht="18">
      <c r="A846" s="140"/>
      <c r="B846" s="137"/>
      <c r="C846" s="138"/>
      <c r="D846" s="139"/>
      <c r="E846" s="139"/>
      <c r="F846" s="140"/>
      <c r="G846" s="147"/>
      <c r="H846" s="147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</row>
    <row r="847" spans="1:26" ht="18">
      <c r="A847" s="140"/>
      <c r="B847" s="137"/>
      <c r="C847" s="138"/>
      <c r="D847" s="139"/>
      <c r="E847" s="139"/>
      <c r="F847" s="140"/>
      <c r="G847" s="149"/>
      <c r="H847" s="149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</row>
    <row r="848" spans="1:26" ht="18">
      <c r="A848" s="140"/>
      <c r="B848" s="137"/>
      <c r="C848" s="138"/>
      <c r="D848" s="139"/>
      <c r="E848" s="139"/>
      <c r="F848" s="140"/>
      <c r="G848" s="147"/>
      <c r="H848" s="147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</row>
    <row r="849" spans="1:26" ht="18">
      <c r="A849" s="140"/>
      <c r="B849" s="137"/>
      <c r="C849" s="138"/>
      <c r="D849" s="139"/>
      <c r="E849" s="139"/>
      <c r="F849" s="140"/>
      <c r="G849" s="149"/>
      <c r="H849" s="149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</row>
    <row r="850" spans="1:26" ht="18">
      <c r="A850" s="140"/>
      <c r="B850" s="137"/>
      <c r="C850" s="138"/>
      <c r="D850" s="139"/>
      <c r="E850" s="139"/>
      <c r="F850" s="140"/>
      <c r="G850" s="147"/>
      <c r="H850" s="147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</row>
    <row r="851" spans="1:26" ht="18">
      <c r="A851" s="140"/>
      <c r="B851" s="137"/>
      <c r="C851" s="138"/>
      <c r="D851" s="139"/>
      <c r="E851" s="139"/>
      <c r="F851" s="140"/>
      <c r="G851" s="149"/>
      <c r="H851" s="149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</row>
    <row r="852" spans="1:26" ht="18">
      <c r="A852" s="140"/>
      <c r="B852" s="137"/>
      <c r="C852" s="138"/>
      <c r="D852" s="139"/>
      <c r="E852" s="139"/>
      <c r="F852" s="140"/>
      <c r="G852" s="147"/>
      <c r="H852" s="147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</row>
    <row r="853" spans="1:26" ht="18">
      <c r="A853" s="140"/>
      <c r="B853" s="137"/>
      <c r="C853" s="138"/>
      <c r="D853" s="139"/>
      <c r="E853" s="139"/>
      <c r="F853" s="140"/>
      <c r="G853" s="149"/>
      <c r="H853" s="149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</row>
    <row r="854" spans="1:26" ht="18">
      <c r="A854" s="140"/>
      <c r="B854" s="137"/>
      <c r="C854" s="138"/>
      <c r="D854" s="139"/>
      <c r="E854" s="139"/>
      <c r="F854" s="140"/>
      <c r="G854" s="147"/>
      <c r="H854" s="147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</row>
    <row r="855" spans="1:26" ht="18">
      <c r="A855" s="140"/>
      <c r="B855" s="137"/>
      <c r="C855" s="138"/>
      <c r="D855" s="139"/>
      <c r="E855" s="139"/>
      <c r="F855" s="140"/>
      <c r="G855" s="149"/>
      <c r="H855" s="149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</row>
    <row r="856" spans="1:26" ht="18">
      <c r="A856" s="140"/>
      <c r="B856" s="137"/>
      <c r="C856" s="138"/>
      <c r="D856" s="139"/>
      <c r="E856" s="139"/>
      <c r="F856" s="140"/>
      <c r="G856" s="147"/>
      <c r="H856" s="147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</row>
    <row r="857" spans="1:26" ht="18">
      <c r="A857" s="140"/>
      <c r="B857" s="137"/>
      <c r="C857" s="138"/>
      <c r="D857" s="139"/>
      <c r="E857" s="139"/>
      <c r="F857" s="140"/>
      <c r="G857" s="149"/>
      <c r="H857" s="149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</row>
    <row r="858" spans="1:26" ht="18">
      <c r="A858" s="140"/>
      <c r="B858" s="137"/>
      <c r="C858" s="138"/>
      <c r="D858" s="139"/>
      <c r="E858" s="139"/>
      <c r="F858" s="140"/>
      <c r="G858" s="147"/>
      <c r="H858" s="147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</row>
    <row r="859" spans="1:26" ht="18">
      <c r="A859" s="140"/>
      <c r="B859" s="137"/>
      <c r="C859" s="138"/>
      <c r="D859" s="139"/>
      <c r="E859" s="139"/>
      <c r="F859" s="140"/>
      <c r="G859" s="149"/>
      <c r="H859" s="149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</row>
    <row r="860" spans="1:26" ht="18">
      <c r="A860" s="140"/>
      <c r="B860" s="137"/>
      <c r="C860" s="138"/>
      <c r="D860" s="139"/>
      <c r="E860" s="139"/>
      <c r="F860" s="140"/>
      <c r="G860" s="147"/>
      <c r="H860" s="147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</row>
    <row r="861" spans="1:26" ht="18">
      <c r="A861" s="140"/>
      <c r="B861" s="137"/>
      <c r="C861" s="138"/>
      <c r="D861" s="139"/>
      <c r="E861" s="139"/>
      <c r="F861" s="140"/>
      <c r="G861" s="149"/>
      <c r="H861" s="149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</row>
    <row r="862" spans="1:26" ht="18">
      <c r="A862" s="140"/>
      <c r="B862" s="137"/>
      <c r="C862" s="138"/>
      <c r="D862" s="139"/>
      <c r="E862" s="139"/>
      <c r="F862" s="140"/>
      <c r="G862" s="147"/>
      <c r="H862" s="147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</row>
    <row r="863" spans="1:26" ht="18">
      <c r="A863" s="140"/>
      <c r="B863" s="137"/>
      <c r="C863" s="138"/>
      <c r="D863" s="139"/>
      <c r="E863" s="139"/>
      <c r="F863" s="140"/>
      <c r="G863" s="149"/>
      <c r="H863" s="149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</row>
    <row r="864" spans="1:26" ht="18">
      <c r="A864" s="140"/>
      <c r="B864" s="137"/>
      <c r="C864" s="138"/>
      <c r="D864" s="139"/>
      <c r="E864" s="139"/>
      <c r="F864" s="140"/>
      <c r="G864" s="147"/>
      <c r="H864" s="147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</row>
    <row r="865" spans="1:26" ht="18">
      <c r="A865" s="140"/>
      <c r="B865" s="137"/>
      <c r="C865" s="138"/>
      <c r="D865" s="139"/>
      <c r="E865" s="139"/>
      <c r="F865" s="140"/>
      <c r="G865" s="149"/>
      <c r="H865" s="149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</row>
    <row r="866" spans="1:26" ht="18">
      <c r="A866" s="140"/>
      <c r="B866" s="137"/>
      <c r="C866" s="138"/>
      <c r="D866" s="139"/>
      <c r="E866" s="139"/>
      <c r="F866" s="140"/>
      <c r="G866" s="147"/>
      <c r="H866" s="147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</row>
    <row r="867" spans="1:26" ht="18">
      <c r="A867" s="140"/>
      <c r="B867" s="137"/>
      <c r="C867" s="138"/>
      <c r="D867" s="139"/>
      <c r="E867" s="139"/>
      <c r="F867" s="140"/>
      <c r="G867" s="149"/>
      <c r="H867" s="149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</row>
    <row r="868" spans="1:26" ht="18">
      <c r="A868" s="140"/>
      <c r="B868" s="137"/>
      <c r="C868" s="138"/>
      <c r="D868" s="139"/>
      <c r="E868" s="139"/>
      <c r="F868" s="140"/>
      <c r="G868" s="147"/>
      <c r="H868" s="147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</row>
    <row r="869" spans="1:26" ht="18">
      <c r="A869" s="140"/>
      <c r="B869" s="137"/>
      <c r="C869" s="138"/>
      <c r="D869" s="139"/>
      <c r="E869" s="139"/>
      <c r="F869" s="140"/>
      <c r="G869" s="149"/>
      <c r="H869" s="149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</row>
    <row r="870" spans="1:26" ht="18">
      <c r="A870" s="140"/>
      <c r="B870" s="137"/>
      <c r="C870" s="138"/>
      <c r="D870" s="139"/>
      <c r="E870" s="139"/>
      <c r="F870" s="140"/>
      <c r="G870" s="147"/>
      <c r="H870" s="147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</row>
    <row r="871" spans="1:26" ht="18">
      <c r="A871" s="140"/>
      <c r="B871" s="137"/>
      <c r="C871" s="138"/>
      <c r="D871" s="139"/>
      <c r="E871" s="139"/>
      <c r="F871" s="140"/>
      <c r="G871" s="149"/>
      <c r="H871" s="149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</row>
    <row r="872" spans="1:26" ht="18">
      <c r="A872" s="140"/>
      <c r="B872" s="137"/>
      <c r="C872" s="138"/>
      <c r="D872" s="139"/>
      <c r="E872" s="139"/>
      <c r="F872" s="140"/>
      <c r="G872" s="147"/>
      <c r="H872" s="147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</row>
    <row r="873" spans="1:26" ht="18">
      <c r="A873" s="140"/>
      <c r="B873" s="137"/>
      <c r="C873" s="138"/>
      <c r="D873" s="139"/>
      <c r="E873" s="139"/>
      <c r="F873" s="140"/>
      <c r="G873" s="149"/>
      <c r="H873" s="149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</row>
    <row r="874" spans="1:26" ht="18">
      <c r="A874" s="140"/>
      <c r="B874" s="137"/>
      <c r="C874" s="138"/>
      <c r="D874" s="139"/>
      <c r="E874" s="139"/>
      <c r="F874" s="140"/>
      <c r="G874" s="147"/>
      <c r="H874" s="147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</row>
    <row r="875" spans="1:26" ht="18">
      <c r="A875" s="140"/>
      <c r="B875" s="137"/>
      <c r="C875" s="138"/>
      <c r="D875" s="139"/>
      <c r="E875" s="139"/>
      <c r="F875" s="140"/>
      <c r="G875" s="149"/>
      <c r="H875" s="149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</row>
    <row r="876" spans="1:26" ht="18">
      <c r="A876" s="140"/>
      <c r="B876" s="137"/>
      <c r="C876" s="138"/>
      <c r="D876" s="139"/>
      <c r="E876" s="139"/>
      <c r="F876" s="140"/>
      <c r="G876" s="147"/>
      <c r="H876" s="147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</row>
    <row r="877" spans="1:26" ht="18">
      <c r="A877" s="140"/>
      <c r="B877" s="137"/>
      <c r="C877" s="138"/>
      <c r="D877" s="139"/>
      <c r="E877" s="139"/>
      <c r="F877" s="140"/>
      <c r="G877" s="149"/>
      <c r="H877" s="149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</row>
    <row r="878" spans="1:26" ht="18">
      <c r="A878" s="140"/>
      <c r="B878" s="137"/>
      <c r="C878" s="138"/>
      <c r="D878" s="139"/>
      <c r="E878" s="139"/>
      <c r="F878" s="140"/>
      <c r="G878" s="147"/>
      <c r="H878" s="147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</row>
    <row r="879" spans="1:26" ht="18">
      <c r="A879" s="140"/>
      <c r="B879" s="137"/>
      <c r="C879" s="138"/>
      <c r="D879" s="139"/>
      <c r="E879" s="139"/>
      <c r="F879" s="140"/>
      <c r="G879" s="149"/>
      <c r="H879" s="149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</row>
    <row r="880" spans="1:26" ht="18">
      <c r="A880" s="140"/>
      <c r="B880" s="137"/>
      <c r="C880" s="138"/>
      <c r="D880" s="139"/>
      <c r="E880" s="139"/>
      <c r="F880" s="140"/>
      <c r="G880" s="147"/>
      <c r="H880" s="147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</row>
    <row r="881" spans="1:26" ht="18">
      <c r="A881" s="140"/>
      <c r="B881" s="137"/>
      <c r="C881" s="138"/>
      <c r="D881" s="139"/>
      <c r="E881" s="139"/>
      <c r="F881" s="140"/>
      <c r="G881" s="149"/>
      <c r="H881" s="149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</row>
    <row r="882" spans="1:26" ht="18">
      <c r="A882" s="140"/>
      <c r="B882" s="137"/>
      <c r="C882" s="138"/>
      <c r="D882" s="139"/>
      <c r="E882" s="139"/>
      <c r="F882" s="140"/>
      <c r="G882" s="147"/>
      <c r="H882" s="147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</row>
    <row r="883" spans="1:26" ht="18">
      <c r="A883" s="140"/>
      <c r="B883" s="137"/>
      <c r="C883" s="138"/>
      <c r="D883" s="139"/>
      <c r="E883" s="139"/>
      <c r="F883" s="140"/>
      <c r="G883" s="149"/>
      <c r="H883" s="149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</row>
    <row r="884" spans="1:26" ht="18">
      <c r="A884" s="140"/>
      <c r="B884" s="137"/>
      <c r="C884" s="138"/>
      <c r="D884" s="139"/>
      <c r="E884" s="139"/>
      <c r="F884" s="140"/>
      <c r="G884" s="147"/>
      <c r="H884" s="147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</row>
    <row r="885" spans="1:26" ht="18">
      <c r="A885" s="140"/>
      <c r="B885" s="137"/>
      <c r="C885" s="138"/>
      <c r="D885" s="139"/>
      <c r="E885" s="139"/>
      <c r="F885" s="140"/>
      <c r="G885" s="149"/>
      <c r="H885" s="149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</row>
    <row r="886" spans="1:26" ht="18">
      <c r="A886" s="140"/>
      <c r="B886" s="137"/>
      <c r="C886" s="138"/>
      <c r="D886" s="139"/>
      <c r="E886" s="139"/>
      <c r="F886" s="140"/>
      <c r="G886" s="147"/>
      <c r="H886" s="147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</row>
    <row r="887" spans="1:26" ht="18">
      <c r="A887" s="140"/>
      <c r="B887" s="137"/>
      <c r="C887" s="138"/>
      <c r="D887" s="139"/>
      <c r="E887" s="139"/>
      <c r="F887" s="140"/>
      <c r="G887" s="149"/>
      <c r="H887" s="149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</row>
    <row r="888" spans="1:26" ht="18">
      <c r="A888" s="140"/>
      <c r="B888" s="137"/>
      <c r="C888" s="138"/>
      <c r="D888" s="139"/>
      <c r="E888" s="139"/>
      <c r="F888" s="140"/>
      <c r="G888" s="147"/>
      <c r="H888" s="147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</row>
    <row r="889" spans="1:26" ht="18">
      <c r="A889" s="140"/>
      <c r="B889" s="137"/>
      <c r="C889" s="138"/>
      <c r="D889" s="139"/>
      <c r="E889" s="139"/>
      <c r="F889" s="140"/>
      <c r="G889" s="149"/>
      <c r="H889" s="149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</row>
    <row r="890" spans="1:26" ht="18">
      <c r="A890" s="140"/>
      <c r="B890" s="137"/>
      <c r="C890" s="138"/>
      <c r="D890" s="139"/>
      <c r="E890" s="139"/>
      <c r="F890" s="140"/>
      <c r="G890" s="147"/>
      <c r="H890" s="147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</row>
    <row r="891" spans="1:26" ht="18">
      <c r="A891" s="140"/>
      <c r="B891" s="137"/>
      <c r="C891" s="138"/>
      <c r="D891" s="139"/>
      <c r="E891" s="139"/>
      <c r="F891" s="140"/>
      <c r="G891" s="149"/>
      <c r="H891" s="149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</row>
    <row r="892" spans="1:26" ht="18">
      <c r="A892" s="140"/>
      <c r="B892" s="137"/>
      <c r="C892" s="138"/>
      <c r="D892" s="139"/>
      <c r="E892" s="139"/>
      <c r="F892" s="140"/>
      <c r="G892" s="147"/>
      <c r="H892" s="147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</row>
    <row r="893" spans="1:26" ht="18">
      <c r="A893" s="140"/>
      <c r="B893" s="137"/>
      <c r="C893" s="138"/>
      <c r="D893" s="139"/>
      <c r="E893" s="139"/>
      <c r="F893" s="140"/>
      <c r="G893" s="149"/>
      <c r="H893" s="149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</row>
    <row r="894" spans="1:26" ht="18">
      <c r="A894" s="140"/>
      <c r="B894" s="137"/>
      <c r="C894" s="138"/>
      <c r="D894" s="139"/>
      <c r="E894" s="139"/>
      <c r="F894" s="140"/>
      <c r="G894" s="147"/>
      <c r="H894" s="147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</row>
    <row r="895" spans="1:26" ht="18">
      <c r="A895" s="140"/>
      <c r="B895" s="137"/>
      <c r="C895" s="138"/>
      <c r="D895" s="139"/>
      <c r="E895" s="139"/>
      <c r="F895" s="140"/>
      <c r="G895" s="149"/>
      <c r="H895" s="149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</row>
    <row r="896" spans="1:26" ht="18">
      <c r="A896" s="140"/>
      <c r="B896" s="137"/>
      <c r="C896" s="138"/>
      <c r="D896" s="139"/>
      <c r="E896" s="139"/>
      <c r="F896" s="140"/>
      <c r="G896" s="147"/>
      <c r="H896" s="147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</row>
    <row r="897" spans="1:26" ht="18">
      <c r="A897" s="140"/>
      <c r="B897" s="137"/>
      <c r="C897" s="138"/>
      <c r="D897" s="139"/>
      <c r="E897" s="139"/>
      <c r="F897" s="140"/>
      <c r="G897" s="149"/>
      <c r="H897" s="149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</row>
    <row r="898" spans="1:26" ht="18">
      <c r="A898" s="140"/>
      <c r="B898" s="137"/>
      <c r="C898" s="138"/>
      <c r="D898" s="139"/>
      <c r="E898" s="139"/>
      <c r="F898" s="140"/>
      <c r="G898" s="147"/>
      <c r="H898" s="147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</row>
    <row r="899" spans="1:26" ht="18">
      <c r="A899" s="140"/>
      <c r="B899" s="137"/>
      <c r="C899" s="138"/>
      <c r="D899" s="139"/>
      <c r="E899" s="139"/>
      <c r="F899" s="140"/>
      <c r="G899" s="149"/>
      <c r="H899" s="149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</row>
    <row r="900" spans="1:26" ht="18">
      <c r="A900" s="140"/>
      <c r="B900" s="137"/>
      <c r="C900" s="138"/>
      <c r="D900" s="139"/>
      <c r="E900" s="139"/>
      <c r="F900" s="140"/>
      <c r="G900" s="147"/>
      <c r="H900" s="147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</row>
    <row r="901" spans="1:26" ht="18">
      <c r="A901" s="140"/>
      <c r="B901" s="137"/>
      <c r="C901" s="138"/>
      <c r="D901" s="139"/>
      <c r="E901" s="139"/>
      <c r="F901" s="140"/>
      <c r="G901" s="149"/>
      <c r="H901" s="149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</row>
    <row r="902" spans="1:26" ht="18">
      <c r="A902" s="140"/>
      <c r="B902" s="137"/>
      <c r="C902" s="138"/>
      <c r="D902" s="139"/>
      <c r="E902" s="139"/>
      <c r="F902" s="140"/>
      <c r="G902" s="147"/>
      <c r="H902" s="147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</row>
    <row r="903" spans="1:26" ht="18">
      <c r="A903" s="140"/>
      <c r="B903" s="137"/>
      <c r="C903" s="138"/>
      <c r="D903" s="139"/>
      <c r="E903" s="139"/>
      <c r="F903" s="140"/>
      <c r="G903" s="149"/>
      <c r="H903" s="149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</row>
    <row r="904" spans="1:26" ht="18">
      <c r="A904" s="140"/>
      <c r="B904" s="137"/>
      <c r="C904" s="138"/>
      <c r="D904" s="139"/>
      <c r="E904" s="139"/>
      <c r="F904" s="140"/>
      <c r="G904" s="147"/>
      <c r="H904" s="147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</row>
    <row r="905" spans="1:26" ht="18">
      <c r="A905" s="140"/>
      <c r="B905" s="137"/>
      <c r="C905" s="138"/>
      <c r="D905" s="139"/>
      <c r="E905" s="139"/>
      <c r="F905" s="140"/>
      <c r="G905" s="149"/>
      <c r="H905" s="149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</row>
    <row r="906" spans="1:26" ht="18">
      <c r="A906" s="140"/>
      <c r="B906" s="137"/>
      <c r="C906" s="138"/>
      <c r="D906" s="139"/>
      <c r="E906" s="139"/>
      <c r="F906" s="140"/>
      <c r="G906" s="147"/>
      <c r="H906" s="147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</row>
    <row r="907" spans="1:26" ht="18">
      <c r="A907" s="140"/>
      <c r="B907" s="137"/>
      <c r="C907" s="138"/>
      <c r="D907" s="139"/>
      <c r="E907" s="139"/>
      <c r="F907" s="140"/>
      <c r="G907" s="149"/>
      <c r="H907" s="149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</row>
    <row r="908" spans="1:26" ht="18">
      <c r="A908" s="140"/>
      <c r="B908" s="137"/>
      <c r="C908" s="138"/>
      <c r="D908" s="139"/>
      <c r="E908" s="139"/>
      <c r="F908" s="140"/>
      <c r="G908" s="147"/>
      <c r="H908" s="147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</row>
    <row r="909" spans="1:26" ht="18">
      <c r="A909" s="140"/>
      <c r="B909" s="137"/>
      <c r="C909" s="138"/>
      <c r="D909" s="139"/>
      <c r="E909" s="139"/>
      <c r="F909" s="140"/>
      <c r="G909" s="149"/>
      <c r="H909" s="149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</row>
    <row r="910" spans="1:26" ht="18">
      <c r="A910" s="140"/>
      <c r="B910" s="137"/>
      <c r="C910" s="138"/>
      <c r="D910" s="139"/>
      <c r="E910" s="139"/>
      <c r="F910" s="140"/>
      <c r="G910" s="147"/>
      <c r="H910" s="147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</row>
    <row r="911" spans="1:26" ht="18">
      <c r="A911" s="140"/>
      <c r="B911" s="137"/>
      <c r="C911" s="138"/>
      <c r="D911" s="139"/>
      <c r="E911" s="139"/>
      <c r="F911" s="140"/>
      <c r="G911" s="149"/>
      <c r="H911" s="149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</row>
    <row r="912" spans="1:26" ht="18">
      <c r="A912" s="140"/>
      <c r="B912" s="137"/>
      <c r="C912" s="138"/>
      <c r="D912" s="139"/>
      <c r="E912" s="139"/>
      <c r="F912" s="140"/>
      <c r="G912" s="147"/>
      <c r="H912" s="147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</row>
    <row r="913" spans="1:26" ht="18">
      <c r="A913" s="140"/>
      <c r="B913" s="137"/>
      <c r="C913" s="138"/>
      <c r="D913" s="139"/>
      <c r="E913" s="139"/>
      <c r="F913" s="140"/>
      <c r="G913" s="149"/>
      <c r="H913" s="149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</row>
    <row r="914" spans="1:26" ht="18">
      <c r="A914" s="140"/>
      <c r="B914" s="137"/>
      <c r="C914" s="138"/>
      <c r="D914" s="139"/>
      <c r="E914" s="139"/>
      <c r="F914" s="140"/>
      <c r="G914" s="147"/>
      <c r="H914" s="147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</row>
    <row r="915" spans="1:26" ht="18">
      <c r="A915" s="140"/>
      <c r="B915" s="137"/>
      <c r="C915" s="138"/>
      <c r="D915" s="139"/>
      <c r="E915" s="139"/>
      <c r="F915" s="140"/>
      <c r="G915" s="149"/>
      <c r="H915" s="149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</row>
    <row r="916" spans="1:26" ht="18">
      <c r="A916" s="140"/>
      <c r="B916" s="137"/>
      <c r="C916" s="138"/>
      <c r="D916" s="139"/>
      <c r="E916" s="139"/>
      <c r="F916" s="140"/>
      <c r="G916" s="147"/>
      <c r="H916" s="147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</row>
    <row r="917" spans="1:26" ht="18">
      <c r="A917" s="140"/>
      <c r="B917" s="137"/>
      <c r="C917" s="138"/>
      <c r="D917" s="139"/>
      <c r="E917" s="139"/>
      <c r="F917" s="140"/>
      <c r="G917" s="149"/>
      <c r="H917" s="149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</row>
    <row r="918" spans="1:26" ht="18">
      <c r="A918" s="140"/>
      <c r="B918" s="137"/>
      <c r="C918" s="138"/>
      <c r="D918" s="139"/>
      <c r="E918" s="139"/>
      <c r="F918" s="140"/>
      <c r="G918" s="147"/>
      <c r="H918" s="147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</row>
    <row r="919" spans="1:26" ht="18">
      <c r="A919" s="140"/>
      <c r="B919" s="137"/>
      <c r="C919" s="138"/>
      <c r="D919" s="139"/>
      <c r="E919" s="139"/>
      <c r="F919" s="140"/>
      <c r="G919" s="149"/>
      <c r="H919" s="149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</row>
    <row r="920" spans="1:26" ht="18">
      <c r="A920" s="140"/>
      <c r="B920" s="137"/>
      <c r="C920" s="138"/>
      <c r="D920" s="139"/>
      <c r="E920" s="139"/>
      <c r="F920" s="140"/>
      <c r="G920" s="147"/>
      <c r="H920" s="147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</row>
    <row r="921" spans="1:26" ht="18">
      <c r="A921" s="140"/>
      <c r="B921" s="137"/>
      <c r="C921" s="138"/>
      <c r="D921" s="139"/>
      <c r="E921" s="139"/>
      <c r="F921" s="140"/>
      <c r="G921" s="149"/>
      <c r="H921" s="149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</row>
    <row r="922" spans="1:26" ht="18">
      <c r="A922" s="140"/>
      <c r="B922" s="137"/>
      <c r="C922" s="138"/>
      <c r="D922" s="139"/>
      <c r="E922" s="139"/>
      <c r="F922" s="140"/>
      <c r="G922" s="147"/>
      <c r="H922" s="147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</row>
    <row r="923" spans="1:26" ht="18">
      <c r="A923" s="140"/>
      <c r="B923" s="137"/>
      <c r="C923" s="138"/>
      <c r="D923" s="139"/>
      <c r="E923" s="139"/>
      <c r="F923" s="140"/>
      <c r="G923" s="149"/>
      <c r="H923" s="149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</row>
    <row r="924" spans="1:26" ht="18">
      <c r="A924" s="140"/>
      <c r="B924" s="137"/>
      <c r="C924" s="138"/>
      <c r="D924" s="139"/>
      <c r="E924" s="139"/>
      <c r="F924" s="140"/>
      <c r="G924" s="147"/>
      <c r="H924" s="147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</row>
    <row r="925" spans="1:26" ht="18">
      <c r="A925" s="140"/>
      <c r="B925" s="137"/>
      <c r="C925" s="138"/>
      <c r="D925" s="139"/>
      <c r="E925" s="139"/>
      <c r="F925" s="140"/>
      <c r="G925" s="149"/>
      <c r="H925" s="149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</row>
    <row r="926" spans="1:26" ht="18">
      <c r="A926" s="140"/>
      <c r="B926" s="137"/>
      <c r="C926" s="138"/>
      <c r="D926" s="139"/>
      <c r="E926" s="139"/>
      <c r="F926" s="140"/>
      <c r="G926" s="147"/>
      <c r="H926" s="147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</row>
    <row r="927" spans="1:26" ht="18">
      <c r="A927" s="140"/>
      <c r="B927" s="137"/>
      <c r="C927" s="138"/>
      <c r="D927" s="139"/>
      <c r="E927" s="139"/>
      <c r="F927" s="140"/>
      <c r="G927" s="149"/>
      <c r="H927" s="149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</row>
    <row r="928" spans="1:26" ht="18">
      <c r="A928" s="140"/>
      <c r="B928" s="137"/>
      <c r="C928" s="138"/>
      <c r="D928" s="139"/>
      <c r="E928" s="139"/>
      <c r="F928" s="140"/>
      <c r="G928" s="147"/>
      <c r="H928" s="147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</row>
    <row r="929" spans="1:26" ht="18">
      <c r="A929" s="140"/>
      <c r="B929" s="137"/>
      <c r="C929" s="138"/>
      <c r="D929" s="139"/>
      <c r="E929" s="139"/>
      <c r="F929" s="140"/>
      <c r="G929" s="149"/>
      <c r="H929" s="149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</row>
    <row r="930" spans="1:26" ht="18">
      <c r="A930" s="140"/>
      <c r="B930" s="137"/>
      <c r="C930" s="138"/>
      <c r="D930" s="139"/>
      <c r="E930" s="139"/>
      <c r="F930" s="140"/>
      <c r="G930" s="147"/>
      <c r="H930" s="147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</row>
    <row r="931" spans="1:26" ht="18">
      <c r="A931" s="140"/>
      <c r="B931" s="137"/>
      <c r="C931" s="138"/>
      <c r="D931" s="139"/>
      <c r="E931" s="139"/>
      <c r="F931" s="140"/>
      <c r="G931" s="149"/>
      <c r="H931" s="149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</row>
    <row r="932" spans="1:26" ht="18">
      <c r="A932" s="140"/>
      <c r="B932" s="137"/>
      <c r="C932" s="138"/>
      <c r="D932" s="139"/>
      <c r="E932" s="139"/>
      <c r="F932" s="140"/>
      <c r="G932" s="147"/>
      <c r="H932" s="147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</row>
    <row r="933" spans="1:26" ht="18">
      <c r="A933" s="140"/>
      <c r="B933" s="137"/>
      <c r="C933" s="138"/>
      <c r="D933" s="139"/>
      <c r="E933" s="139"/>
      <c r="F933" s="140"/>
      <c r="G933" s="149"/>
      <c r="H933" s="149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</row>
    <row r="934" spans="1:26" ht="18">
      <c r="A934" s="140"/>
      <c r="B934" s="137"/>
      <c r="C934" s="138"/>
      <c r="D934" s="139"/>
      <c r="E934" s="139"/>
      <c r="F934" s="140"/>
      <c r="G934" s="147"/>
      <c r="H934" s="147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</row>
    <row r="935" spans="1:26" ht="18">
      <c r="A935" s="140"/>
      <c r="B935" s="137"/>
      <c r="C935" s="138"/>
      <c r="D935" s="139"/>
      <c r="E935" s="139"/>
      <c r="F935" s="140"/>
      <c r="G935" s="149"/>
      <c r="H935" s="149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</row>
    <row r="936" spans="1:26" ht="18">
      <c r="A936" s="140"/>
      <c r="B936" s="137"/>
      <c r="C936" s="138"/>
      <c r="D936" s="139"/>
      <c r="E936" s="139"/>
      <c r="F936" s="140"/>
      <c r="G936" s="147"/>
      <c r="H936" s="147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</row>
    <row r="937" spans="1:26" ht="18">
      <c r="A937" s="140"/>
      <c r="B937" s="137"/>
      <c r="C937" s="138"/>
      <c r="D937" s="139"/>
      <c r="E937" s="139"/>
      <c r="F937" s="140"/>
      <c r="G937" s="149"/>
      <c r="H937" s="149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</row>
    <row r="938" spans="1:26" ht="18">
      <c r="A938" s="140"/>
      <c r="B938" s="137"/>
      <c r="C938" s="138"/>
      <c r="D938" s="139"/>
      <c r="E938" s="139"/>
      <c r="F938" s="140"/>
      <c r="G938" s="147"/>
      <c r="H938" s="147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</row>
    <row r="939" spans="1:26" ht="18">
      <c r="A939" s="140"/>
      <c r="B939" s="137"/>
      <c r="C939" s="138"/>
      <c r="D939" s="139"/>
      <c r="E939" s="139"/>
      <c r="F939" s="140"/>
      <c r="G939" s="149"/>
      <c r="H939" s="149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</row>
    <row r="940" spans="1:26" ht="18">
      <c r="A940" s="140"/>
      <c r="B940" s="137"/>
      <c r="C940" s="138"/>
      <c r="D940" s="139"/>
      <c r="E940" s="139"/>
      <c r="F940" s="140"/>
      <c r="G940" s="147"/>
      <c r="H940" s="147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</row>
    <row r="941" spans="1:26" ht="18">
      <c r="A941" s="140"/>
      <c r="B941" s="137"/>
      <c r="C941" s="138"/>
      <c r="D941" s="139"/>
      <c r="E941" s="139"/>
      <c r="F941" s="140"/>
      <c r="G941" s="149"/>
      <c r="H941" s="149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</row>
    <row r="942" spans="1:26" ht="18">
      <c r="A942" s="140"/>
      <c r="B942" s="137"/>
      <c r="C942" s="138"/>
      <c r="D942" s="139"/>
      <c r="E942" s="139"/>
      <c r="F942" s="140"/>
      <c r="G942" s="147"/>
      <c r="H942" s="147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</row>
    <row r="943" spans="1:26" ht="18">
      <c r="A943" s="140"/>
      <c r="B943" s="137"/>
      <c r="C943" s="138"/>
      <c r="D943" s="139"/>
      <c r="E943" s="139"/>
      <c r="F943" s="140"/>
      <c r="G943" s="149"/>
      <c r="H943" s="149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</row>
    <row r="944" spans="1:26" ht="18">
      <c r="A944" s="140"/>
      <c r="B944" s="137"/>
      <c r="C944" s="138"/>
      <c r="D944" s="139"/>
      <c r="E944" s="139"/>
      <c r="F944" s="140"/>
      <c r="G944" s="147"/>
      <c r="H944" s="147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</row>
    <row r="945" spans="1:26" ht="18">
      <c r="A945" s="140"/>
      <c r="B945" s="137"/>
      <c r="C945" s="138"/>
      <c r="D945" s="139"/>
      <c r="E945" s="139"/>
      <c r="F945" s="140"/>
      <c r="G945" s="149"/>
      <c r="H945" s="149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</row>
    <row r="946" spans="1:26" ht="18">
      <c r="A946" s="140"/>
      <c r="B946" s="137"/>
      <c r="C946" s="138"/>
      <c r="D946" s="139"/>
      <c r="E946" s="139"/>
      <c r="F946" s="140"/>
      <c r="G946" s="147"/>
      <c r="H946" s="147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</row>
    <row r="947" spans="1:26" ht="18">
      <c r="A947" s="140"/>
      <c r="B947" s="137"/>
      <c r="C947" s="138"/>
      <c r="D947" s="139"/>
      <c r="E947" s="139"/>
      <c r="F947" s="140"/>
      <c r="G947" s="149"/>
      <c r="H947" s="149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</row>
    <row r="948" spans="1:26" ht="18">
      <c r="A948" s="140"/>
      <c r="B948" s="137"/>
      <c r="C948" s="138"/>
      <c r="D948" s="139"/>
      <c r="E948" s="139"/>
      <c r="F948" s="140"/>
      <c r="G948" s="147"/>
      <c r="H948" s="147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</row>
    <row r="949" spans="1:26" ht="18">
      <c r="A949" s="140"/>
      <c r="B949" s="137"/>
      <c r="C949" s="138"/>
      <c r="D949" s="139"/>
      <c r="E949" s="139"/>
      <c r="F949" s="140"/>
      <c r="G949" s="149"/>
      <c r="H949" s="149"/>
      <c r="I949" s="140"/>
      <c r="J949" s="140"/>
      <c r="K949" s="140"/>
      <c r="L949" s="140"/>
      <c r="M949" s="140"/>
      <c r="N949" s="140"/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</row>
    <row r="950" spans="1:26" ht="18">
      <c r="A950" s="140"/>
      <c r="B950" s="137"/>
      <c r="C950" s="138"/>
      <c r="D950" s="139"/>
      <c r="E950" s="139"/>
      <c r="F950" s="140"/>
      <c r="G950" s="147"/>
      <c r="H950" s="147"/>
      <c r="I950" s="140"/>
      <c r="J950" s="140"/>
      <c r="K950" s="140"/>
      <c r="L950" s="140"/>
      <c r="M950" s="140"/>
      <c r="N950" s="140"/>
      <c r="O950" s="140"/>
      <c r="P950" s="140"/>
      <c r="Q950" s="140"/>
      <c r="R950" s="140"/>
      <c r="S950" s="140"/>
      <c r="T950" s="140"/>
      <c r="U950" s="140"/>
      <c r="V950" s="140"/>
      <c r="W950" s="140"/>
      <c r="X950" s="140"/>
      <c r="Y950" s="140"/>
      <c r="Z950" s="140"/>
    </row>
    <row r="951" spans="1:26" ht="18">
      <c r="A951" s="140"/>
      <c r="B951" s="137"/>
      <c r="C951" s="138"/>
      <c r="D951" s="139"/>
      <c r="E951" s="139"/>
      <c r="F951" s="140"/>
      <c r="G951" s="149"/>
      <c r="H951" s="149"/>
      <c r="I951" s="140"/>
      <c r="J951" s="140"/>
      <c r="K951" s="140"/>
      <c r="L951" s="140"/>
      <c r="M951" s="140"/>
      <c r="N951" s="140"/>
      <c r="O951" s="140"/>
      <c r="P951" s="140"/>
      <c r="Q951" s="140"/>
      <c r="R951" s="140"/>
      <c r="S951" s="140"/>
      <c r="T951" s="140"/>
      <c r="U951" s="140"/>
      <c r="V951" s="140"/>
      <c r="W951" s="140"/>
      <c r="X951" s="140"/>
      <c r="Y951" s="140"/>
      <c r="Z951" s="140"/>
    </row>
    <row r="952" spans="1:26" ht="18">
      <c r="A952" s="140"/>
      <c r="B952" s="137"/>
      <c r="C952" s="138"/>
      <c r="D952" s="139"/>
      <c r="E952" s="139"/>
      <c r="F952" s="140"/>
      <c r="G952" s="147"/>
      <c r="H952" s="147"/>
      <c r="I952" s="140"/>
      <c r="J952" s="140"/>
      <c r="K952" s="140"/>
      <c r="L952" s="140"/>
      <c r="M952" s="140"/>
      <c r="N952" s="140"/>
      <c r="O952" s="140"/>
      <c r="P952" s="140"/>
      <c r="Q952" s="140"/>
      <c r="R952" s="140"/>
      <c r="S952" s="140"/>
      <c r="T952" s="140"/>
      <c r="U952" s="140"/>
      <c r="V952" s="140"/>
      <c r="W952" s="140"/>
      <c r="X952" s="140"/>
      <c r="Y952" s="140"/>
      <c r="Z952" s="140"/>
    </row>
    <row r="953" spans="1:26" ht="18">
      <c r="A953" s="140"/>
      <c r="B953" s="137"/>
      <c r="C953" s="138"/>
      <c r="D953" s="139"/>
      <c r="E953" s="139"/>
      <c r="F953" s="140"/>
      <c r="G953" s="149"/>
      <c r="H953" s="149"/>
      <c r="I953" s="140"/>
      <c r="J953" s="140"/>
      <c r="K953" s="140"/>
      <c r="L953" s="140"/>
      <c r="M953" s="140"/>
      <c r="N953" s="140"/>
      <c r="O953" s="140"/>
      <c r="P953" s="140"/>
      <c r="Q953" s="140"/>
      <c r="R953" s="140"/>
      <c r="S953" s="140"/>
      <c r="T953" s="140"/>
      <c r="U953" s="140"/>
      <c r="V953" s="140"/>
      <c r="W953" s="140"/>
      <c r="X953" s="140"/>
      <c r="Y953" s="140"/>
      <c r="Z953" s="140"/>
    </row>
    <row r="954" spans="1:26" ht="18">
      <c r="A954" s="140"/>
      <c r="B954" s="137"/>
      <c r="C954" s="138"/>
      <c r="D954" s="139"/>
      <c r="E954" s="139"/>
      <c r="F954" s="140"/>
      <c r="G954" s="147"/>
      <c r="H954" s="147"/>
      <c r="I954" s="140"/>
      <c r="J954" s="140"/>
      <c r="K954" s="140"/>
      <c r="L954" s="140"/>
      <c r="M954" s="140"/>
      <c r="N954" s="140"/>
      <c r="O954" s="140"/>
      <c r="P954" s="140"/>
      <c r="Q954" s="140"/>
      <c r="R954" s="140"/>
      <c r="S954" s="140"/>
      <c r="T954" s="140"/>
      <c r="U954" s="140"/>
      <c r="V954" s="140"/>
      <c r="W954" s="140"/>
      <c r="X954" s="140"/>
      <c r="Y954" s="140"/>
      <c r="Z954" s="140"/>
    </row>
    <row r="955" spans="1:26" ht="18">
      <c r="A955" s="140"/>
      <c r="B955" s="137"/>
      <c r="C955" s="138"/>
      <c r="D955" s="139"/>
      <c r="E955" s="139"/>
      <c r="F955" s="140"/>
      <c r="G955" s="149"/>
      <c r="H955" s="149"/>
      <c r="I955" s="140"/>
      <c r="J955" s="140"/>
      <c r="K955" s="140"/>
      <c r="L955" s="140"/>
      <c r="M955" s="140"/>
      <c r="N955" s="140"/>
      <c r="O955" s="140"/>
      <c r="P955" s="140"/>
      <c r="Q955" s="140"/>
      <c r="R955" s="140"/>
      <c r="S955" s="140"/>
      <c r="T955" s="140"/>
      <c r="U955" s="140"/>
      <c r="V955" s="140"/>
      <c r="W955" s="140"/>
      <c r="X955" s="140"/>
      <c r="Y955" s="140"/>
      <c r="Z955" s="140"/>
    </row>
    <row r="956" spans="1:26" ht="18">
      <c r="A956" s="140"/>
      <c r="B956" s="137"/>
      <c r="C956" s="138"/>
      <c r="D956" s="139"/>
      <c r="E956" s="139"/>
      <c r="F956" s="140"/>
      <c r="G956" s="147"/>
      <c r="H956" s="147"/>
      <c r="I956" s="140"/>
      <c r="J956" s="140"/>
      <c r="K956" s="140"/>
      <c r="L956" s="140"/>
      <c r="M956" s="140"/>
      <c r="N956" s="140"/>
      <c r="O956" s="140"/>
      <c r="P956" s="140"/>
      <c r="Q956" s="140"/>
      <c r="R956" s="140"/>
      <c r="S956" s="140"/>
      <c r="T956" s="140"/>
      <c r="U956" s="140"/>
      <c r="V956" s="140"/>
      <c r="W956" s="140"/>
      <c r="X956" s="140"/>
      <c r="Y956" s="140"/>
      <c r="Z956" s="140"/>
    </row>
    <row r="957" spans="1:26" ht="18">
      <c r="A957" s="140"/>
      <c r="B957" s="137"/>
      <c r="C957" s="138"/>
      <c r="D957" s="139"/>
      <c r="E957" s="139"/>
      <c r="F957" s="140"/>
      <c r="G957" s="149"/>
      <c r="H957" s="149"/>
      <c r="I957" s="140"/>
      <c r="J957" s="140"/>
      <c r="K957" s="140"/>
      <c r="L957" s="140"/>
      <c r="M957" s="140"/>
      <c r="N957" s="140"/>
      <c r="O957" s="140"/>
      <c r="P957" s="140"/>
      <c r="Q957" s="140"/>
      <c r="R957" s="140"/>
      <c r="S957" s="140"/>
      <c r="T957" s="140"/>
      <c r="U957" s="140"/>
      <c r="V957" s="140"/>
      <c r="W957" s="140"/>
      <c r="X957" s="140"/>
      <c r="Y957" s="140"/>
      <c r="Z957" s="140"/>
    </row>
    <row r="958" spans="1:26" ht="18">
      <c r="A958" s="140"/>
      <c r="B958" s="137"/>
      <c r="C958" s="138"/>
      <c r="D958" s="139"/>
      <c r="E958" s="139"/>
      <c r="F958" s="140"/>
      <c r="G958" s="147"/>
      <c r="H958" s="147"/>
      <c r="I958" s="140"/>
      <c r="J958" s="140"/>
      <c r="K958" s="140"/>
      <c r="L958" s="140"/>
      <c r="M958" s="140"/>
      <c r="N958" s="140"/>
      <c r="O958" s="140"/>
      <c r="P958" s="140"/>
      <c r="Q958" s="140"/>
      <c r="R958" s="140"/>
      <c r="S958" s="140"/>
      <c r="T958" s="140"/>
      <c r="U958" s="140"/>
      <c r="V958" s="140"/>
      <c r="W958" s="140"/>
      <c r="X958" s="140"/>
      <c r="Y958" s="140"/>
      <c r="Z958" s="140"/>
    </row>
    <row r="959" spans="1:26" ht="18">
      <c r="A959" s="140"/>
      <c r="B959" s="137"/>
      <c r="C959" s="138"/>
      <c r="D959" s="139"/>
      <c r="E959" s="139"/>
      <c r="F959" s="140"/>
      <c r="G959" s="149"/>
      <c r="H959" s="149"/>
      <c r="I959" s="140"/>
      <c r="J959" s="140"/>
      <c r="K959" s="140"/>
      <c r="L959" s="140"/>
      <c r="M959" s="140"/>
      <c r="N959" s="140"/>
      <c r="O959" s="140"/>
      <c r="P959" s="140"/>
      <c r="Q959" s="140"/>
      <c r="R959" s="140"/>
      <c r="S959" s="140"/>
      <c r="T959" s="140"/>
      <c r="U959" s="140"/>
      <c r="V959" s="140"/>
      <c r="W959" s="140"/>
      <c r="X959" s="140"/>
      <c r="Y959" s="140"/>
      <c r="Z959" s="140"/>
    </row>
    <row r="960" spans="1:26" ht="18">
      <c r="A960" s="140"/>
      <c r="B960" s="137"/>
      <c r="C960" s="138"/>
      <c r="D960" s="139"/>
      <c r="E960" s="139"/>
      <c r="F960" s="140"/>
      <c r="G960" s="147"/>
      <c r="H960" s="147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  <c r="Y960" s="140"/>
      <c r="Z960" s="140"/>
    </row>
    <row r="961" spans="1:26" ht="18">
      <c r="A961" s="140"/>
      <c r="B961" s="137"/>
      <c r="C961" s="138"/>
      <c r="D961" s="139"/>
      <c r="E961" s="139"/>
      <c r="F961" s="140"/>
      <c r="G961" s="149"/>
      <c r="H961" s="149"/>
      <c r="I961" s="140"/>
      <c r="J961" s="140"/>
      <c r="K961" s="140"/>
      <c r="L961" s="140"/>
      <c r="M961" s="140"/>
      <c r="N961" s="140"/>
      <c r="O961" s="140"/>
      <c r="P961" s="140"/>
      <c r="Q961" s="140"/>
      <c r="R961" s="140"/>
      <c r="S961" s="140"/>
      <c r="T961" s="140"/>
      <c r="U961" s="140"/>
      <c r="V961" s="140"/>
      <c r="W961" s="140"/>
      <c r="X961" s="140"/>
      <c r="Y961" s="140"/>
      <c r="Z961" s="140"/>
    </row>
    <row r="962" spans="1:26" ht="18">
      <c r="A962" s="140"/>
      <c r="B962" s="137"/>
      <c r="C962" s="138"/>
      <c r="D962" s="139"/>
      <c r="E962" s="139"/>
      <c r="F962" s="140"/>
      <c r="G962" s="147"/>
      <c r="H962" s="147"/>
      <c r="I962" s="140"/>
      <c r="J962" s="140"/>
      <c r="K962" s="140"/>
      <c r="L962" s="140"/>
      <c r="M962" s="140"/>
      <c r="N962" s="140"/>
      <c r="O962" s="140"/>
      <c r="P962" s="140"/>
      <c r="Q962" s="140"/>
      <c r="R962" s="140"/>
      <c r="S962" s="140"/>
      <c r="T962" s="140"/>
      <c r="U962" s="140"/>
      <c r="V962" s="140"/>
      <c r="W962" s="140"/>
      <c r="X962" s="140"/>
      <c r="Y962" s="140"/>
      <c r="Z962" s="140"/>
    </row>
    <row r="963" spans="1:26" ht="18">
      <c r="A963" s="140"/>
      <c r="B963" s="137"/>
      <c r="C963" s="138"/>
      <c r="D963" s="139"/>
      <c r="E963" s="139"/>
      <c r="F963" s="140"/>
      <c r="G963" s="149"/>
      <c r="H963" s="149"/>
      <c r="I963" s="140"/>
      <c r="J963" s="140"/>
      <c r="K963" s="140"/>
      <c r="L963" s="140"/>
      <c r="M963" s="140"/>
      <c r="N963" s="140"/>
      <c r="O963" s="140"/>
      <c r="P963" s="140"/>
      <c r="Q963" s="140"/>
      <c r="R963" s="140"/>
      <c r="S963" s="140"/>
      <c r="T963" s="140"/>
      <c r="U963" s="140"/>
      <c r="V963" s="140"/>
      <c r="W963" s="140"/>
      <c r="X963" s="140"/>
      <c r="Y963" s="140"/>
      <c r="Z963" s="140"/>
    </row>
    <row r="964" spans="1:26" ht="18">
      <c r="A964" s="140"/>
      <c r="B964" s="137"/>
      <c r="C964" s="138"/>
      <c r="D964" s="139"/>
      <c r="E964" s="139"/>
      <c r="F964" s="140"/>
      <c r="G964" s="147"/>
      <c r="H964" s="147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  <c r="Y964" s="140"/>
      <c r="Z964" s="140"/>
    </row>
    <row r="965" spans="1:26" ht="18">
      <c r="A965" s="140"/>
      <c r="B965" s="137"/>
      <c r="C965" s="138"/>
      <c r="D965" s="139"/>
      <c r="E965" s="139"/>
      <c r="F965" s="140"/>
      <c r="G965" s="149"/>
      <c r="H965" s="149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  <c r="Y965" s="140"/>
      <c r="Z965" s="140"/>
    </row>
    <row r="966" spans="1:26" ht="18">
      <c r="A966" s="140"/>
      <c r="B966" s="137"/>
      <c r="C966" s="138"/>
      <c r="D966" s="139"/>
      <c r="E966" s="139"/>
      <c r="F966" s="140"/>
      <c r="G966" s="147"/>
      <c r="H966" s="147"/>
      <c r="I966" s="140"/>
      <c r="J966" s="140"/>
      <c r="K966" s="140"/>
      <c r="L966" s="140"/>
      <c r="M966" s="140"/>
      <c r="N966" s="140"/>
      <c r="O966" s="140"/>
      <c r="P966" s="140"/>
      <c r="Q966" s="140"/>
      <c r="R966" s="140"/>
      <c r="S966" s="140"/>
      <c r="T966" s="140"/>
      <c r="U966" s="140"/>
      <c r="V966" s="140"/>
      <c r="W966" s="140"/>
      <c r="X966" s="140"/>
      <c r="Y966" s="140"/>
      <c r="Z966" s="140"/>
    </row>
    <row r="967" spans="1:26" ht="18">
      <c r="A967" s="140"/>
      <c r="B967" s="137"/>
      <c r="C967" s="138"/>
      <c r="D967" s="139"/>
      <c r="E967" s="139"/>
      <c r="F967" s="140"/>
      <c r="G967" s="149"/>
      <c r="H967" s="149"/>
      <c r="I967" s="140"/>
      <c r="J967" s="140"/>
      <c r="K967" s="140"/>
      <c r="L967" s="140"/>
      <c r="M967" s="140"/>
      <c r="N967" s="140"/>
      <c r="O967" s="140"/>
      <c r="P967" s="140"/>
      <c r="Q967" s="140"/>
      <c r="R967" s="140"/>
      <c r="S967" s="140"/>
      <c r="T967" s="140"/>
      <c r="U967" s="140"/>
      <c r="V967" s="140"/>
      <c r="W967" s="140"/>
      <c r="X967" s="140"/>
      <c r="Y967" s="140"/>
      <c r="Z967" s="140"/>
    </row>
    <row r="968" spans="1:26" ht="18">
      <c r="A968" s="140"/>
      <c r="B968" s="137"/>
      <c r="C968" s="138"/>
      <c r="D968" s="139"/>
      <c r="E968" s="139"/>
      <c r="F968" s="140"/>
      <c r="G968" s="147"/>
      <c r="H968" s="147"/>
      <c r="I968" s="140"/>
      <c r="J968" s="140"/>
      <c r="K968" s="140"/>
      <c r="L968" s="140"/>
      <c r="M968" s="140"/>
      <c r="N968" s="140"/>
      <c r="O968" s="140"/>
      <c r="P968" s="140"/>
      <c r="Q968" s="140"/>
      <c r="R968" s="140"/>
      <c r="S968" s="140"/>
      <c r="T968" s="140"/>
      <c r="U968" s="140"/>
      <c r="V968" s="140"/>
      <c r="W968" s="140"/>
      <c r="X968" s="140"/>
      <c r="Y968" s="140"/>
      <c r="Z968" s="140"/>
    </row>
    <row r="969" spans="1:26" ht="18">
      <c r="A969" s="140"/>
      <c r="B969" s="137"/>
      <c r="C969" s="138"/>
      <c r="D969" s="139"/>
      <c r="E969" s="139"/>
      <c r="F969" s="140"/>
      <c r="G969" s="149"/>
      <c r="H969" s="149"/>
      <c r="I969" s="140"/>
      <c r="J969" s="140"/>
      <c r="K969" s="140"/>
      <c r="L969" s="140"/>
      <c r="M969" s="140"/>
      <c r="N969" s="140"/>
      <c r="O969" s="140"/>
      <c r="P969" s="140"/>
      <c r="Q969" s="140"/>
      <c r="R969" s="140"/>
      <c r="S969" s="140"/>
      <c r="T969" s="140"/>
      <c r="U969" s="140"/>
      <c r="V969" s="140"/>
      <c r="W969" s="140"/>
      <c r="X969" s="140"/>
      <c r="Y969" s="140"/>
      <c r="Z969" s="140"/>
    </row>
    <row r="970" spans="1:26" ht="18">
      <c r="A970" s="140"/>
      <c r="B970" s="137"/>
      <c r="C970" s="138"/>
      <c r="D970" s="139"/>
      <c r="E970" s="139"/>
      <c r="F970" s="140"/>
      <c r="G970" s="147"/>
      <c r="H970" s="147"/>
      <c r="I970" s="140"/>
      <c r="J970" s="140"/>
      <c r="K970" s="140"/>
      <c r="L970" s="140"/>
      <c r="M970" s="140"/>
      <c r="N970" s="140"/>
      <c r="O970" s="140"/>
      <c r="P970" s="140"/>
      <c r="Q970" s="140"/>
      <c r="R970" s="140"/>
      <c r="S970" s="140"/>
      <c r="T970" s="140"/>
      <c r="U970" s="140"/>
      <c r="V970" s="140"/>
      <c r="W970" s="140"/>
      <c r="X970" s="140"/>
      <c r="Y970" s="140"/>
      <c r="Z970" s="140"/>
    </row>
    <row r="971" spans="1:26" ht="18">
      <c r="A971" s="140"/>
      <c r="B971" s="137"/>
      <c r="C971" s="138"/>
      <c r="D971" s="139"/>
      <c r="E971" s="139"/>
      <c r="F971" s="140"/>
      <c r="G971" s="149"/>
      <c r="H971" s="149"/>
      <c r="I971" s="140"/>
      <c r="J971" s="140"/>
      <c r="K971" s="140"/>
      <c r="L971" s="140"/>
      <c r="M971" s="140"/>
      <c r="N971" s="140"/>
      <c r="O971" s="140"/>
      <c r="P971" s="140"/>
      <c r="Q971" s="140"/>
      <c r="R971" s="140"/>
      <c r="S971" s="140"/>
      <c r="T971" s="140"/>
      <c r="U971" s="140"/>
      <c r="V971" s="140"/>
      <c r="W971" s="140"/>
      <c r="X971" s="140"/>
      <c r="Y971" s="140"/>
      <c r="Z971" s="140"/>
    </row>
    <row r="972" spans="1:26" ht="18">
      <c r="A972" s="140"/>
      <c r="B972" s="137"/>
      <c r="C972" s="138"/>
      <c r="D972" s="139"/>
      <c r="E972" s="139"/>
      <c r="F972" s="140"/>
      <c r="G972" s="147"/>
      <c r="H972" s="147"/>
      <c r="I972" s="140"/>
      <c r="J972" s="140"/>
      <c r="K972" s="140"/>
      <c r="L972" s="140"/>
      <c r="M972" s="140"/>
      <c r="N972" s="140"/>
      <c r="O972" s="140"/>
      <c r="P972" s="140"/>
      <c r="Q972" s="140"/>
      <c r="R972" s="140"/>
      <c r="S972" s="140"/>
      <c r="T972" s="140"/>
      <c r="U972" s="140"/>
      <c r="V972" s="140"/>
      <c r="W972" s="140"/>
      <c r="X972" s="140"/>
      <c r="Y972" s="140"/>
      <c r="Z972" s="140"/>
    </row>
    <row r="973" spans="1:26" ht="18">
      <c r="A973" s="140"/>
      <c r="B973" s="137"/>
      <c r="C973" s="138"/>
      <c r="D973" s="139"/>
      <c r="E973" s="139"/>
      <c r="F973" s="140"/>
      <c r="G973" s="149"/>
      <c r="H973" s="149"/>
      <c r="I973" s="140"/>
      <c r="J973" s="140"/>
      <c r="K973" s="140"/>
      <c r="L973" s="140"/>
      <c r="M973" s="140"/>
      <c r="N973" s="140"/>
      <c r="O973" s="140"/>
      <c r="P973" s="140"/>
      <c r="Q973" s="140"/>
      <c r="R973" s="140"/>
      <c r="S973" s="140"/>
      <c r="T973" s="140"/>
      <c r="U973" s="140"/>
      <c r="V973" s="140"/>
      <c r="W973" s="140"/>
      <c r="X973" s="140"/>
      <c r="Y973" s="140"/>
      <c r="Z973" s="140"/>
    </row>
    <row r="974" spans="1:26" ht="18">
      <c r="A974" s="140"/>
      <c r="B974" s="137"/>
      <c r="C974" s="138"/>
      <c r="D974" s="139"/>
      <c r="E974" s="139"/>
      <c r="F974" s="140"/>
      <c r="G974" s="147"/>
      <c r="H974" s="147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  <c r="Y974" s="140"/>
      <c r="Z974" s="140"/>
    </row>
    <row r="975" spans="1:26" ht="18">
      <c r="A975" s="140"/>
      <c r="B975" s="137"/>
      <c r="C975" s="138"/>
      <c r="D975" s="139"/>
      <c r="E975" s="139"/>
      <c r="F975" s="140"/>
      <c r="G975" s="149"/>
      <c r="H975" s="149"/>
      <c r="I975" s="140"/>
      <c r="J975" s="140"/>
      <c r="K975" s="140"/>
      <c r="L975" s="140"/>
      <c r="M975" s="140"/>
      <c r="N975" s="140"/>
      <c r="O975" s="140"/>
      <c r="P975" s="140"/>
      <c r="Q975" s="140"/>
      <c r="R975" s="140"/>
      <c r="S975" s="140"/>
      <c r="T975" s="140"/>
      <c r="U975" s="140"/>
      <c r="V975" s="140"/>
      <c r="W975" s="140"/>
      <c r="X975" s="140"/>
      <c r="Y975" s="140"/>
      <c r="Z975" s="140"/>
    </row>
    <row r="976" spans="1:26" ht="18">
      <c r="A976" s="140"/>
      <c r="B976" s="137"/>
      <c r="C976" s="138"/>
      <c r="D976" s="139"/>
      <c r="E976" s="139"/>
      <c r="F976" s="140"/>
      <c r="G976" s="147"/>
      <c r="H976" s="147"/>
      <c r="I976" s="140"/>
      <c r="J976" s="140"/>
      <c r="K976" s="140"/>
      <c r="L976" s="140"/>
      <c r="M976" s="140"/>
      <c r="N976" s="140"/>
      <c r="O976" s="140"/>
      <c r="P976" s="140"/>
      <c r="Q976" s="140"/>
      <c r="R976" s="140"/>
      <c r="S976" s="140"/>
      <c r="T976" s="140"/>
      <c r="U976" s="140"/>
      <c r="V976" s="140"/>
      <c r="W976" s="140"/>
      <c r="X976" s="140"/>
      <c r="Y976" s="140"/>
      <c r="Z976" s="140"/>
    </row>
    <row r="977" spans="1:26" ht="18">
      <c r="A977" s="140"/>
      <c r="B977" s="137"/>
      <c r="C977" s="138"/>
      <c r="D977" s="139"/>
      <c r="E977" s="139"/>
      <c r="F977" s="140"/>
      <c r="G977" s="149"/>
      <c r="H977" s="149"/>
      <c r="I977" s="140"/>
      <c r="J977" s="140"/>
      <c r="K977" s="140"/>
      <c r="L977" s="140"/>
      <c r="M977" s="140"/>
      <c r="N977" s="140"/>
      <c r="O977" s="140"/>
      <c r="P977" s="140"/>
      <c r="Q977" s="140"/>
      <c r="R977" s="140"/>
      <c r="S977" s="140"/>
      <c r="T977" s="140"/>
      <c r="U977" s="140"/>
      <c r="V977" s="140"/>
      <c r="W977" s="140"/>
      <c r="X977" s="140"/>
      <c r="Y977" s="140"/>
      <c r="Z977" s="140"/>
    </row>
    <row r="978" spans="1:26" ht="18">
      <c r="A978" s="140"/>
      <c r="B978" s="137"/>
      <c r="C978" s="138"/>
      <c r="D978" s="139"/>
      <c r="E978" s="139"/>
      <c r="F978" s="140"/>
      <c r="G978" s="147"/>
      <c r="H978" s="147"/>
      <c r="I978" s="140"/>
      <c r="J978" s="140"/>
      <c r="K978" s="140"/>
      <c r="L978" s="140"/>
      <c r="M978" s="140"/>
      <c r="N978" s="140"/>
      <c r="O978" s="140"/>
      <c r="P978" s="140"/>
      <c r="Q978" s="140"/>
      <c r="R978" s="140"/>
      <c r="S978" s="140"/>
      <c r="T978" s="140"/>
      <c r="U978" s="140"/>
      <c r="V978" s="140"/>
      <c r="W978" s="140"/>
      <c r="X978" s="140"/>
      <c r="Y978" s="140"/>
      <c r="Z978" s="140"/>
    </row>
    <row r="979" spans="1:26" ht="18">
      <c r="A979" s="140"/>
      <c r="B979" s="137"/>
      <c r="C979" s="138"/>
      <c r="D979" s="139"/>
      <c r="E979" s="139"/>
      <c r="F979" s="140"/>
      <c r="G979" s="149"/>
      <c r="H979" s="149"/>
      <c r="I979" s="140"/>
      <c r="J979" s="140"/>
      <c r="K979" s="140"/>
      <c r="L979" s="140"/>
      <c r="M979" s="140"/>
      <c r="N979" s="140"/>
      <c r="O979" s="140"/>
      <c r="P979" s="140"/>
      <c r="Q979" s="140"/>
      <c r="R979" s="140"/>
      <c r="S979" s="140"/>
      <c r="T979" s="140"/>
      <c r="U979" s="140"/>
      <c r="V979" s="140"/>
      <c r="W979" s="140"/>
      <c r="X979" s="140"/>
      <c r="Y979" s="140"/>
      <c r="Z979" s="140"/>
    </row>
    <row r="980" spans="1:26" ht="18">
      <c r="A980" s="140"/>
      <c r="B980" s="137"/>
      <c r="C980" s="138"/>
      <c r="D980" s="139"/>
      <c r="E980" s="139"/>
      <c r="F980" s="140"/>
      <c r="G980" s="147"/>
      <c r="H980" s="147"/>
      <c r="I980" s="140"/>
      <c r="J980" s="140"/>
      <c r="K980" s="140"/>
      <c r="L980" s="140"/>
      <c r="M980" s="140"/>
      <c r="N980" s="140"/>
      <c r="O980" s="140"/>
      <c r="P980" s="140"/>
      <c r="Q980" s="140"/>
      <c r="R980" s="140"/>
      <c r="S980" s="140"/>
      <c r="T980" s="140"/>
      <c r="U980" s="140"/>
      <c r="V980" s="140"/>
      <c r="W980" s="140"/>
      <c r="X980" s="140"/>
      <c r="Y980" s="140"/>
      <c r="Z980" s="140"/>
    </row>
    <row r="981" spans="1:26" ht="18">
      <c r="A981" s="140"/>
      <c r="B981" s="137"/>
      <c r="C981" s="138"/>
      <c r="D981" s="139"/>
      <c r="E981" s="139"/>
      <c r="F981" s="140"/>
      <c r="G981" s="149"/>
      <c r="H981" s="149"/>
      <c r="I981" s="140"/>
      <c r="J981" s="140"/>
      <c r="K981" s="140"/>
      <c r="L981" s="140"/>
      <c r="M981" s="140"/>
      <c r="N981" s="140"/>
      <c r="O981" s="140"/>
      <c r="P981" s="140"/>
      <c r="Q981" s="140"/>
      <c r="R981" s="140"/>
      <c r="S981" s="140"/>
      <c r="T981" s="140"/>
      <c r="U981" s="140"/>
      <c r="V981" s="140"/>
      <c r="W981" s="140"/>
      <c r="X981" s="140"/>
      <c r="Y981" s="140"/>
      <c r="Z981" s="140"/>
    </row>
    <row r="982" spans="1:26" ht="18">
      <c r="A982" s="140"/>
      <c r="B982" s="137"/>
      <c r="C982" s="138"/>
      <c r="D982" s="139"/>
      <c r="E982" s="139"/>
      <c r="F982" s="140"/>
      <c r="G982" s="147"/>
      <c r="H982" s="147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</row>
    <row r="983" spans="1:26" ht="18">
      <c r="A983" s="140"/>
      <c r="B983" s="137"/>
      <c r="C983" s="138"/>
      <c r="D983" s="139"/>
      <c r="E983" s="139"/>
      <c r="F983" s="140"/>
      <c r="G983" s="149"/>
      <c r="H983" s="149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  <c r="Y983" s="140"/>
      <c r="Z983" s="140"/>
    </row>
    <row r="984" spans="1:26" ht="18">
      <c r="A984" s="140"/>
      <c r="B984" s="137"/>
      <c r="C984" s="138"/>
      <c r="D984" s="139"/>
      <c r="E984" s="139"/>
      <c r="F984" s="140"/>
      <c r="G984" s="147"/>
      <c r="H984" s="147"/>
      <c r="I984" s="140"/>
      <c r="J984" s="140"/>
      <c r="K984" s="140"/>
      <c r="L984" s="140"/>
      <c r="M984" s="140"/>
      <c r="N984" s="140"/>
      <c r="O984" s="140"/>
      <c r="P984" s="140"/>
      <c r="Q984" s="140"/>
      <c r="R984" s="140"/>
      <c r="S984" s="140"/>
      <c r="T984" s="140"/>
      <c r="U984" s="140"/>
      <c r="V984" s="140"/>
      <c r="W984" s="140"/>
      <c r="X984" s="140"/>
      <c r="Y984" s="140"/>
      <c r="Z984" s="140"/>
    </row>
    <row r="985" spans="1:26" ht="18">
      <c r="A985" s="140"/>
      <c r="B985" s="137"/>
      <c r="C985" s="138"/>
      <c r="D985" s="139"/>
      <c r="E985" s="139"/>
      <c r="F985" s="140"/>
      <c r="G985" s="149"/>
      <c r="H985" s="149"/>
      <c r="I985" s="140"/>
      <c r="J985" s="140"/>
      <c r="K985" s="140"/>
      <c r="L985" s="140"/>
      <c r="M985" s="140"/>
      <c r="N985" s="140"/>
      <c r="O985" s="140"/>
      <c r="P985" s="140"/>
      <c r="Q985" s="140"/>
      <c r="R985" s="140"/>
      <c r="S985" s="140"/>
      <c r="T985" s="140"/>
      <c r="U985" s="140"/>
      <c r="V985" s="140"/>
      <c r="W985" s="140"/>
      <c r="X985" s="140"/>
      <c r="Y985" s="140"/>
      <c r="Z985" s="140"/>
    </row>
    <row r="986" spans="1:26" ht="18">
      <c r="A986" s="140"/>
      <c r="B986" s="137"/>
      <c r="C986" s="138"/>
      <c r="D986" s="139"/>
      <c r="E986" s="139"/>
      <c r="F986" s="140"/>
      <c r="G986" s="147"/>
      <c r="H986" s="147"/>
      <c r="I986" s="140"/>
      <c r="J986" s="140"/>
      <c r="K986" s="140"/>
      <c r="L986" s="140"/>
      <c r="M986" s="140"/>
      <c r="N986" s="140"/>
      <c r="O986" s="140"/>
      <c r="P986" s="140"/>
      <c r="Q986" s="140"/>
      <c r="R986" s="140"/>
      <c r="S986" s="140"/>
      <c r="T986" s="140"/>
      <c r="U986" s="140"/>
      <c r="V986" s="140"/>
      <c r="W986" s="140"/>
      <c r="X986" s="140"/>
      <c r="Y986" s="140"/>
      <c r="Z986" s="140"/>
    </row>
    <row r="987" spans="1:26" ht="18">
      <c r="A987" s="140"/>
      <c r="B987" s="137"/>
      <c r="C987" s="138"/>
      <c r="D987" s="139"/>
      <c r="E987" s="139"/>
      <c r="F987" s="140"/>
      <c r="G987" s="149"/>
      <c r="H987" s="149"/>
      <c r="I987" s="140"/>
      <c r="J987" s="140"/>
      <c r="K987" s="140"/>
      <c r="L987" s="140"/>
      <c r="M987" s="140"/>
      <c r="N987" s="140"/>
      <c r="O987" s="140"/>
      <c r="P987" s="140"/>
      <c r="Q987" s="140"/>
      <c r="R987" s="140"/>
      <c r="S987" s="140"/>
      <c r="T987" s="140"/>
      <c r="U987" s="140"/>
      <c r="V987" s="140"/>
      <c r="W987" s="140"/>
      <c r="X987" s="140"/>
      <c r="Y987" s="140"/>
      <c r="Z987" s="140"/>
    </row>
    <row r="988" spans="1:26" ht="18">
      <c r="A988" s="140"/>
      <c r="B988" s="137"/>
      <c r="C988" s="138"/>
      <c r="D988" s="139"/>
      <c r="E988" s="139"/>
      <c r="F988" s="140"/>
      <c r="G988" s="147"/>
      <c r="H988" s="147"/>
      <c r="I988" s="140"/>
      <c r="J988" s="140"/>
      <c r="K988" s="140"/>
      <c r="L988" s="140"/>
      <c r="M988" s="140"/>
      <c r="N988" s="140"/>
      <c r="O988" s="140"/>
      <c r="P988" s="140"/>
      <c r="Q988" s="140"/>
      <c r="R988" s="140"/>
      <c r="S988" s="140"/>
      <c r="T988" s="140"/>
      <c r="U988" s="140"/>
      <c r="V988" s="140"/>
      <c r="W988" s="140"/>
      <c r="X988" s="140"/>
      <c r="Y988" s="140"/>
      <c r="Z988" s="140"/>
    </row>
    <row r="989" spans="1:26" ht="18">
      <c r="A989" s="140"/>
      <c r="B989" s="137"/>
      <c r="C989" s="138"/>
      <c r="D989" s="139"/>
      <c r="E989" s="139"/>
      <c r="F989" s="140"/>
      <c r="G989" s="149"/>
      <c r="H989" s="149"/>
      <c r="I989" s="140"/>
      <c r="J989" s="140"/>
      <c r="K989" s="140"/>
      <c r="L989" s="140"/>
      <c r="M989" s="140"/>
      <c r="N989" s="140"/>
      <c r="O989" s="140"/>
      <c r="P989" s="140"/>
      <c r="Q989" s="140"/>
      <c r="R989" s="140"/>
      <c r="S989" s="140"/>
      <c r="T989" s="140"/>
      <c r="U989" s="140"/>
      <c r="V989" s="140"/>
      <c r="W989" s="140"/>
      <c r="X989" s="140"/>
      <c r="Y989" s="140"/>
      <c r="Z989" s="140"/>
    </row>
    <row r="990" spans="1:26" ht="18">
      <c r="A990" s="140"/>
      <c r="B990" s="137"/>
      <c r="C990" s="138"/>
      <c r="D990" s="139"/>
      <c r="E990" s="139"/>
      <c r="F990" s="140"/>
      <c r="G990" s="147"/>
      <c r="H990" s="147"/>
      <c r="I990" s="140"/>
      <c r="J990" s="140"/>
      <c r="K990" s="140"/>
      <c r="L990" s="140"/>
      <c r="M990" s="140"/>
      <c r="N990" s="140"/>
      <c r="O990" s="140"/>
      <c r="P990" s="140"/>
      <c r="Q990" s="140"/>
      <c r="R990" s="140"/>
      <c r="S990" s="140"/>
      <c r="T990" s="140"/>
      <c r="U990" s="140"/>
      <c r="V990" s="140"/>
      <c r="W990" s="140"/>
      <c r="X990" s="140"/>
      <c r="Y990" s="140"/>
      <c r="Z990" s="140"/>
    </row>
    <row r="991" spans="1:26" ht="18">
      <c r="A991" s="140"/>
      <c r="B991" s="137"/>
      <c r="C991" s="138"/>
      <c r="D991" s="139"/>
      <c r="E991" s="139"/>
      <c r="F991" s="140"/>
      <c r="G991" s="149"/>
      <c r="H991" s="149"/>
      <c r="I991" s="140"/>
      <c r="J991" s="140"/>
      <c r="K991" s="140"/>
      <c r="L991" s="140"/>
      <c r="M991" s="140"/>
      <c r="N991" s="140"/>
      <c r="O991" s="140"/>
      <c r="P991" s="140"/>
      <c r="Q991" s="140"/>
      <c r="R991" s="140"/>
      <c r="S991" s="140"/>
      <c r="T991" s="140"/>
      <c r="U991" s="140"/>
      <c r="V991" s="140"/>
      <c r="W991" s="140"/>
      <c r="X991" s="140"/>
      <c r="Y991" s="140"/>
      <c r="Z991" s="140"/>
    </row>
    <row r="992" spans="1:26" ht="18">
      <c r="A992" s="140"/>
      <c r="B992" s="137"/>
      <c r="C992" s="138"/>
      <c r="D992" s="139"/>
      <c r="E992" s="139"/>
      <c r="F992" s="140"/>
      <c r="G992" s="147"/>
      <c r="H992" s="147"/>
      <c r="I992" s="140"/>
      <c r="J992" s="140"/>
      <c r="K992" s="140"/>
      <c r="L992" s="140"/>
      <c r="M992" s="140"/>
      <c r="N992" s="140"/>
      <c r="O992" s="140"/>
      <c r="P992" s="140"/>
      <c r="Q992" s="140"/>
      <c r="R992" s="140"/>
      <c r="S992" s="140"/>
      <c r="T992" s="140"/>
      <c r="U992" s="140"/>
      <c r="V992" s="140"/>
      <c r="W992" s="140"/>
      <c r="X992" s="140"/>
      <c r="Y992" s="140"/>
      <c r="Z992" s="140"/>
    </row>
    <row r="993" spans="1:26" ht="18">
      <c r="A993" s="140"/>
      <c r="B993" s="137"/>
      <c r="C993" s="138"/>
      <c r="D993" s="139"/>
      <c r="E993" s="139"/>
      <c r="F993" s="140"/>
      <c r="G993" s="149"/>
      <c r="H993" s="149"/>
      <c r="I993" s="140"/>
      <c r="J993" s="140"/>
      <c r="K993" s="140"/>
      <c r="L993" s="140"/>
      <c r="M993" s="140"/>
      <c r="N993" s="140"/>
      <c r="O993" s="140"/>
      <c r="P993" s="140"/>
      <c r="Q993" s="140"/>
      <c r="R993" s="140"/>
      <c r="S993" s="140"/>
      <c r="T993" s="140"/>
      <c r="U993" s="140"/>
      <c r="V993" s="140"/>
      <c r="W993" s="140"/>
      <c r="X993" s="140"/>
      <c r="Y993" s="140"/>
      <c r="Z993" s="140"/>
    </row>
    <row r="994" spans="1:26" ht="18">
      <c r="A994" s="140"/>
      <c r="B994" s="137"/>
      <c r="C994" s="138"/>
      <c r="D994" s="139"/>
      <c r="E994" s="139"/>
      <c r="F994" s="140"/>
      <c r="G994" s="147"/>
      <c r="H994" s="147"/>
      <c r="I994" s="140"/>
      <c r="J994" s="140"/>
      <c r="K994" s="140"/>
      <c r="L994" s="140"/>
      <c r="M994" s="140"/>
      <c r="N994" s="140"/>
      <c r="O994" s="140"/>
      <c r="P994" s="140"/>
      <c r="Q994" s="140"/>
      <c r="R994" s="140"/>
      <c r="S994" s="140"/>
      <c r="T994" s="140"/>
      <c r="U994" s="140"/>
      <c r="V994" s="140"/>
      <c r="W994" s="140"/>
      <c r="X994" s="140"/>
      <c r="Y994" s="140"/>
      <c r="Z994" s="140"/>
    </row>
    <row r="995" spans="1:26" ht="18">
      <c r="A995" s="140"/>
      <c r="B995" s="137"/>
      <c r="C995" s="138"/>
      <c r="D995" s="139"/>
      <c r="E995" s="139"/>
      <c r="F995" s="140"/>
      <c r="G995" s="149"/>
      <c r="H995" s="149"/>
      <c r="I995" s="140"/>
      <c r="J995" s="140"/>
      <c r="K995" s="140"/>
      <c r="L995" s="140"/>
      <c r="M995" s="140"/>
      <c r="N995" s="140"/>
      <c r="O995" s="140"/>
      <c r="P995" s="140"/>
      <c r="Q995" s="140"/>
      <c r="R995" s="140"/>
      <c r="S995" s="140"/>
      <c r="T995" s="140"/>
      <c r="U995" s="140"/>
      <c r="V995" s="140"/>
      <c r="W995" s="140"/>
      <c r="X995" s="140"/>
      <c r="Y995" s="140"/>
      <c r="Z995" s="140"/>
    </row>
    <row r="996" spans="1:26" ht="18">
      <c r="A996" s="140"/>
      <c r="B996" s="137"/>
      <c r="C996" s="138"/>
      <c r="D996" s="139"/>
      <c r="E996" s="139"/>
      <c r="F996" s="140"/>
      <c r="G996" s="147"/>
      <c r="H996" s="147"/>
      <c r="I996" s="140"/>
      <c r="J996" s="140"/>
      <c r="K996" s="140"/>
      <c r="L996" s="140"/>
      <c r="M996" s="140"/>
      <c r="N996" s="140"/>
      <c r="O996" s="140"/>
      <c r="P996" s="140"/>
      <c r="Q996" s="140"/>
      <c r="R996" s="140"/>
      <c r="S996" s="140"/>
      <c r="T996" s="140"/>
      <c r="U996" s="140"/>
      <c r="V996" s="140"/>
      <c r="W996" s="140"/>
      <c r="X996" s="140"/>
      <c r="Y996" s="140"/>
      <c r="Z996" s="140"/>
    </row>
    <row r="997" spans="1:26" ht="18">
      <c r="A997" s="140"/>
      <c r="B997" s="137"/>
      <c r="C997" s="138"/>
      <c r="D997" s="139"/>
      <c r="E997" s="139"/>
      <c r="F997" s="140"/>
      <c r="G997" s="149"/>
      <c r="H997" s="149"/>
      <c r="I997" s="140"/>
      <c r="J997" s="140"/>
      <c r="K997" s="140"/>
      <c r="L997" s="140"/>
      <c r="M997" s="140"/>
      <c r="N997" s="140"/>
      <c r="O997" s="140"/>
      <c r="P997" s="140"/>
      <c r="Q997" s="140"/>
      <c r="R997" s="140"/>
      <c r="S997" s="140"/>
      <c r="T997" s="140"/>
      <c r="U997" s="140"/>
      <c r="V997" s="140"/>
      <c r="W997" s="140"/>
      <c r="X997" s="140"/>
      <c r="Y997" s="140"/>
      <c r="Z997" s="140"/>
    </row>
    <row r="998" spans="1:26" ht="18">
      <c r="A998" s="140"/>
      <c r="B998" s="137"/>
      <c r="C998" s="138"/>
      <c r="D998" s="139"/>
      <c r="E998" s="139"/>
      <c r="F998" s="140"/>
      <c r="G998" s="147"/>
      <c r="H998" s="147"/>
      <c r="I998" s="140"/>
      <c r="J998" s="140"/>
      <c r="K998" s="140"/>
      <c r="L998" s="140"/>
      <c r="M998" s="140"/>
      <c r="N998" s="140"/>
      <c r="O998" s="140"/>
      <c r="P998" s="140"/>
      <c r="Q998" s="140"/>
      <c r="R998" s="140"/>
      <c r="S998" s="140"/>
      <c r="T998" s="140"/>
      <c r="U998" s="140"/>
      <c r="V998" s="140"/>
      <c r="W998" s="140"/>
      <c r="X998" s="140"/>
      <c r="Y998" s="140"/>
      <c r="Z998" s="140"/>
    </row>
    <row r="999" spans="1:26" ht="18">
      <c r="A999" s="140"/>
      <c r="B999" s="137"/>
      <c r="C999" s="138"/>
      <c r="D999" s="139"/>
      <c r="E999" s="139"/>
      <c r="F999" s="140"/>
      <c r="G999" s="149"/>
      <c r="H999" s="149"/>
      <c r="I999" s="140"/>
      <c r="J999" s="140"/>
      <c r="K999" s="140"/>
      <c r="L999" s="140"/>
      <c r="M999" s="140"/>
      <c r="N999" s="140"/>
      <c r="O999" s="140"/>
      <c r="P999" s="140"/>
      <c r="Q999" s="140"/>
      <c r="R999" s="140"/>
      <c r="S999" s="140"/>
      <c r="T999" s="140"/>
      <c r="U999" s="140"/>
      <c r="V999" s="140"/>
      <c r="W999" s="140"/>
      <c r="X999" s="140"/>
      <c r="Y999" s="140"/>
      <c r="Z999" s="140"/>
    </row>
    <row r="1000" spans="1:26" ht="18">
      <c r="A1000" s="140"/>
      <c r="B1000" s="137"/>
      <c r="C1000" s="138"/>
      <c r="D1000" s="139"/>
      <c r="E1000" s="139"/>
      <c r="F1000" s="140"/>
      <c r="G1000" s="147"/>
      <c r="H1000" s="147"/>
      <c r="I1000" s="140"/>
      <c r="J1000" s="140"/>
      <c r="K1000" s="140"/>
      <c r="L1000" s="140"/>
      <c r="M1000" s="140"/>
      <c r="N1000" s="140"/>
      <c r="O1000" s="140"/>
      <c r="P1000" s="140"/>
      <c r="Q1000" s="140"/>
      <c r="R1000" s="140"/>
      <c r="S1000" s="140"/>
      <c r="T1000" s="140"/>
      <c r="U1000" s="140"/>
      <c r="V1000" s="140"/>
      <c r="W1000" s="140"/>
      <c r="X1000" s="140"/>
      <c r="Y1000" s="140"/>
      <c r="Z1000" s="140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0"/>
  <sheetViews>
    <sheetView workbookViewId="0"/>
  </sheetViews>
  <sheetFormatPr baseColWidth="10" defaultColWidth="14.44140625" defaultRowHeight="15" customHeight="1"/>
  <cols>
    <col min="2" max="2" width="45" customWidth="1"/>
    <col min="3" max="3" width="39.109375" customWidth="1"/>
  </cols>
  <sheetData>
    <row r="1" spans="1:26" ht="15" customHeight="1">
      <c r="A1" s="136" t="str">
        <f ca="1">IFERROR(__xludf.DUMMYFUNCTION("query(Subida!A1:Z1000,""select * where A='FIN' OR A='FIN/PROPÓSITO'"")"),"")</f>
        <v/>
      </c>
      <c r="B1" s="137" t="str">
        <f ca="1">IFERROR(__xludf.DUMMYFUNCTION("""COMPUTED_VALUE"""),"RESUMEN NARRATIVO")</f>
        <v>RESUMEN NARRATIVO</v>
      </c>
      <c r="C1" s="138" t="str">
        <f ca="1">IFERROR(__xludf.DUMMYFUNCTION("""COMPUTED_VALUE"""),"OBJETIVOS DE RESULTADO")</f>
        <v>OBJETIVOS DE RESULTADO</v>
      </c>
      <c r="D1" s="150" t="str">
        <f ca="1">IFERROR(__xludf.DUMMYFUNCTION("""COMPUTED_VALUE"""),"UNIDAD DE MEDIDA")</f>
        <v>UNIDAD DE MEDIDA</v>
      </c>
      <c r="E1" s="139" t="str">
        <f ca="1">IFERROR(__xludf.DUMMYFUNCTION("""COMPUTED_VALUE"""),"Acumulado")</f>
        <v>Acumulado</v>
      </c>
      <c r="F1" s="140" t="str">
        <f ca="1">IFERROR(__xludf.DUMMYFUNCTION("""COMPUTED_VALUE"""),"META PROGRAMADA")</f>
        <v>META PROGRAMADA</v>
      </c>
      <c r="G1" s="141" t="str">
        <f ca="1">IFERROR(__xludf.DUMMYFUNCTION("""COMPUTED_VALUE"""),"cOMENTARIO")</f>
        <v>cOMENTARIO</v>
      </c>
      <c r="H1" s="141" t="str">
        <f ca="1">IFERROR(__xludf.DUMMYFUNCTION("""COMPUTED_VALUE"""),"SUBIDA")</f>
        <v>SUBIDA</v>
      </c>
      <c r="I1" s="140" t="str">
        <f ca="1">IFERROR(__xludf.DUMMYFUNCTION("""COMPUTED_VALUE"""),"")</f>
        <v/>
      </c>
      <c r="J1" s="140" t="str">
        <f ca="1">IFERROR(__xludf.DUMMYFUNCTION("""COMPUTED_VALUE"""),"")</f>
        <v/>
      </c>
      <c r="K1" s="140" t="str">
        <f ca="1">IFERROR(__xludf.DUMMYFUNCTION("""COMPUTED_VALUE"""),"")</f>
        <v/>
      </c>
      <c r="L1" s="140" t="str">
        <f ca="1">IFERROR(__xludf.DUMMYFUNCTION("""COMPUTED_VALUE"""),"")</f>
        <v/>
      </c>
      <c r="M1" s="140" t="str">
        <f ca="1">IFERROR(__xludf.DUMMYFUNCTION("""COMPUTED_VALUE"""),"")</f>
        <v/>
      </c>
      <c r="N1" s="140" t="str">
        <f ca="1">IFERROR(__xludf.DUMMYFUNCTION("""COMPUTED_VALUE"""),"")</f>
        <v/>
      </c>
      <c r="O1" s="140" t="str">
        <f ca="1">IFERROR(__xludf.DUMMYFUNCTION("""COMPUTED_VALUE"""),"")</f>
        <v/>
      </c>
      <c r="P1" s="140" t="str">
        <f ca="1">IFERROR(__xludf.DUMMYFUNCTION("""COMPUTED_VALUE"""),"")</f>
        <v/>
      </c>
      <c r="Q1" s="140" t="str">
        <f ca="1">IFERROR(__xludf.DUMMYFUNCTION("""COMPUTED_VALUE"""),"")</f>
        <v/>
      </c>
      <c r="R1" s="140" t="str">
        <f ca="1">IFERROR(__xludf.DUMMYFUNCTION("""COMPUTED_VALUE"""),"")</f>
        <v/>
      </c>
      <c r="S1" s="140" t="str">
        <f ca="1">IFERROR(__xludf.DUMMYFUNCTION("""COMPUTED_VALUE"""),"")</f>
        <v/>
      </c>
      <c r="T1" s="140" t="str">
        <f ca="1">IFERROR(__xludf.DUMMYFUNCTION("""COMPUTED_VALUE"""),"")</f>
        <v/>
      </c>
      <c r="U1" s="140" t="str">
        <f ca="1">IFERROR(__xludf.DUMMYFUNCTION("""COMPUTED_VALUE"""),"")</f>
        <v/>
      </c>
      <c r="V1" s="140" t="str">
        <f ca="1">IFERROR(__xludf.DUMMYFUNCTION("""COMPUTED_VALUE"""),"")</f>
        <v/>
      </c>
      <c r="W1" s="140" t="str">
        <f ca="1">IFERROR(__xludf.DUMMYFUNCTION("""COMPUTED_VALUE"""),"")</f>
        <v/>
      </c>
      <c r="X1" s="140" t="str">
        <f ca="1">IFERROR(__xludf.DUMMYFUNCTION("""COMPUTED_VALUE"""),"")</f>
        <v/>
      </c>
      <c r="Y1" s="140" t="str">
        <f ca="1">IFERROR(__xludf.DUMMYFUNCTION("""COMPUTED_VALUE"""),"")</f>
        <v/>
      </c>
      <c r="Z1" s="140" t="str">
        <f ca="1">IFERROR(__xludf.DUMMYFUNCTION("""COMPUTED_VALUE"""),"")</f>
        <v/>
      </c>
    </row>
    <row r="2" spans="1:26" ht="15" customHeight="1">
      <c r="A2" s="140" t="str">
        <f ca="1">IFERROR(__xludf.DUMMYFUNCTION("""COMPUTED_VALUE"""),"FIN")</f>
        <v>FIN</v>
      </c>
      <c r="B2" s="137" t="str">
        <f ca="1">IFERROR(__xludf.DUMMYFUNCTION("""COMPUTED_VALUE"""),"ACTIVIDAD 1.1")</f>
        <v>ACTIVIDAD 1.1</v>
      </c>
      <c r="C2" s="138" t="str">
        <f ca="1">IFERROR(__xludf.DUMMYFUNCTION("""COMPUTED_VALUE"""),"Apoyos asistenciales entregados a la población vulnerable que radica en la municipalidad de Guadalajara y en tránsito en el programa de Trabajo Social Asistencial durante el 2023")</f>
        <v>Apoyos asistenciales entregados a la población vulnerable que radica en la municipalidad de Guadalajara y en tránsito en el programa de Trabajo Social Asistencial durante el 2023</v>
      </c>
      <c r="D2" s="150" t="str">
        <f ca="1">IFERROR(__xludf.DUMMYFUNCTION("""COMPUTED_VALUE"""),"Porcentaje")</f>
        <v>Porcentaje</v>
      </c>
      <c r="E2" s="139">
        <f ca="1">IFERROR(__xludf.DUMMYFUNCTION("""COMPUTED_VALUE"""),463)</f>
        <v>463</v>
      </c>
      <c r="F2" s="140">
        <f ca="1">IFERROR(__xludf.DUMMYFUNCTION("""COMPUTED_VALUE"""),7450)</f>
        <v>7450</v>
      </c>
      <c r="G2" s="142" t="str">
        <f ca="1">IFERROR(__xludf.DUMMYFUNCTION("""COMPUTED_VALUE"""),"Sin comentarios")</f>
        <v>Sin comentarios</v>
      </c>
      <c r="H2" s="143" t="b">
        <f ca="1">IFERROR(__xludf.DUMMYFUNCTION("""COMPUTED_VALUE"""),TRUE)</f>
        <v>1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5" customHeight="1">
      <c r="A3" s="140" t="str">
        <f ca="1">IFERROR(__xludf.DUMMYFUNCTION("""COMPUTED_VALUE"""),"FIN/PROPÓSITO")</f>
        <v>FIN/PROPÓSITO</v>
      </c>
      <c r="B3" s="137" t="str">
        <f ca="1">IFERROR(__xludf.DUMMYFUNCTION("""COMPUTED_VALUE"""),"ACTIVIDAD 1.3")</f>
        <v>ACTIVIDAD 1.3</v>
      </c>
      <c r="C3" s="138" t="str">
        <f ca="1">IFERROR(__xludf.DUMMYFUNCTION("""COMPUTED_VALUE"""),"Servicios médicos de atención y prevención de primer nivel brindados, durante el 2023")</f>
        <v>Servicios médicos de atención y prevención de primer nivel brindados, durante el 2023</v>
      </c>
      <c r="D3" s="150" t="str">
        <f ca="1">IFERROR(__xludf.DUMMYFUNCTION("""COMPUTED_VALUE"""),"Porcentaje")</f>
        <v>Porcentaje</v>
      </c>
      <c r="E3" s="139">
        <f ca="1">IFERROR(__xludf.DUMMYFUNCTION("""COMPUTED_VALUE"""),3448)</f>
        <v>3448</v>
      </c>
      <c r="F3" s="140">
        <f ca="1">IFERROR(__xludf.DUMMYFUNCTION("""COMPUTED_VALUE"""),5000)</f>
        <v>5000</v>
      </c>
      <c r="G3" s="142" t="str">
        <f ca="1">IFERROR(__xludf.DUMMYFUNCTION("""COMPUTED_VALUE"""),"Sin comentarios")</f>
        <v>Sin comentarios</v>
      </c>
      <c r="H3" s="144" t="b">
        <f ca="1">IFERROR(__xludf.DUMMYFUNCTION("""COMPUTED_VALUE"""),TRUE)</f>
        <v>1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</row>
    <row r="4" spans="1:26" ht="15" customHeight="1">
      <c r="A4" s="140" t="str">
        <f ca="1">IFERROR(__xludf.DUMMYFUNCTION("""COMPUTED_VALUE"""),"FIN")</f>
        <v>FIN</v>
      </c>
      <c r="B4" s="137" t="str">
        <f ca="1">IFERROR(__xludf.DUMMYFUNCTION("""COMPUTED_VALUE"""),"ACTIVIDAD 1.4")</f>
        <v>ACTIVIDAD 1.4</v>
      </c>
      <c r="C4" s="138" t="str">
        <f ca="1">IFERROR(__xludf.DUMMYFUNCTION("""COMPUTED_VALUE"""),"Alimentos nutritivos e inocuos entregados a la población con inseguridad alimentaria en el municipio de Guadalajara, durante el 2023")</f>
        <v>Alimentos nutritivos e inocuos entregados a la población con inseguridad alimentaria en el municipio de Guadalajara, durante el 2023</v>
      </c>
      <c r="D4" s="150" t="str">
        <f ca="1">IFERROR(__xludf.DUMMYFUNCTION("""COMPUTED_VALUE"""),"Porcentaje")</f>
        <v>Porcentaje</v>
      </c>
      <c r="E4" s="139">
        <f ca="1">IFERROR(__xludf.DUMMYFUNCTION("""COMPUTED_VALUE"""),7578)</f>
        <v>7578</v>
      </c>
      <c r="F4" s="140">
        <f ca="1">IFERROR(__xludf.DUMMYFUNCTION("""COMPUTED_VALUE"""),8791)</f>
        <v>8791</v>
      </c>
      <c r="G4" s="142" t="str">
        <f ca="1">IFERROR(__xludf.DUMMYFUNCTION("""COMPUTED_VALUE"""),"Sin comentarios")</f>
        <v>Sin comentarios</v>
      </c>
      <c r="H4" s="145" t="b">
        <f ca="1">IFERROR(__xludf.DUMMYFUNCTION("""COMPUTED_VALUE"""),TRUE)</f>
        <v>1</v>
      </c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</row>
    <row r="5" spans="1:26" ht="15" customHeight="1">
      <c r="A5" s="140" t="str">
        <f ca="1">IFERROR(__xludf.DUMMYFUNCTION("""COMPUTED_VALUE"""),"FIN/PROPÓSITO")</f>
        <v>FIN/PROPÓSITO</v>
      </c>
      <c r="B5" s="137" t="str">
        <f ca="1">IFERROR(__xludf.DUMMYFUNCTION("""COMPUTED_VALUE"""),"ACTIVIDAD 1.8")</f>
        <v>ACTIVIDAD 1.8</v>
      </c>
      <c r="C5" s="138" t="str">
        <f ca="1">IFERROR(__xludf.DUMMYFUNCTION("""COMPUTED_VALUE"""),"Prácticas de autocuidado, prevención y atención a la salud bucal y maxilofacial a través de los servicios otorgados, durante el 2023")</f>
        <v>Prácticas de autocuidado, prevención y atención a la salud bucal y maxilofacial a través de los servicios otorgados, durante el 2023</v>
      </c>
      <c r="D5" s="150" t="str">
        <f ca="1">IFERROR(__xludf.DUMMYFUNCTION("""COMPUTED_VALUE"""),"Porcentaje")</f>
        <v>Porcentaje</v>
      </c>
      <c r="E5" s="139">
        <f ca="1">IFERROR(__xludf.DUMMYFUNCTION("""COMPUTED_VALUE"""),1940)</f>
        <v>1940</v>
      </c>
      <c r="F5" s="140">
        <f ca="1">IFERROR(__xludf.DUMMYFUNCTION("""COMPUTED_VALUE"""),6000)</f>
        <v>6000</v>
      </c>
      <c r="G5" s="142" t="str">
        <f ca="1">IFERROR(__xludf.DUMMYFUNCTION("""COMPUTED_VALUE"""),"Sin comentarios")</f>
        <v>Sin comentarios</v>
      </c>
      <c r="H5" s="146" t="b">
        <f ca="1">IFERROR(__xludf.DUMMYFUNCTION("""COMPUTED_VALUE"""),TRUE)</f>
        <v>1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</row>
    <row r="6" spans="1:26" ht="15" customHeight="1">
      <c r="A6" s="140" t="str">
        <f ca="1">IFERROR(__xludf.DUMMYFUNCTION("""COMPUTED_VALUE"""),"FIN")</f>
        <v>FIN</v>
      </c>
      <c r="B6" s="137" t="str">
        <f ca="1">IFERROR(__xludf.DUMMYFUNCTION("""COMPUTED_VALUE"""),"ACTIVIDAD 1.9")</f>
        <v>ACTIVIDAD 1.9</v>
      </c>
      <c r="C6" s="138" t="str">
        <f ca="1">IFERROR(__xludf.DUMMYFUNCTION("""COMPUTED_VALUE"""),"Personas en situación de vulnerabilidad que recibieron atención psicológica en CDC, y CAETF en 2023")</f>
        <v>Personas en situación de vulnerabilidad que recibieron atención psicológica en CDC, y CAETF en 2023</v>
      </c>
      <c r="D6" s="150" t="str">
        <f ca="1">IFERROR(__xludf.DUMMYFUNCTION("""COMPUTED_VALUE"""),"Promedio")</f>
        <v>Promedio</v>
      </c>
      <c r="E6" s="139">
        <f ca="1">IFERROR(__xludf.DUMMYFUNCTION("""COMPUTED_VALUE"""),2292)</f>
        <v>2292</v>
      </c>
      <c r="F6" s="140">
        <f ca="1">IFERROR(__xludf.DUMMYFUNCTION("""COMPUTED_VALUE"""),850)</f>
        <v>850</v>
      </c>
      <c r="G6" s="151" t="str">
        <f ca="1">IFERROR(__xludf.DUMMYFUNCTION("""COMPUTED_VALUE"""),"764")</f>
        <v>764</v>
      </c>
      <c r="H6" s="143" t="b">
        <f ca="1">IFERROR(__xludf.DUMMYFUNCTION("""COMPUTED_VALUE"""),TRUE)</f>
        <v>1</v>
      </c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ht="15" customHeight="1">
      <c r="A7" s="140" t="str">
        <f ca="1">IFERROR(__xludf.DUMMYFUNCTION("""COMPUTED_VALUE"""),"FIN")</f>
        <v>FIN</v>
      </c>
      <c r="B7" s="137" t="str">
        <f ca="1">IFERROR(__xludf.DUMMYFUNCTION("""COMPUTED_VALUE"""),"ACTIVIDAD 1.12")</f>
        <v>ACTIVIDAD 1.12</v>
      </c>
      <c r="C7" s="138" t="str">
        <f ca="1">IFERROR(__xludf.DUMMYFUNCTION("""COMPUTED_VALUE"""),"Usuarios y usuarias recibieron raciones alimenticias en los comedores comunitarios, durante el 2023")</f>
        <v>Usuarios y usuarias recibieron raciones alimenticias en los comedores comunitarios, durante el 2023</v>
      </c>
      <c r="D7" s="150" t="str">
        <f ca="1">IFERROR(__xludf.DUMMYFUNCTION("""COMPUTED_VALUE"""),"Promedio")</f>
        <v>Promedio</v>
      </c>
      <c r="E7" s="139">
        <f ca="1">IFERROR(__xludf.DUMMYFUNCTION("""COMPUTED_VALUE"""),1530)</f>
        <v>1530</v>
      </c>
      <c r="F7" s="140">
        <f ca="1">IFERROR(__xludf.DUMMYFUNCTION("""COMPUTED_VALUE"""),500)</f>
        <v>500</v>
      </c>
      <c r="G7" s="151" t="str">
        <f ca="1">IFERROR(__xludf.DUMMYFUNCTION("""COMPUTED_VALUE"""),"510")</f>
        <v>510</v>
      </c>
      <c r="H7" s="146" t="b">
        <f ca="1">IFERROR(__xludf.DUMMYFUNCTION("""COMPUTED_VALUE"""),TRUE)</f>
        <v>1</v>
      </c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</row>
    <row r="8" spans="1:26" ht="15" customHeight="1">
      <c r="A8" s="140" t="str">
        <f ca="1">IFERROR(__xludf.DUMMYFUNCTION("""COMPUTED_VALUE"""),"FIN")</f>
        <v>FIN</v>
      </c>
      <c r="B8" s="137" t="str">
        <f ca="1">IFERROR(__xludf.DUMMYFUNCTION("""COMPUTED_VALUE"""),"ACTIVIDAD 1.14")</f>
        <v>ACTIVIDAD 1.14</v>
      </c>
      <c r="C8" s="138" t="str">
        <f ca="1">IFERROR(__xludf.DUMMYFUNCTION("""COMPUTED_VALUE"""),"Usuarios que asistieron a talleres y cursos realizados en CDC e ICAS trimestralmente en 2023")</f>
        <v>Usuarios que asistieron a talleres y cursos realizados en CDC e ICAS trimestralmente en 2023</v>
      </c>
      <c r="D8" s="150" t="str">
        <f ca="1">IFERROR(__xludf.DUMMYFUNCTION("""COMPUTED_VALUE"""),"Promedio")</f>
        <v>Promedio</v>
      </c>
      <c r="E8" s="139">
        <f ca="1">IFERROR(__xludf.DUMMYFUNCTION("""COMPUTED_VALUE"""),5082)</f>
        <v>5082</v>
      </c>
      <c r="F8" s="140">
        <f ca="1">IFERROR(__xludf.DUMMYFUNCTION("""COMPUTED_VALUE"""),1300)</f>
        <v>1300</v>
      </c>
      <c r="G8" s="151" t="str">
        <f ca="1">IFERROR(__xludf.DUMMYFUNCTION("""COMPUTED_VALUE"""),"1694")</f>
        <v>1694</v>
      </c>
      <c r="H8" s="143" t="b">
        <f ca="1">IFERROR(__xludf.DUMMYFUNCTION("""COMPUTED_VALUE"""),TRUE)</f>
        <v>1</v>
      </c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6" ht="15" customHeight="1">
      <c r="A9" s="140" t="str">
        <f ca="1">IFERROR(__xludf.DUMMYFUNCTION("""COMPUTED_VALUE"""),"FIN")</f>
        <v>FIN</v>
      </c>
      <c r="B9" s="137" t="str">
        <f ca="1">IFERROR(__xludf.DUMMYFUNCTION("""COMPUTED_VALUE"""),"ACTIVIDAD 1.16")</f>
        <v>ACTIVIDAD 1.16</v>
      </c>
      <c r="C9" s="138" t="str">
        <f ca="1">IFERROR(__xludf.DUMMYFUNCTION("""COMPUTED_VALUE"""),"Niñas y niños en condición de vulnerabilidad económica que terminaron ciclo escolar de nivel preescolar en 2023")</f>
        <v>Niñas y niños en condición de vulnerabilidad económica que terminaron ciclo escolar de nivel preescolar en 2023</v>
      </c>
      <c r="D9" s="150" t="str">
        <f ca="1">IFERROR(__xludf.DUMMYFUNCTION("""COMPUTED_VALUE"""),"Porcentaje")</f>
        <v>Porcentaje</v>
      </c>
      <c r="E9" s="139">
        <f ca="1">IFERROR(__xludf.DUMMYFUNCTION("""COMPUTED_VALUE"""),0)</f>
        <v>0</v>
      </c>
      <c r="F9" s="140">
        <f ca="1">IFERROR(__xludf.DUMMYFUNCTION("""COMPUTED_VALUE"""),2030)</f>
        <v>2030</v>
      </c>
      <c r="G9" s="142" t="str">
        <f ca="1">IFERROR(__xludf.DUMMYFUNCTION("""COMPUTED_VALUE"""),"Sin comentarios")</f>
        <v>Sin comentarios</v>
      </c>
      <c r="H9" s="146" t="b">
        <f ca="1">IFERROR(__xludf.DUMMYFUNCTION("""COMPUTED_VALUE"""),TRUE)</f>
        <v>1</v>
      </c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</row>
    <row r="10" spans="1:26" ht="15" customHeight="1">
      <c r="A10" s="140" t="str">
        <f ca="1">IFERROR(__xludf.DUMMYFUNCTION("""COMPUTED_VALUE"""),"FIN")</f>
        <v>FIN</v>
      </c>
      <c r="B10" s="137" t="str">
        <f ca="1">IFERROR(__xludf.DUMMYFUNCTION("""COMPUTED_VALUE"""),"COMPONENTE 2")</f>
        <v>COMPONENTE 2</v>
      </c>
      <c r="C10" s="138" t="str">
        <f ca="1">IFERROR(__xludf.DUMMYFUNCTION("""COMPUTED_VALUE"""),"Apoyos asistenciales entregados a población en situación de emergencia, durante el 2023")</f>
        <v>Apoyos asistenciales entregados a población en situación de emergencia, durante el 2023</v>
      </c>
      <c r="D10" s="150" t="str">
        <f ca="1">IFERROR(__xludf.DUMMYFUNCTION("""COMPUTED_VALUE"""),"Porcentaje")</f>
        <v>Porcentaje</v>
      </c>
      <c r="E10" s="139">
        <f ca="1">IFERROR(__xludf.DUMMYFUNCTION("""COMPUTED_VALUE"""),33)</f>
        <v>33</v>
      </c>
      <c r="F10" s="140">
        <f ca="1">IFERROR(__xludf.DUMMYFUNCTION("""COMPUTED_VALUE"""),5000)</f>
        <v>5000</v>
      </c>
      <c r="G10" s="142" t="str">
        <f ca="1">IFERROR(__xludf.DUMMYFUNCTION("""COMPUTED_VALUE"""),"Sin comentarios")</f>
        <v>Sin comentarios</v>
      </c>
      <c r="H10" s="143" t="b">
        <f ca="1">IFERROR(__xludf.DUMMYFUNCTION("""COMPUTED_VALUE"""),TRUE)</f>
        <v>1</v>
      </c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</row>
    <row r="11" spans="1:26" ht="15" customHeight="1">
      <c r="A11" s="140" t="str">
        <f ca="1">IFERROR(__xludf.DUMMYFUNCTION("""COMPUTED_VALUE"""),"FIN")</f>
        <v>FIN</v>
      </c>
      <c r="B11" s="137" t="str">
        <f ca="1">IFERROR(__xludf.DUMMYFUNCTION("""COMPUTED_VALUE"""),"ACTIVIDAD 3.1")</f>
        <v>ACTIVIDAD 3.1</v>
      </c>
      <c r="C11" s="138" t="str">
        <f ca="1">IFERROR(__xludf.DUMMYFUNCTION("""COMPUTED_VALUE"""),"Aperturas de expedientes para la atención multidisciplinaria primaria realizadas a las personas que viven y/o ejercen violencia familiar en el Municipio de Guadalajara, durante el 2023")</f>
        <v>Aperturas de expedientes para la atención multidisciplinaria primaria realizadas a las personas que viven y/o ejercen violencia familiar en el Municipio de Guadalajara, durante el 2023</v>
      </c>
      <c r="D11" s="150" t="str">
        <f ca="1">IFERROR(__xludf.DUMMYFUNCTION("""COMPUTED_VALUE"""),"Porcentaje")</f>
        <v>Porcentaje</v>
      </c>
      <c r="E11" s="139">
        <f ca="1">IFERROR(__xludf.DUMMYFUNCTION("""COMPUTED_VALUE"""),178)</f>
        <v>178</v>
      </c>
      <c r="F11" s="140">
        <f ca="1">IFERROR(__xludf.DUMMYFUNCTION("""COMPUTED_VALUE"""),700)</f>
        <v>700</v>
      </c>
      <c r="G11" s="142" t="str">
        <f ca="1">IFERROR(__xludf.DUMMYFUNCTION("""COMPUTED_VALUE"""),"Sin comentarios")</f>
        <v>Sin comentarios</v>
      </c>
      <c r="H11" s="146" t="b">
        <f ca="1">IFERROR(__xludf.DUMMYFUNCTION("""COMPUTED_VALUE"""),TRUE)</f>
        <v>1</v>
      </c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</row>
    <row r="12" spans="1:26" ht="15" customHeight="1">
      <c r="A12" s="140" t="str">
        <f ca="1">IFERROR(__xludf.DUMMYFUNCTION("""COMPUTED_VALUE"""),"FIN")</f>
        <v>FIN</v>
      </c>
      <c r="B12" s="137" t="str">
        <f ca="1">IFERROR(__xludf.DUMMYFUNCTION("""COMPUTED_VALUE"""),"ACTIVIDAD 4.1")</f>
        <v>ACTIVIDAD 4.1</v>
      </c>
      <c r="C12" s="138" t="str">
        <f ca="1">IFERROR(__xludf.DUMMYFUNCTION("""COMPUTED_VALUE"""),"Acompañamientos psicosociales para familiares de víctimas indirectas de desaparición brindadas, durante el 2023")</f>
        <v>Acompañamientos psicosociales para familiares de víctimas indirectas de desaparición brindadas, durante el 2023</v>
      </c>
      <c r="D12" s="150" t="str">
        <f ca="1">IFERROR(__xludf.DUMMYFUNCTION("""COMPUTED_VALUE"""),"Promedio")</f>
        <v>Promedio</v>
      </c>
      <c r="E12" s="139">
        <f ca="1">IFERROR(__xludf.DUMMYFUNCTION("""COMPUTED_VALUE"""),243)</f>
        <v>243</v>
      </c>
      <c r="F12" s="140">
        <f ca="1">IFERROR(__xludf.DUMMYFUNCTION("""COMPUTED_VALUE"""),110)</f>
        <v>110</v>
      </c>
      <c r="G12" s="151" t="str">
        <f ca="1">IFERROR(__xludf.DUMMYFUNCTION("""COMPUTED_VALUE"""),"81")</f>
        <v>81</v>
      </c>
      <c r="H12" s="143" t="b">
        <f ca="1">IFERROR(__xludf.DUMMYFUNCTION("""COMPUTED_VALUE"""),TRUE)</f>
        <v>1</v>
      </c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</row>
    <row r="13" spans="1:26" ht="15" customHeight="1">
      <c r="A13" s="140"/>
      <c r="B13" s="137"/>
      <c r="C13" s="138"/>
      <c r="D13" s="150"/>
      <c r="E13" s="139"/>
      <c r="F13" s="140"/>
      <c r="G13" s="147"/>
      <c r="H13" s="146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</row>
    <row r="14" spans="1:26" ht="15" customHeight="1">
      <c r="A14" s="140"/>
      <c r="B14" s="137"/>
      <c r="C14" s="138"/>
      <c r="D14" s="150"/>
      <c r="E14" s="139"/>
      <c r="F14" s="140"/>
      <c r="G14" s="142"/>
      <c r="H14" s="143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</row>
    <row r="15" spans="1:26" ht="15" customHeight="1">
      <c r="A15" s="140"/>
      <c r="B15" s="137"/>
      <c r="C15" s="138"/>
      <c r="D15" s="150"/>
      <c r="E15" s="139"/>
      <c r="F15" s="140"/>
      <c r="G15" s="142"/>
      <c r="H15" s="146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</row>
    <row r="16" spans="1:26" ht="15" customHeight="1">
      <c r="A16" s="140"/>
      <c r="B16" s="137"/>
      <c r="C16" s="138"/>
      <c r="D16" s="150"/>
      <c r="E16" s="139"/>
      <c r="F16" s="140"/>
      <c r="G16" s="147"/>
      <c r="H16" s="143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</row>
    <row r="17" spans="1:26" ht="15" customHeight="1">
      <c r="A17" s="140"/>
      <c r="B17" s="137"/>
      <c r="C17" s="138"/>
      <c r="D17" s="150"/>
      <c r="E17" s="139"/>
      <c r="F17" s="140"/>
      <c r="G17" s="142"/>
      <c r="H17" s="146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</row>
    <row r="18" spans="1:26" ht="15" customHeight="1">
      <c r="A18" s="140"/>
      <c r="B18" s="137"/>
      <c r="C18" s="138"/>
      <c r="D18" s="150"/>
      <c r="E18" s="139"/>
      <c r="F18" s="140"/>
      <c r="G18" s="147"/>
      <c r="H18" s="143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</row>
    <row r="19" spans="1:26" ht="15" customHeight="1">
      <c r="A19" s="140"/>
      <c r="B19" s="137"/>
      <c r="C19" s="138"/>
      <c r="D19" s="150"/>
      <c r="E19" s="139"/>
      <c r="F19" s="140"/>
      <c r="G19" s="147"/>
      <c r="H19" s="146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</row>
    <row r="20" spans="1:26" ht="15" customHeight="1">
      <c r="A20" s="140"/>
      <c r="B20" s="137"/>
      <c r="C20" s="138"/>
      <c r="D20" s="150"/>
      <c r="E20" s="139"/>
      <c r="F20" s="140"/>
      <c r="G20" s="142"/>
      <c r="H20" s="143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</row>
    <row r="21" spans="1:26" ht="15" customHeight="1">
      <c r="A21" s="140"/>
      <c r="B21" s="137"/>
      <c r="C21" s="138"/>
      <c r="D21" s="150"/>
      <c r="E21" s="139"/>
      <c r="F21" s="140"/>
      <c r="G21" s="142"/>
      <c r="H21" s="146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</row>
    <row r="22" spans="1:26" ht="15" customHeight="1">
      <c r="A22" s="140"/>
      <c r="B22" s="137"/>
      <c r="C22" s="138"/>
      <c r="D22" s="150"/>
      <c r="E22" s="139"/>
      <c r="F22" s="140"/>
      <c r="G22" s="142"/>
      <c r="H22" s="143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ht="15" customHeight="1">
      <c r="A23" s="140"/>
      <c r="B23" s="137"/>
      <c r="C23" s="138"/>
      <c r="D23" s="150"/>
      <c r="E23" s="139"/>
      <c r="F23" s="140"/>
      <c r="G23" s="142"/>
      <c r="H23" s="146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4" spans="1:26" ht="15" customHeight="1">
      <c r="A24" s="140"/>
      <c r="B24" s="137"/>
      <c r="C24" s="138"/>
      <c r="D24" s="150"/>
      <c r="E24" s="139"/>
      <c r="F24" s="140"/>
      <c r="G24" s="142"/>
      <c r="H24" s="143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</row>
    <row r="25" spans="1:26" ht="15" customHeight="1">
      <c r="A25" s="140"/>
      <c r="B25" s="137"/>
      <c r="C25" s="138"/>
      <c r="D25" s="150"/>
      <c r="E25" s="139"/>
      <c r="F25" s="140"/>
      <c r="G25" s="142"/>
      <c r="H25" s="146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</row>
    <row r="26" spans="1:26" ht="15" customHeight="1">
      <c r="A26" s="140"/>
      <c r="B26" s="137"/>
      <c r="C26" s="138"/>
      <c r="D26" s="150"/>
      <c r="E26" s="139"/>
      <c r="F26" s="140"/>
      <c r="G26" s="142"/>
      <c r="H26" s="143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</row>
    <row r="27" spans="1:26" ht="15" customHeight="1">
      <c r="A27" s="140"/>
      <c r="B27" s="137"/>
      <c r="C27" s="138"/>
      <c r="D27" s="150"/>
      <c r="E27" s="139"/>
      <c r="F27" s="140"/>
      <c r="G27" s="142"/>
      <c r="H27" s="146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</row>
    <row r="28" spans="1:26" ht="15" customHeight="1">
      <c r="A28" s="140"/>
      <c r="B28" s="137"/>
      <c r="C28" s="138"/>
      <c r="D28" s="150"/>
      <c r="E28" s="139"/>
      <c r="F28" s="140"/>
      <c r="G28" s="147"/>
      <c r="H28" s="143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</row>
    <row r="29" spans="1:26" ht="15" customHeight="1">
      <c r="A29" s="140"/>
      <c r="B29" s="137"/>
      <c r="C29" s="138"/>
      <c r="D29" s="150"/>
      <c r="E29" s="139"/>
      <c r="F29" s="140"/>
      <c r="G29" s="147"/>
      <c r="H29" s="146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</row>
    <row r="30" spans="1:26" ht="25.2">
      <c r="A30" s="140"/>
      <c r="B30" s="137"/>
      <c r="C30" s="138"/>
      <c r="D30" s="150"/>
      <c r="E30" s="139"/>
      <c r="F30" s="140"/>
      <c r="G30" s="147"/>
      <c r="H30" s="147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</row>
    <row r="31" spans="1:26" ht="25.2">
      <c r="A31" s="140"/>
      <c r="B31" s="137"/>
      <c r="C31" s="138"/>
      <c r="D31" s="150"/>
      <c r="E31" s="139"/>
      <c r="F31" s="140"/>
      <c r="G31" s="149"/>
      <c r="H31" s="149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</row>
    <row r="32" spans="1:26" ht="25.2">
      <c r="A32" s="140"/>
      <c r="B32" s="137"/>
      <c r="C32" s="138"/>
      <c r="D32" s="150"/>
      <c r="E32" s="139"/>
      <c r="F32" s="140"/>
      <c r="G32" s="147"/>
      <c r="H32" s="147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</row>
    <row r="33" spans="1:26" ht="25.2">
      <c r="A33" s="140"/>
      <c r="B33" s="137"/>
      <c r="C33" s="138"/>
      <c r="D33" s="150"/>
      <c r="E33" s="139"/>
      <c r="F33" s="140"/>
      <c r="G33" s="149"/>
      <c r="H33" s="149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</row>
    <row r="34" spans="1:26" ht="25.2">
      <c r="A34" s="140"/>
      <c r="B34" s="137"/>
      <c r="C34" s="138"/>
      <c r="D34" s="150"/>
      <c r="E34" s="139"/>
      <c r="F34" s="140"/>
      <c r="G34" s="147"/>
      <c r="H34" s="147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</row>
    <row r="35" spans="1:26" ht="25.2">
      <c r="A35" s="140"/>
      <c r="B35" s="137"/>
      <c r="C35" s="138"/>
      <c r="D35" s="150"/>
      <c r="E35" s="139"/>
      <c r="F35" s="140"/>
      <c r="G35" s="149"/>
      <c r="H35" s="149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</row>
    <row r="36" spans="1:26" ht="25.2">
      <c r="A36" s="140"/>
      <c r="B36" s="137"/>
      <c r="C36" s="138"/>
      <c r="D36" s="150"/>
      <c r="E36" s="139"/>
      <c r="F36" s="140"/>
      <c r="G36" s="147"/>
      <c r="H36" s="147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</row>
    <row r="37" spans="1:26" ht="25.2">
      <c r="A37" s="140"/>
      <c r="B37" s="137"/>
      <c r="C37" s="138"/>
      <c r="D37" s="150"/>
      <c r="E37" s="139"/>
      <c r="F37" s="140"/>
      <c r="G37" s="149"/>
      <c r="H37" s="149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</row>
    <row r="38" spans="1:26" ht="25.2">
      <c r="A38" s="140"/>
      <c r="B38" s="137"/>
      <c r="C38" s="138"/>
      <c r="D38" s="150"/>
      <c r="E38" s="139"/>
      <c r="F38" s="140"/>
      <c r="G38" s="147"/>
      <c r="H38" s="147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</row>
    <row r="39" spans="1:26" ht="25.2">
      <c r="A39" s="140"/>
      <c r="B39" s="137"/>
      <c r="C39" s="138"/>
      <c r="D39" s="150"/>
      <c r="E39" s="139"/>
      <c r="F39" s="140"/>
      <c r="G39" s="149"/>
      <c r="H39" s="149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</row>
    <row r="40" spans="1:26" ht="25.2">
      <c r="A40" s="140"/>
      <c r="B40" s="137"/>
      <c r="C40" s="138"/>
      <c r="D40" s="150"/>
      <c r="E40" s="139"/>
      <c r="F40" s="140"/>
      <c r="G40" s="147"/>
      <c r="H40" s="147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</row>
    <row r="41" spans="1:26" ht="25.2">
      <c r="A41" s="140"/>
      <c r="B41" s="137"/>
      <c r="C41" s="138"/>
      <c r="D41" s="150"/>
      <c r="E41" s="139"/>
      <c r="F41" s="140"/>
      <c r="G41" s="149"/>
      <c r="H41" s="149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</row>
    <row r="42" spans="1:26" ht="25.2">
      <c r="A42" s="140"/>
      <c r="B42" s="137"/>
      <c r="C42" s="138"/>
      <c r="D42" s="150"/>
      <c r="E42" s="139"/>
      <c r="F42" s="140"/>
      <c r="G42" s="147"/>
      <c r="H42" s="147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</row>
    <row r="43" spans="1:26" ht="25.2">
      <c r="A43" s="140"/>
      <c r="B43" s="137"/>
      <c r="C43" s="138"/>
      <c r="D43" s="150"/>
      <c r="E43" s="139"/>
      <c r="F43" s="140"/>
      <c r="G43" s="149"/>
      <c r="H43" s="149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</row>
    <row r="44" spans="1:26" ht="25.2">
      <c r="A44" s="140"/>
      <c r="B44" s="137"/>
      <c r="C44" s="138"/>
      <c r="D44" s="150"/>
      <c r="E44" s="139"/>
      <c r="F44" s="140"/>
      <c r="G44" s="147"/>
      <c r="H44" s="147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</row>
    <row r="45" spans="1:26" ht="25.2">
      <c r="A45" s="140"/>
      <c r="B45" s="137"/>
      <c r="C45" s="138"/>
      <c r="D45" s="150"/>
      <c r="E45" s="139"/>
      <c r="F45" s="140"/>
      <c r="G45" s="149"/>
      <c r="H45" s="149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</row>
    <row r="46" spans="1:26" ht="25.2">
      <c r="A46" s="140"/>
      <c r="B46" s="137"/>
      <c r="C46" s="138"/>
      <c r="D46" s="150"/>
      <c r="E46" s="139"/>
      <c r="F46" s="140"/>
      <c r="G46" s="147"/>
      <c r="H46" s="147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</row>
    <row r="47" spans="1:26" ht="25.2">
      <c r="A47" s="140"/>
      <c r="B47" s="137"/>
      <c r="C47" s="138"/>
      <c r="D47" s="150"/>
      <c r="E47" s="139"/>
      <c r="F47" s="140"/>
      <c r="G47" s="149"/>
      <c r="H47" s="149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</row>
    <row r="48" spans="1:26" ht="25.2">
      <c r="A48" s="140"/>
      <c r="B48" s="137"/>
      <c r="C48" s="138"/>
      <c r="D48" s="150"/>
      <c r="E48" s="139"/>
      <c r="F48" s="140"/>
      <c r="G48" s="147"/>
      <c r="H48" s="147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</row>
    <row r="49" spans="1:26" ht="25.2">
      <c r="A49" s="140"/>
      <c r="B49" s="137"/>
      <c r="C49" s="138"/>
      <c r="D49" s="150"/>
      <c r="E49" s="139"/>
      <c r="F49" s="140"/>
      <c r="G49" s="149"/>
      <c r="H49" s="149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</row>
    <row r="50" spans="1:26" ht="25.2">
      <c r="A50" s="140"/>
      <c r="B50" s="137"/>
      <c r="C50" s="138"/>
      <c r="D50" s="150"/>
      <c r="E50" s="139"/>
      <c r="F50" s="140"/>
      <c r="G50" s="147"/>
      <c r="H50" s="147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</row>
    <row r="51" spans="1:26" ht="25.2">
      <c r="A51" s="140"/>
      <c r="B51" s="137"/>
      <c r="C51" s="138"/>
      <c r="D51" s="150"/>
      <c r="E51" s="139"/>
      <c r="F51" s="140"/>
      <c r="G51" s="149"/>
      <c r="H51" s="149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</row>
    <row r="52" spans="1:26" ht="25.2">
      <c r="A52" s="140"/>
      <c r="B52" s="137"/>
      <c r="C52" s="138"/>
      <c r="D52" s="150"/>
      <c r="E52" s="139"/>
      <c r="F52" s="140"/>
      <c r="G52" s="147"/>
      <c r="H52" s="147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</row>
    <row r="53" spans="1:26" ht="25.2">
      <c r="A53" s="140"/>
      <c r="B53" s="137"/>
      <c r="C53" s="138"/>
      <c r="D53" s="150"/>
      <c r="E53" s="139"/>
      <c r="F53" s="140"/>
      <c r="G53" s="149"/>
      <c r="H53" s="149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</row>
    <row r="54" spans="1:26" ht="25.2">
      <c r="A54" s="140"/>
      <c r="B54" s="137"/>
      <c r="C54" s="138"/>
      <c r="D54" s="150"/>
      <c r="E54" s="139"/>
      <c r="F54" s="140"/>
      <c r="G54" s="147"/>
      <c r="H54" s="147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</row>
    <row r="55" spans="1:26" ht="25.2">
      <c r="A55" s="140"/>
      <c r="B55" s="137"/>
      <c r="C55" s="138"/>
      <c r="D55" s="150"/>
      <c r="E55" s="139"/>
      <c r="F55" s="140"/>
      <c r="G55" s="149"/>
      <c r="H55" s="149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</row>
    <row r="56" spans="1:26" ht="25.2">
      <c r="A56" s="140"/>
      <c r="B56" s="137"/>
      <c r="C56" s="138"/>
      <c r="D56" s="150"/>
      <c r="E56" s="139"/>
      <c r="F56" s="140"/>
      <c r="G56" s="147"/>
      <c r="H56" s="147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</row>
    <row r="57" spans="1:26" ht="25.2">
      <c r="A57" s="140"/>
      <c r="B57" s="137"/>
      <c r="C57" s="138"/>
      <c r="D57" s="150"/>
      <c r="E57" s="139"/>
      <c r="F57" s="140"/>
      <c r="G57" s="149"/>
      <c r="H57" s="149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</row>
    <row r="58" spans="1:26" ht="25.2">
      <c r="A58" s="140"/>
      <c r="B58" s="137"/>
      <c r="C58" s="138"/>
      <c r="D58" s="150"/>
      <c r="E58" s="139"/>
      <c r="F58" s="140"/>
      <c r="G58" s="147"/>
      <c r="H58" s="147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</row>
    <row r="59" spans="1:26" ht="25.2">
      <c r="A59" s="140"/>
      <c r="B59" s="137"/>
      <c r="C59" s="138"/>
      <c r="D59" s="150"/>
      <c r="E59" s="139"/>
      <c r="F59" s="140"/>
      <c r="G59" s="149"/>
      <c r="H59" s="149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</row>
    <row r="60" spans="1:26" ht="25.2">
      <c r="A60" s="140"/>
      <c r="B60" s="137"/>
      <c r="C60" s="138"/>
      <c r="D60" s="150"/>
      <c r="E60" s="139"/>
      <c r="F60" s="140"/>
      <c r="G60" s="147"/>
      <c r="H60" s="147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</row>
    <row r="61" spans="1:26" ht="25.2">
      <c r="A61" s="140"/>
      <c r="B61" s="137"/>
      <c r="C61" s="138"/>
      <c r="D61" s="150"/>
      <c r="E61" s="139"/>
      <c r="F61" s="140"/>
      <c r="G61" s="149"/>
      <c r="H61" s="149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</row>
    <row r="62" spans="1:26" ht="25.2">
      <c r="A62" s="140"/>
      <c r="B62" s="137"/>
      <c r="C62" s="138"/>
      <c r="D62" s="150"/>
      <c r="E62" s="139"/>
      <c r="F62" s="140"/>
      <c r="G62" s="147"/>
      <c r="H62" s="147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</row>
    <row r="63" spans="1:26" ht="25.2">
      <c r="A63" s="140"/>
      <c r="B63" s="137"/>
      <c r="C63" s="138"/>
      <c r="D63" s="150"/>
      <c r="E63" s="139"/>
      <c r="F63" s="140"/>
      <c r="G63" s="149"/>
      <c r="H63" s="149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</row>
    <row r="64" spans="1:26" ht="25.2">
      <c r="A64" s="140"/>
      <c r="B64" s="137"/>
      <c r="C64" s="138"/>
      <c r="D64" s="150"/>
      <c r="E64" s="139"/>
      <c r="F64" s="140"/>
      <c r="G64" s="147"/>
      <c r="H64" s="147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</row>
    <row r="65" spans="1:26" ht="25.2">
      <c r="A65" s="140"/>
      <c r="B65" s="137"/>
      <c r="C65" s="138"/>
      <c r="D65" s="150"/>
      <c r="E65" s="139"/>
      <c r="F65" s="140"/>
      <c r="G65" s="149"/>
      <c r="H65" s="149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</row>
    <row r="66" spans="1:26" ht="25.2">
      <c r="A66" s="140"/>
      <c r="B66" s="137"/>
      <c r="C66" s="138"/>
      <c r="D66" s="150"/>
      <c r="E66" s="139"/>
      <c r="F66" s="140"/>
      <c r="G66" s="147"/>
      <c r="H66" s="147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</row>
    <row r="67" spans="1:26" ht="25.2">
      <c r="A67" s="140"/>
      <c r="B67" s="137"/>
      <c r="C67" s="138"/>
      <c r="D67" s="150"/>
      <c r="E67" s="139"/>
      <c r="F67" s="140"/>
      <c r="G67" s="149"/>
      <c r="H67" s="149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</row>
    <row r="68" spans="1:26" ht="25.2">
      <c r="A68" s="140"/>
      <c r="B68" s="137"/>
      <c r="C68" s="138"/>
      <c r="D68" s="150"/>
      <c r="E68" s="139"/>
      <c r="F68" s="140"/>
      <c r="G68" s="147"/>
      <c r="H68" s="147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</row>
    <row r="69" spans="1:26" ht="25.2">
      <c r="A69" s="140"/>
      <c r="B69" s="137"/>
      <c r="C69" s="138"/>
      <c r="D69" s="150"/>
      <c r="E69" s="139"/>
      <c r="F69" s="140"/>
      <c r="G69" s="149"/>
      <c r="H69" s="149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</row>
    <row r="70" spans="1:26" ht="25.2">
      <c r="A70" s="140"/>
      <c r="B70" s="137"/>
      <c r="C70" s="138"/>
      <c r="D70" s="150"/>
      <c r="E70" s="139"/>
      <c r="F70" s="140"/>
      <c r="G70" s="147"/>
      <c r="H70" s="147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</row>
    <row r="71" spans="1:26" ht="25.2">
      <c r="A71" s="140"/>
      <c r="B71" s="137"/>
      <c r="C71" s="138"/>
      <c r="D71" s="150"/>
      <c r="E71" s="139"/>
      <c r="F71" s="140"/>
      <c r="G71" s="149"/>
      <c r="H71" s="149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</row>
    <row r="72" spans="1:26" ht="25.2">
      <c r="A72" s="140"/>
      <c r="B72" s="137"/>
      <c r="C72" s="138"/>
      <c r="D72" s="150"/>
      <c r="E72" s="139"/>
      <c r="F72" s="140"/>
      <c r="G72" s="147"/>
      <c r="H72" s="147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</row>
    <row r="73" spans="1:26" ht="25.2">
      <c r="A73" s="140"/>
      <c r="B73" s="137"/>
      <c r="C73" s="138"/>
      <c r="D73" s="150"/>
      <c r="E73" s="139"/>
      <c r="F73" s="140"/>
      <c r="G73" s="149"/>
      <c r="H73" s="149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</row>
    <row r="74" spans="1:26" ht="25.2">
      <c r="A74" s="140"/>
      <c r="B74" s="137"/>
      <c r="C74" s="138"/>
      <c r="D74" s="150"/>
      <c r="E74" s="139"/>
      <c r="F74" s="140"/>
      <c r="G74" s="147"/>
      <c r="H74" s="147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</row>
    <row r="75" spans="1:26" ht="25.2">
      <c r="A75" s="140"/>
      <c r="B75" s="137"/>
      <c r="C75" s="138"/>
      <c r="D75" s="150"/>
      <c r="E75" s="139"/>
      <c r="F75" s="140"/>
      <c r="G75" s="149"/>
      <c r="H75" s="149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</row>
    <row r="76" spans="1:26" ht="25.2">
      <c r="A76" s="140"/>
      <c r="B76" s="137"/>
      <c r="C76" s="138"/>
      <c r="D76" s="150"/>
      <c r="E76" s="139"/>
      <c r="F76" s="140"/>
      <c r="G76" s="147"/>
      <c r="H76" s="147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</row>
    <row r="77" spans="1:26" ht="25.2">
      <c r="A77" s="140"/>
      <c r="B77" s="137"/>
      <c r="C77" s="138"/>
      <c r="D77" s="150"/>
      <c r="E77" s="139"/>
      <c r="F77" s="140"/>
      <c r="G77" s="149"/>
      <c r="H77" s="149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</row>
    <row r="78" spans="1:26" ht="25.2">
      <c r="A78" s="140"/>
      <c r="B78" s="137"/>
      <c r="C78" s="138"/>
      <c r="D78" s="150"/>
      <c r="E78" s="139"/>
      <c r="F78" s="140"/>
      <c r="G78" s="147"/>
      <c r="H78" s="147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</row>
    <row r="79" spans="1:26" ht="25.2">
      <c r="A79" s="140"/>
      <c r="B79" s="137"/>
      <c r="C79" s="138"/>
      <c r="D79" s="150"/>
      <c r="E79" s="139"/>
      <c r="F79" s="140"/>
      <c r="G79" s="149"/>
      <c r="H79" s="149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</row>
    <row r="80" spans="1:26" ht="25.2">
      <c r="A80" s="140"/>
      <c r="B80" s="137"/>
      <c r="C80" s="138"/>
      <c r="D80" s="150"/>
      <c r="E80" s="139"/>
      <c r="F80" s="140"/>
      <c r="G80" s="147"/>
      <c r="H80" s="147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</row>
    <row r="81" spans="1:26" ht="25.2">
      <c r="A81" s="140"/>
      <c r="B81" s="137"/>
      <c r="C81" s="138"/>
      <c r="D81" s="150"/>
      <c r="E81" s="139"/>
      <c r="F81" s="140"/>
      <c r="G81" s="149"/>
      <c r="H81" s="149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</row>
    <row r="82" spans="1:26" ht="25.2">
      <c r="A82" s="140"/>
      <c r="B82" s="137"/>
      <c r="C82" s="138"/>
      <c r="D82" s="150"/>
      <c r="E82" s="139"/>
      <c r="F82" s="140"/>
      <c r="G82" s="147"/>
      <c r="H82" s="147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</row>
    <row r="83" spans="1:26" ht="25.2">
      <c r="A83" s="140"/>
      <c r="B83" s="137"/>
      <c r="C83" s="138"/>
      <c r="D83" s="150"/>
      <c r="E83" s="139"/>
      <c r="F83" s="140"/>
      <c r="G83" s="149"/>
      <c r="H83" s="149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</row>
    <row r="84" spans="1:26" ht="25.2">
      <c r="A84" s="140"/>
      <c r="B84" s="137"/>
      <c r="C84" s="138"/>
      <c r="D84" s="150"/>
      <c r="E84" s="139"/>
      <c r="F84" s="140"/>
      <c r="G84" s="147"/>
      <c r="H84" s="147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</row>
    <row r="85" spans="1:26" ht="25.2">
      <c r="A85" s="140"/>
      <c r="B85" s="137"/>
      <c r="C85" s="138"/>
      <c r="D85" s="150"/>
      <c r="E85" s="139"/>
      <c r="F85" s="140"/>
      <c r="G85" s="149"/>
      <c r="H85" s="149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</row>
    <row r="86" spans="1:26" ht="25.2">
      <c r="A86" s="140"/>
      <c r="B86" s="137"/>
      <c r="C86" s="138"/>
      <c r="D86" s="150"/>
      <c r="E86" s="139"/>
      <c r="F86" s="140"/>
      <c r="G86" s="147"/>
      <c r="H86" s="147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</row>
    <row r="87" spans="1:26" ht="25.2">
      <c r="A87" s="140"/>
      <c r="B87" s="137"/>
      <c r="C87" s="138"/>
      <c r="D87" s="150"/>
      <c r="E87" s="139"/>
      <c r="F87" s="140"/>
      <c r="G87" s="149"/>
      <c r="H87" s="149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</row>
    <row r="88" spans="1:26" ht="25.2">
      <c r="A88" s="140"/>
      <c r="B88" s="137"/>
      <c r="C88" s="138"/>
      <c r="D88" s="150"/>
      <c r="E88" s="139"/>
      <c r="F88" s="140"/>
      <c r="G88" s="147"/>
      <c r="H88" s="147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</row>
    <row r="89" spans="1:26" ht="25.2">
      <c r="A89" s="140"/>
      <c r="B89" s="137"/>
      <c r="C89" s="138"/>
      <c r="D89" s="150"/>
      <c r="E89" s="139"/>
      <c r="F89" s="140"/>
      <c r="G89" s="149"/>
      <c r="H89" s="149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</row>
    <row r="90" spans="1:26" ht="25.2">
      <c r="A90" s="140"/>
      <c r="B90" s="137"/>
      <c r="C90" s="138"/>
      <c r="D90" s="150"/>
      <c r="E90" s="139"/>
      <c r="F90" s="140"/>
      <c r="G90" s="147"/>
      <c r="H90" s="147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</row>
    <row r="91" spans="1:26" ht="25.2">
      <c r="A91" s="140"/>
      <c r="B91" s="137"/>
      <c r="C91" s="138"/>
      <c r="D91" s="150"/>
      <c r="E91" s="139"/>
      <c r="F91" s="140"/>
      <c r="G91" s="149"/>
      <c r="H91" s="149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</row>
    <row r="92" spans="1:26" ht="25.2">
      <c r="A92" s="140"/>
      <c r="B92" s="137"/>
      <c r="C92" s="138"/>
      <c r="D92" s="150"/>
      <c r="E92" s="139"/>
      <c r="F92" s="140"/>
      <c r="G92" s="147"/>
      <c r="H92" s="147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</row>
    <row r="93" spans="1:26" ht="25.2">
      <c r="A93" s="140"/>
      <c r="B93" s="137"/>
      <c r="C93" s="138"/>
      <c r="D93" s="150"/>
      <c r="E93" s="139"/>
      <c r="F93" s="140"/>
      <c r="G93" s="149"/>
      <c r="H93" s="149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</row>
    <row r="94" spans="1:26" ht="25.2">
      <c r="A94" s="140"/>
      <c r="B94" s="137"/>
      <c r="C94" s="138"/>
      <c r="D94" s="150"/>
      <c r="E94" s="139"/>
      <c r="F94" s="140"/>
      <c r="G94" s="147"/>
      <c r="H94" s="147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</row>
    <row r="95" spans="1:26" ht="25.2">
      <c r="A95" s="140"/>
      <c r="B95" s="137"/>
      <c r="C95" s="138"/>
      <c r="D95" s="150"/>
      <c r="E95" s="139"/>
      <c r="F95" s="140"/>
      <c r="G95" s="149"/>
      <c r="H95" s="149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</row>
    <row r="96" spans="1:26" ht="25.2">
      <c r="A96" s="140"/>
      <c r="B96" s="137"/>
      <c r="C96" s="138"/>
      <c r="D96" s="150"/>
      <c r="E96" s="139"/>
      <c r="F96" s="140"/>
      <c r="G96" s="147"/>
      <c r="H96" s="147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</row>
    <row r="97" spans="1:26" ht="25.2">
      <c r="A97" s="140"/>
      <c r="B97" s="137"/>
      <c r="C97" s="138"/>
      <c r="D97" s="150"/>
      <c r="E97" s="139"/>
      <c r="F97" s="140"/>
      <c r="G97" s="149"/>
      <c r="H97" s="149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</row>
    <row r="98" spans="1:26" ht="25.2">
      <c r="A98" s="140"/>
      <c r="B98" s="137"/>
      <c r="C98" s="138"/>
      <c r="D98" s="150"/>
      <c r="E98" s="139"/>
      <c r="F98" s="140"/>
      <c r="G98" s="147"/>
      <c r="H98" s="147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</row>
    <row r="99" spans="1:26" ht="25.2">
      <c r="A99" s="140"/>
      <c r="B99" s="137"/>
      <c r="C99" s="138"/>
      <c r="D99" s="150"/>
      <c r="E99" s="139"/>
      <c r="F99" s="140"/>
      <c r="G99" s="149"/>
      <c r="H99" s="149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</row>
    <row r="100" spans="1:26" ht="25.2">
      <c r="A100" s="140"/>
      <c r="B100" s="137"/>
      <c r="C100" s="138"/>
      <c r="D100" s="150"/>
      <c r="E100" s="139"/>
      <c r="F100" s="140"/>
      <c r="G100" s="147"/>
      <c r="H100" s="147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</row>
    <row r="101" spans="1:26" ht="25.2">
      <c r="A101" s="140"/>
      <c r="B101" s="137"/>
      <c r="C101" s="138"/>
      <c r="D101" s="150"/>
      <c r="E101" s="139"/>
      <c r="F101" s="140"/>
      <c r="G101" s="149"/>
      <c r="H101" s="149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</row>
    <row r="102" spans="1:26" ht="25.2">
      <c r="A102" s="140"/>
      <c r="B102" s="137"/>
      <c r="C102" s="138"/>
      <c r="D102" s="150"/>
      <c r="E102" s="139"/>
      <c r="F102" s="140"/>
      <c r="G102" s="147"/>
      <c r="H102" s="147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</row>
    <row r="103" spans="1:26" ht="25.2">
      <c r="A103" s="140"/>
      <c r="B103" s="137"/>
      <c r="C103" s="138"/>
      <c r="D103" s="150"/>
      <c r="E103" s="139"/>
      <c r="F103" s="140"/>
      <c r="G103" s="149"/>
      <c r="H103" s="149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</row>
    <row r="104" spans="1:26" ht="25.2">
      <c r="A104" s="140"/>
      <c r="B104" s="137"/>
      <c r="C104" s="138"/>
      <c r="D104" s="150"/>
      <c r="E104" s="139"/>
      <c r="F104" s="140"/>
      <c r="G104" s="147"/>
      <c r="H104" s="147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</row>
    <row r="105" spans="1:26" ht="25.2">
      <c r="A105" s="140"/>
      <c r="B105" s="137"/>
      <c r="C105" s="138"/>
      <c r="D105" s="150"/>
      <c r="E105" s="139"/>
      <c r="F105" s="140"/>
      <c r="G105" s="149"/>
      <c r="H105" s="149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</row>
    <row r="106" spans="1:26" ht="25.2">
      <c r="A106" s="140"/>
      <c r="B106" s="137"/>
      <c r="C106" s="138"/>
      <c r="D106" s="150"/>
      <c r="E106" s="139"/>
      <c r="F106" s="140"/>
      <c r="G106" s="147"/>
      <c r="H106" s="147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</row>
    <row r="107" spans="1:26" ht="25.2">
      <c r="A107" s="140"/>
      <c r="B107" s="137"/>
      <c r="C107" s="138"/>
      <c r="D107" s="150"/>
      <c r="E107" s="139"/>
      <c r="F107" s="140"/>
      <c r="G107" s="149"/>
      <c r="H107" s="149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</row>
    <row r="108" spans="1:26" ht="25.2">
      <c r="A108" s="140"/>
      <c r="B108" s="137"/>
      <c r="C108" s="138"/>
      <c r="D108" s="150"/>
      <c r="E108" s="139"/>
      <c r="F108" s="140"/>
      <c r="G108" s="147"/>
      <c r="H108" s="147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</row>
    <row r="109" spans="1:26" ht="25.2">
      <c r="A109" s="140"/>
      <c r="B109" s="137"/>
      <c r="C109" s="138"/>
      <c r="D109" s="150"/>
      <c r="E109" s="139"/>
      <c r="F109" s="140"/>
      <c r="G109" s="149"/>
      <c r="H109" s="149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</row>
    <row r="110" spans="1:26" ht="25.2">
      <c r="A110" s="140"/>
      <c r="B110" s="137"/>
      <c r="C110" s="138"/>
      <c r="D110" s="150"/>
      <c r="E110" s="139"/>
      <c r="F110" s="140"/>
      <c r="G110" s="147"/>
      <c r="H110" s="147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</row>
    <row r="111" spans="1:26" ht="25.2">
      <c r="A111" s="140"/>
      <c r="B111" s="137"/>
      <c r="C111" s="138"/>
      <c r="D111" s="150"/>
      <c r="E111" s="139"/>
      <c r="F111" s="140"/>
      <c r="G111" s="149"/>
      <c r="H111" s="149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</row>
    <row r="112" spans="1:26" ht="25.2">
      <c r="A112" s="140"/>
      <c r="B112" s="137"/>
      <c r="C112" s="138"/>
      <c r="D112" s="150"/>
      <c r="E112" s="139"/>
      <c r="F112" s="140"/>
      <c r="G112" s="147"/>
      <c r="H112" s="147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</row>
    <row r="113" spans="1:26" ht="25.2">
      <c r="A113" s="140"/>
      <c r="B113" s="137"/>
      <c r="C113" s="138"/>
      <c r="D113" s="150"/>
      <c r="E113" s="139"/>
      <c r="F113" s="140"/>
      <c r="G113" s="149"/>
      <c r="H113" s="149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</row>
    <row r="114" spans="1:26" ht="25.2">
      <c r="A114" s="140"/>
      <c r="B114" s="137"/>
      <c r="C114" s="138"/>
      <c r="D114" s="150"/>
      <c r="E114" s="139"/>
      <c r="F114" s="140"/>
      <c r="G114" s="147"/>
      <c r="H114" s="147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</row>
    <row r="115" spans="1:26" ht="25.2">
      <c r="A115" s="140"/>
      <c r="B115" s="137"/>
      <c r="C115" s="138"/>
      <c r="D115" s="150"/>
      <c r="E115" s="139"/>
      <c r="F115" s="140"/>
      <c r="G115" s="149"/>
      <c r="H115" s="149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</row>
    <row r="116" spans="1:26" ht="25.2">
      <c r="A116" s="140"/>
      <c r="B116" s="137"/>
      <c r="C116" s="138"/>
      <c r="D116" s="150"/>
      <c r="E116" s="139"/>
      <c r="F116" s="140"/>
      <c r="G116" s="147"/>
      <c r="H116" s="147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</row>
    <row r="117" spans="1:26" ht="25.2">
      <c r="A117" s="140"/>
      <c r="B117" s="137"/>
      <c r="C117" s="138"/>
      <c r="D117" s="150"/>
      <c r="E117" s="139"/>
      <c r="F117" s="140"/>
      <c r="G117" s="149"/>
      <c r="H117" s="149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</row>
    <row r="118" spans="1:26" ht="25.2">
      <c r="A118" s="140"/>
      <c r="B118" s="137"/>
      <c r="C118" s="138"/>
      <c r="D118" s="150"/>
      <c r="E118" s="139"/>
      <c r="F118" s="140"/>
      <c r="G118" s="147"/>
      <c r="H118" s="147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</row>
    <row r="119" spans="1:26" ht="25.2">
      <c r="A119" s="140"/>
      <c r="B119" s="137"/>
      <c r="C119" s="138"/>
      <c r="D119" s="150"/>
      <c r="E119" s="139"/>
      <c r="F119" s="140"/>
      <c r="G119" s="149"/>
      <c r="H119" s="149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</row>
    <row r="120" spans="1:26" ht="25.2">
      <c r="A120" s="140"/>
      <c r="B120" s="137"/>
      <c r="C120" s="138"/>
      <c r="D120" s="150"/>
      <c r="E120" s="139"/>
      <c r="F120" s="140"/>
      <c r="G120" s="147"/>
      <c r="H120" s="147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</row>
    <row r="121" spans="1:26" ht="25.2">
      <c r="A121" s="140"/>
      <c r="B121" s="137"/>
      <c r="C121" s="138"/>
      <c r="D121" s="150"/>
      <c r="E121" s="139"/>
      <c r="F121" s="140"/>
      <c r="G121" s="149"/>
      <c r="H121" s="149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</row>
    <row r="122" spans="1:26" ht="25.2">
      <c r="A122" s="140"/>
      <c r="B122" s="137"/>
      <c r="C122" s="138"/>
      <c r="D122" s="150"/>
      <c r="E122" s="139"/>
      <c r="F122" s="140"/>
      <c r="G122" s="147"/>
      <c r="H122" s="147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</row>
    <row r="123" spans="1:26" ht="25.2">
      <c r="A123" s="140"/>
      <c r="B123" s="137"/>
      <c r="C123" s="138"/>
      <c r="D123" s="150"/>
      <c r="E123" s="139"/>
      <c r="F123" s="140"/>
      <c r="G123" s="149"/>
      <c r="H123" s="149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</row>
    <row r="124" spans="1:26" ht="25.2">
      <c r="A124" s="140"/>
      <c r="B124" s="137"/>
      <c r="C124" s="138"/>
      <c r="D124" s="150"/>
      <c r="E124" s="139"/>
      <c r="F124" s="140"/>
      <c r="G124" s="147"/>
      <c r="H124" s="147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</row>
    <row r="125" spans="1:26" ht="25.2">
      <c r="A125" s="140"/>
      <c r="B125" s="137"/>
      <c r="C125" s="138"/>
      <c r="D125" s="150"/>
      <c r="E125" s="139"/>
      <c r="F125" s="140"/>
      <c r="G125" s="149"/>
      <c r="H125" s="149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</row>
    <row r="126" spans="1:26" ht="25.2">
      <c r="A126" s="140"/>
      <c r="B126" s="137"/>
      <c r="C126" s="138"/>
      <c r="D126" s="150"/>
      <c r="E126" s="139"/>
      <c r="F126" s="140"/>
      <c r="G126" s="147"/>
      <c r="H126" s="147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</row>
    <row r="127" spans="1:26" ht="25.2">
      <c r="A127" s="140"/>
      <c r="B127" s="137"/>
      <c r="C127" s="138"/>
      <c r="D127" s="150"/>
      <c r="E127" s="139"/>
      <c r="F127" s="140"/>
      <c r="G127" s="149"/>
      <c r="H127" s="149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</row>
    <row r="128" spans="1:26" ht="25.2">
      <c r="A128" s="140"/>
      <c r="B128" s="137"/>
      <c r="C128" s="138"/>
      <c r="D128" s="150"/>
      <c r="E128" s="139"/>
      <c r="F128" s="140"/>
      <c r="G128" s="147"/>
      <c r="H128" s="147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</row>
    <row r="129" spans="1:26" ht="25.2">
      <c r="A129" s="140"/>
      <c r="B129" s="137"/>
      <c r="C129" s="138"/>
      <c r="D129" s="150"/>
      <c r="E129" s="139"/>
      <c r="F129" s="140"/>
      <c r="G129" s="149"/>
      <c r="H129" s="149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</row>
    <row r="130" spans="1:26" ht="25.2">
      <c r="A130" s="140"/>
      <c r="B130" s="137"/>
      <c r="C130" s="138"/>
      <c r="D130" s="150"/>
      <c r="E130" s="139"/>
      <c r="F130" s="140"/>
      <c r="G130" s="147"/>
      <c r="H130" s="147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</row>
    <row r="131" spans="1:26" ht="25.2">
      <c r="A131" s="140"/>
      <c r="B131" s="137"/>
      <c r="C131" s="138"/>
      <c r="D131" s="150"/>
      <c r="E131" s="139"/>
      <c r="F131" s="140"/>
      <c r="G131" s="149"/>
      <c r="H131" s="149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</row>
    <row r="132" spans="1:26" ht="25.2">
      <c r="A132" s="140"/>
      <c r="B132" s="137"/>
      <c r="C132" s="138"/>
      <c r="D132" s="150"/>
      <c r="E132" s="139"/>
      <c r="F132" s="140"/>
      <c r="G132" s="147"/>
      <c r="H132" s="147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</row>
    <row r="133" spans="1:26" ht="25.2">
      <c r="A133" s="140"/>
      <c r="B133" s="137"/>
      <c r="C133" s="138"/>
      <c r="D133" s="150"/>
      <c r="E133" s="139"/>
      <c r="F133" s="140"/>
      <c r="G133" s="149"/>
      <c r="H133" s="149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</row>
    <row r="134" spans="1:26" ht="25.2">
      <c r="A134" s="140"/>
      <c r="B134" s="137"/>
      <c r="C134" s="138"/>
      <c r="D134" s="150"/>
      <c r="E134" s="139"/>
      <c r="F134" s="140"/>
      <c r="G134" s="147"/>
      <c r="H134" s="147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</row>
    <row r="135" spans="1:26" ht="25.2">
      <c r="A135" s="140"/>
      <c r="B135" s="137"/>
      <c r="C135" s="138"/>
      <c r="D135" s="150"/>
      <c r="E135" s="139"/>
      <c r="F135" s="140"/>
      <c r="G135" s="149"/>
      <c r="H135" s="149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</row>
    <row r="136" spans="1:26" ht="25.2">
      <c r="A136" s="140"/>
      <c r="B136" s="137"/>
      <c r="C136" s="138"/>
      <c r="D136" s="150"/>
      <c r="E136" s="139"/>
      <c r="F136" s="140"/>
      <c r="G136" s="147"/>
      <c r="H136" s="147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</row>
    <row r="137" spans="1:26" ht="25.2">
      <c r="A137" s="140"/>
      <c r="B137" s="137"/>
      <c r="C137" s="138"/>
      <c r="D137" s="150"/>
      <c r="E137" s="139"/>
      <c r="F137" s="140"/>
      <c r="G137" s="149"/>
      <c r="H137" s="149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</row>
    <row r="138" spans="1:26" ht="25.2">
      <c r="A138" s="140"/>
      <c r="B138" s="137"/>
      <c r="C138" s="138"/>
      <c r="D138" s="150"/>
      <c r="E138" s="139"/>
      <c r="F138" s="140"/>
      <c r="G138" s="147"/>
      <c r="H138" s="147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</row>
    <row r="139" spans="1:26" ht="25.2">
      <c r="A139" s="140"/>
      <c r="B139" s="137"/>
      <c r="C139" s="138"/>
      <c r="D139" s="150"/>
      <c r="E139" s="139"/>
      <c r="F139" s="140"/>
      <c r="G139" s="149"/>
      <c r="H139" s="149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</row>
    <row r="140" spans="1:26" ht="25.2">
      <c r="A140" s="140"/>
      <c r="B140" s="137"/>
      <c r="C140" s="138"/>
      <c r="D140" s="150"/>
      <c r="E140" s="139"/>
      <c r="F140" s="140"/>
      <c r="G140" s="147"/>
      <c r="H140" s="147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</row>
    <row r="141" spans="1:26" ht="25.2">
      <c r="A141" s="140"/>
      <c r="B141" s="137"/>
      <c r="C141" s="138"/>
      <c r="D141" s="150"/>
      <c r="E141" s="139"/>
      <c r="F141" s="140"/>
      <c r="G141" s="149"/>
      <c r="H141" s="149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</row>
    <row r="142" spans="1:26" ht="25.2">
      <c r="A142" s="140"/>
      <c r="B142" s="137"/>
      <c r="C142" s="138"/>
      <c r="D142" s="150"/>
      <c r="E142" s="139"/>
      <c r="F142" s="140"/>
      <c r="G142" s="147"/>
      <c r="H142" s="147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</row>
    <row r="143" spans="1:26" ht="25.2">
      <c r="A143" s="140"/>
      <c r="B143" s="137"/>
      <c r="C143" s="138"/>
      <c r="D143" s="150"/>
      <c r="E143" s="139"/>
      <c r="F143" s="140"/>
      <c r="G143" s="149"/>
      <c r="H143" s="149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</row>
    <row r="144" spans="1:26" ht="25.2">
      <c r="A144" s="140"/>
      <c r="B144" s="137"/>
      <c r="C144" s="138"/>
      <c r="D144" s="150"/>
      <c r="E144" s="139"/>
      <c r="F144" s="140"/>
      <c r="G144" s="147"/>
      <c r="H144" s="147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</row>
    <row r="145" spans="1:26" ht="25.2">
      <c r="A145" s="140"/>
      <c r="B145" s="137"/>
      <c r="C145" s="138"/>
      <c r="D145" s="150"/>
      <c r="E145" s="139"/>
      <c r="F145" s="140"/>
      <c r="G145" s="149"/>
      <c r="H145" s="149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</row>
    <row r="146" spans="1:26" ht="25.2">
      <c r="A146" s="140"/>
      <c r="B146" s="137"/>
      <c r="C146" s="138"/>
      <c r="D146" s="150"/>
      <c r="E146" s="139"/>
      <c r="F146" s="140"/>
      <c r="G146" s="147"/>
      <c r="H146" s="147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</row>
    <row r="147" spans="1:26" ht="25.2">
      <c r="A147" s="140"/>
      <c r="B147" s="137"/>
      <c r="C147" s="138"/>
      <c r="D147" s="150"/>
      <c r="E147" s="139"/>
      <c r="F147" s="140"/>
      <c r="G147" s="149"/>
      <c r="H147" s="149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</row>
    <row r="148" spans="1:26" ht="25.2">
      <c r="A148" s="140"/>
      <c r="B148" s="137"/>
      <c r="C148" s="138"/>
      <c r="D148" s="150"/>
      <c r="E148" s="139"/>
      <c r="F148" s="140"/>
      <c r="G148" s="147"/>
      <c r="H148" s="147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</row>
    <row r="149" spans="1:26" ht="25.2">
      <c r="A149" s="140"/>
      <c r="B149" s="137"/>
      <c r="C149" s="138"/>
      <c r="D149" s="150"/>
      <c r="E149" s="139"/>
      <c r="F149" s="140"/>
      <c r="G149" s="149"/>
      <c r="H149" s="149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</row>
    <row r="150" spans="1:26" ht="25.2">
      <c r="A150" s="140"/>
      <c r="B150" s="137"/>
      <c r="C150" s="138"/>
      <c r="D150" s="150"/>
      <c r="E150" s="139"/>
      <c r="F150" s="140"/>
      <c r="G150" s="147"/>
      <c r="H150" s="147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</row>
    <row r="151" spans="1:26" ht="25.2">
      <c r="A151" s="140"/>
      <c r="B151" s="137"/>
      <c r="C151" s="138"/>
      <c r="D151" s="150"/>
      <c r="E151" s="139"/>
      <c r="F151" s="140"/>
      <c r="G151" s="149"/>
      <c r="H151" s="149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</row>
    <row r="152" spans="1:26" ht="25.2">
      <c r="A152" s="140"/>
      <c r="B152" s="137"/>
      <c r="C152" s="138"/>
      <c r="D152" s="150"/>
      <c r="E152" s="139"/>
      <c r="F152" s="140"/>
      <c r="G152" s="147"/>
      <c r="H152" s="147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</row>
    <row r="153" spans="1:26" ht="25.2">
      <c r="A153" s="140"/>
      <c r="B153" s="137"/>
      <c r="C153" s="138"/>
      <c r="D153" s="150"/>
      <c r="E153" s="139"/>
      <c r="F153" s="140"/>
      <c r="G153" s="149"/>
      <c r="H153" s="149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</row>
    <row r="154" spans="1:26" ht="25.2">
      <c r="A154" s="140"/>
      <c r="B154" s="137"/>
      <c r="C154" s="138"/>
      <c r="D154" s="150"/>
      <c r="E154" s="139"/>
      <c r="F154" s="140"/>
      <c r="G154" s="147"/>
      <c r="H154" s="147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</row>
    <row r="155" spans="1:26" ht="25.2">
      <c r="A155" s="140"/>
      <c r="B155" s="137"/>
      <c r="C155" s="138"/>
      <c r="D155" s="150"/>
      <c r="E155" s="139"/>
      <c r="F155" s="140"/>
      <c r="G155" s="149"/>
      <c r="H155" s="149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</row>
    <row r="156" spans="1:26" ht="25.2">
      <c r="A156" s="140"/>
      <c r="B156" s="137"/>
      <c r="C156" s="138"/>
      <c r="D156" s="150"/>
      <c r="E156" s="139"/>
      <c r="F156" s="140"/>
      <c r="G156" s="147"/>
      <c r="H156" s="147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</row>
    <row r="157" spans="1:26" ht="25.2">
      <c r="A157" s="140"/>
      <c r="B157" s="137"/>
      <c r="C157" s="138"/>
      <c r="D157" s="150"/>
      <c r="E157" s="139"/>
      <c r="F157" s="140"/>
      <c r="G157" s="149"/>
      <c r="H157" s="149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</row>
    <row r="158" spans="1:26" ht="25.2">
      <c r="A158" s="140"/>
      <c r="B158" s="137"/>
      <c r="C158" s="138"/>
      <c r="D158" s="150"/>
      <c r="E158" s="139"/>
      <c r="F158" s="140"/>
      <c r="G158" s="147"/>
      <c r="H158" s="147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</row>
    <row r="159" spans="1:26" ht="25.2">
      <c r="A159" s="140"/>
      <c r="B159" s="137"/>
      <c r="C159" s="138"/>
      <c r="D159" s="150"/>
      <c r="E159" s="139"/>
      <c r="F159" s="140"/>
      <c r="G159" s="149"/>
      <c r="H159" s="149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</row>
    <row r="160" spans="1:26" ht="25.2">
      <c r="A160" s="140"/>
      <c r="B160" s="137"/>
      <c r="C160" s="138"/>
      <c r="D160" s="150"/>
      <c r="E160" s="139"/>
      <c r="F160" s="140"/>
      <c r="G160" s="147"/>
      <c r="H160" s="147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</row>
    <row r="161" spans="1:26" ht="25.2">
      <c r="A161" s="140"/>
      <c r="B161" s="137"/>
      <c r="C161" s="138"/>
      <c r="D161" s="150"/>
      <c r="E161" s="139"/>
      <c r="F161" s="140"/>
      <c r="G161" s="149"/>
      <c r="H161" s="149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</row>
    <row r="162" spans="1:26" ht="25.2">
      <c r="A162" s="140"/>
      <c r="B162" s="137"/>
      <c r="C162" s="138"/>
      <c r="D162" s="150"/>
      <c r="E162" s="139"/>
      <c r="F162" s="140"/>
      <c r="G162" s="147"/>
      <c r="H162" s="147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</row>
    <row r="163" spans="1:26" ht="25.2">
      <c r="A163" s="140"/>
      <c r="B163" s="137"/>
      <c r="C163" s="138"/>
      <c r="D163" s="150"/>
      <c r="E163" s="139"/>
      <c r="F163" s="140"/>
      <c r="G163" s="149"/>
      <c r="H163" s="149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</row>
    <row r="164" spans="1:26" ht="25.2">
      <c r="A164" s="140"/>
      <c r="B164" s="137"/>
      <c r="C164" s="138"/>
      <c r="D164" s="150"/>
      <c r="E164" s="139"/>
      <c r="F164" s="140"/>
      <c r="G164" s="147"/>
      <c r="H164" s="147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</row>
    <row r="165" spans="1:26" ht="25.2">
      <c r="A165" s="140"/>
      <c r="B165" s="137"/>
      <c r="C165" s="138"/>
      <c r="D165" s="150"/>
      <c r="E165" s="139"/>
      <c r="F165" s="140"/>
      <c r="G165" s="149"/>
      <c r="H165" s="149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</row>
    <row r="166" spans="1:26" ht="25.2">
      <c r="A166" s="140"/>
      <c r="B166" s="137"/>
      <c r="C166" s="138"/>
      <c r="D166" s="150"/>
      <c r="E166" s="139"/>
      <c r="F166" s="140"/>
      <c r="G166" s="147"/>
      <c r="H166" s="147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</row>
    <row r="167" spans="1:26" ht="25.2">
      <c r="A167" s="140"/>
      <c r="B167" s="137"/>
      <c r="C167" s="138"/>
      <c r="D167" s="150"/>
      <c r="E167" s="139"/>
      <c r="F167" s="140"/>
      <c r="G167" s="149"/>
      <c r="H167" s="149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</row>
    <row r="168" spans="1:26" ht="25.2">
      <c r="A168" s="140"/>
      <c r="B168" s="137"/>
      <c r="C168" s="138"/>
      <c r="D168" s="150"/>
      <c r="E168" s="139"/>
      <c r="F168" s="140"/>
      <c r="G168" s="147"/>
      <c r="H168" s="147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</row>
    <row r="169" spans="1:26" ht="25.2">
      <c r="A169" s="140"/>
      <c r="B169" s="137"/>
      <c r="C169" s="138"/>
      <c r="D169" s="150"/>
      <c r="E169" s="139"/>
      <c r="F169" s="140"/>
      <c r="G169" s="149"/>
      <c r="H169" s="149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</row>
    <row r="170" spans="1:26" ht="25.2">
      <c r="A170" s="140"/>
      <c r="B170" s="137"/>
      <c r="C170" s="138"/>
      <c r="D170" s="150"/>
      <c r="E170" s="139"/>
      <c r="F170" s="140"/>
      <c r="G170" s="147"/>
      <c r="H170" s="147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</row>
    <row r="171" spans="1:26" ht="25.2">
      <c r="A171" s="140"/>
      <c r="B171" s="137"/>
      <c r="C171" s="138"/>
      <c r="D171" s="150"/>
      <c r="E171" s="139"/>
      <c r="F171" s="140"/>
      <c r="G171" s="149"/>
      <c r="H171" s="149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</row>
    <row r="172" spans="1:26" ht="25.2">
      <c r="A172" s="140"/>
      <c r="B172" s="137"/>
      <c r="C172" s="138"/>
      <c r="D172" s="150"/>
      <c r="E172" s="139"/>
      <c r="F172" s="140"/>
      <c r="G172" s="147"/>
      <c r="H172" s="147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</row>
    <row r="173" spans="1:26" ht="25.2">
      <c r="A173" s="140"/>
      <c r="B173" s="137"/>
      <c r="C173" s="138"/>
      <c r="D173" s="150"/>
      <c r="E173" s="139"/>
      <c r="F173" s="140"/>
      <c r="G173" s="149"/>
      <c r="H173" s="149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</row>
    <row r="174" spans="1:26" ht="25.2">
      <c r="A174" s="140"/>
      <c r="B174" s="137"/>
      <c r="C174" s="138"/>
      <c r="D174" s="150"/>
      <c r="E174" s="139"/>
      <c r="F174" s="140"/>
      <c r="G174" s="147"/>
      <c r="H174" s="147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</row>
    <row r="175" spans="1:26" ht="25.2">
      <c r="A175" s="140"/>
      <c r="B175" s="137"/>
      <c r="C175" s="138"/>
      <c r="D175" s="150"/>
      <c r="E175" s="139"/>
      <c r="F175" s="140"/>
      <c r="G175" s="149"/>
      <c r="H175" s="149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</row>
    <row r="176" spans="1:26" ht="25.2">
      <c r="A176" s="140"/>
      <c r="B176" s="137"/>
      <c r="C176" s="138"/>
      <c r="D176" s="150"/>
      <c r="E176" s="139"/>
      <c r="F176" s="140"/>
      <c r="G176" s="147"/>
      <c r="H176" s="147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</row>
    <row r="177" spans="1:26" ht="25.2">
      <c r="A177" s="140"/>
      <c r="B177" s="137"/>
      <c r="C177" s="138"/>
      <c r="D177" s="150"/>
      <c r="E177" s="139"/>
      <c r="F177" s="140"/>
      <c r="G177" s="149"/>
      <c r="H177" s="149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</row>
    <row r="178" spans="1:26" ht="25.2">
      <c r="A178" s="140"/>
      <c r="B178" s="137"/>
      <c r="C178" s="138"/>
      <c r="D178" s="150"/>
      <c r="E178" s="139"/>
      <c r="F178" s="140"/>
      <c r="G178" s="147"/>
      <c r="H178" s="147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</row>
    <row r="179" spans="1:26" ht="25.2">
      <c r="A179" s="140"/>
      <c r="B179" s="137"/>
      <c r="C179" s="138"/>
      <c r="D179" s="150"/>
      <c r="E179" s="139"/>
      <c r="F179" s="140"/>
      <c r="G179" s="149"/>
      <c r="H179" s="149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</row>
    <row r="180" spans="1:26" ht="25.2">
      <c r="A180" s="140"/>
      <c r="B180" s="137"/>
      <c r="C180" s="138"/>
      <c r="D180" s="150"/>
      <c r="E180" s="139"/>
      <c r="F180" s="140"/>
      <c r="G180" s="147"/>
      <c r="H180" s="147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</row>
    <row r="181" spans="1:26" ht="25.2">
      <c r="A181" s="140"/>
      <c r="B181" s="137"/>
      <c r="C181" s="138"/>
      <c r="D181" s="150"/>
      <c r="E181" s="139"/>
      <c r="F181" s="140"/>
      <c r="G181" s="149"/>
      <c r="H181" s="149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</row>
    <row r="182" spans="1:26" ht="25.2">
      <c r="A182" s="140"/>
      <c r="B182" s="137"/>
      <c r="C182" s="138"/>
      <c r="D182" s="150"/>
      <c r="E182" s="139"/>
      <c r="F182" s="140"/>
      <c r="G182" s="147"/>
      <c r="H182" s="147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</row>
    <row r="183" spans="1:26" ht="25.2">
      <c r="A183" s="140"/>
      <c r="B183" s="137"/>
      <c r="C183" s="138"/>
      <c r="D183" s="150"/>
      <c r="E183" s="139"/>
      <c r="F183" s="140"/>
      <c r="G183" s="149"/>
      <c r="H183" s="149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</row>
    <row r="184" spans="1:26" ht="25.2">
      <c r="A184" s="140"/>
      <c r="B184" s="137"/>
      <c r="C184" s="138"/>
      <c r="D184" s="150"/>
      <c r="E184" s="139"/>
      <c r="F184" s="140"/>
      <c r="G184" s="147"/>
      <c r="H184" s="147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</row>
    <row r="185" spans="1:26" ht="25.2">
      <c r="A185" s="140"/>
      <c r="B185" s="137"/>
      <c r="C185" s="138"/>
      <c r="D185" s="150"/>
      <c r="E185" s="139"/>
      <c r="F185" s="140"/>
      <c r="G185" s="149"/>
      <c r="H185" s="149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</row>
    <row r="186" spans="1:26" ht="25.2">
      <c r="A186" s="140"/>
      <c r="B186" s="137"/>
      <c r="C186" s="138"/>
      <c r="D186" s="150"/>
      <c r="E186" s="139"/>
      <c r="F186" s="140"/>
      <c r="G186" s="147"/>
      <c r="H186" s="147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</row>
    <row r="187" spans="1:26" ht="25.2">
      <c r="A187" s="140"/>
      <c r="B187" s="137"/>
      <c r="C187" s="138"/>
      <c r="D187" s="150"/>
      <c r="E187" s="139"/>
      <c r="F187" s="140"/>
      <c r="G187" s="149"/>
      <c r="H187" s="149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</row>
    <row r="188" spans="1:26" ht="25.2">
      <c r="A188" s="140"/>
      <c r="B188" s="137"/>
      <c r="C188" s="138"/>
      <c r="D188" s="150"/>
      <c r="E188" s="139"/>
      <c r="F188" s="140"/>
      <c r="G188" s="147"/>
      <c r="H188" s="147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</row>
    <row r="189" spans="1:26" ht="25.2">
      <c r="A189" s="140"/>
      <c r="B189" s="137"/>
      <c r="C189" s="138"/>
      <c r="D189" s="150"/>
      <c r="E189" s="139"/>
      <c r="F189" s="140"/>
      <c r="G189" s="149"/>
      <c r="H189" s="149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</row>
    <row r="190" spans="1:26" ht="25.2">
      <c r="A190" s="140"/>
      <c r="B190" s="137"/>
      <c r="C190" s="138"/>
      <c r="D190" s="150"/>
      <c r="E190" s="139"/>
      <c r="F190" s="140"/>
      <c r="G190" s="147"/>
      <c r="H190" s="147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</row>
    <row r="191" spans="1:26" ht="25.2">
      <c r="A191" s="140"/>
      <c r="B191" s="137"/>
      <c r="C191" s="138"/>
      <c r="D191" s="150"/>
      <c r="E191" s="139"/>
      <c r="F191" s="140"/>
      <c r="G191" s="149"/>
      <c r="H191" s="149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</row>
    <row r="192" spans="1:26" ht="25.2">
      <c r="A192" s="140"/>
      <c r="B192" s="137"/>
      <c r="C192" s="138"/>
      <c r="D192" s="150"/>
      <c r="E192" s="139"/>
      <c r="F192" s="140"/>
      <c r="G192" s="147"/>
      <c r="H192" s="147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</row>
    <row r="193" spans="1:26" ht="25.2">
      <c r="A193" s="140"/>
      <c r="B193" s="137"/>
      <c r="C193" s="138"/>
      <c r="D193" s="150"/>
      <c r="E193" s="139"/>
      <c r="F193" s="140"/>
      <c r="G193" s="149"/>
      <c r="H193" s="149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</row>
    <row r="194" spans="1:26" ht="25.2">
      <c r="A194" s="140"/>
      <c r="B194" s="137"/>
      <c r="C194" s="138"/>
      <c r="D194" s="150"/>
      <c r="E194" s="139"/>
      <c r="F194" s="140"/>
      <c r="G194" s="147"/>
      <c r="H194" s="147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</row>
    <row r="195" spans="1:26" ht="25.2">
      <c r="A195" s="140"/>
      <c r="B195" s="137"/>
      <c r="C195" s="138"/>
      <c r="D195" s="150"/>
      <c r="E195" s="139"/>
      <c r="F195" s="140"/>
      <c r="G195" s="149"/>
      <c r="H195" s="149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</row>
    <row r="196" spans="1:26" ht="25.2">
      <c r="A196" s="140"/>
      <c r="B196" s="137"/>
      <c r="C196" s="138"/>
      <c r="D196" s="150"/>
      <c r="E196" s="139"/>
      <c r="F196" s="140"/>
      <c r="G196" s="147"/>
      <c r="H196" s="147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</row>
    <row r="197" spans="1:26" ht="25.2">
      <c r="A197" s="140"/>
      <c r="B197" s="137"/>
      <c r="C197" s="138"/>
      <c r="D197" s="150"/>
      <c r="E197" s="139"/>
      <c r="F197" s="140"/>
      <c r="G197" s="149"/>
      <c r="H197" s="149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</row>
    <row r="198" spans="1:26" ht="25.2">
      <c r="A198" s="140"/>
      <c r="B198" s="137"/>
      <c r="C198" s="138"/>
      <c r="D198" s="150"/>
      <c r="E198" s="139"/>
      <c r="F198" s="140"/>
      <c r="G198" s="147"/>
      <c r="H198" s="147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</row>
    <row r="199" spans="1:26" ht="25.2">
      <c r="A199" s="140"/>
      <c r="B199" s="137"/>
      <c r="C199" s="138"/>
      <c r="D199" s="150"/>
      <c r="E199" s="139"/>
      <c r="F199" s="140"/>
      <c r="G199" s="149"/>
      <c r="H199" s="149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</row>
    <row r="200" spans="1:26" ht="25.2">
      <c r="A200" s="140"/>
      <c r="B200" s="137"/>
      <c r="C200" s="138"/>
      <c r="D200" s="150"/>
      <c r="E200" s="139"/>
      <c r="F200" s="140"/>
      <c r="G200" s="147"/>
      <c r="H200" s="147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</row>
    <row r="201" spans="1:26" ht="25.2">
      <c r="A201" s="140"/>
      <c r="B201" s="137"/>
      <c r="C201" s="138"/>
      <c r="D201" s="150"/>
      <c r="E201" s="139"/>
      <c r="F201" s="140"/>
      <c r="G201" s="149"/>
      <c r="H201" s="149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</row>
    <row r="202" spans="1:26" ht="25.2">
      <c r="A202" s="140"/>
      <c r="B202" s="137"/>
      <c r="C202" s="138"/>
      <c r="D202" s="150"/>
      <c r="E202" s="139"/>
      <c r="F202" s="140"/>
      <c r="G202" s="147"/>
      <c r="H202" s="147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</row>
    <row r="203" spans="1:26" ht="25.2">
      <c r="A203" s="140"/>
      <c r="B203" s="137"/>
      <c r="C203" s="138"/>
      <c r="D203" s="150"/>
      <c r="E203" s="139"/>
      <c r="F203" s="140"/>
      <c r="G203" s="149"/>
      <c r="H203" s="149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</row>
    <row r="204" spans="1:26" ht="25.2">
      <c r="A204" s="140"/>
      <c r="B204" s="137"/>
      <c r="C204" s="138"/>
      <c r="D204" s="150"/>
      <c r="E204" s="139"/>
      <c r="F204" s="140"/>
      <c r="G204" s="147"/>
      <c r="H204" s="147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</row>
    <row r="205" spans="1:26" ht="25.2">
      <c r="A205" s="140"/>
      <c r="B205" s="137"/>
      <c r="C205" s="138"/>
      <c r="D205" s="150"/>
      <c r="E205" s="139"/>
      <c r="F205" s="140"/>
      <c r="G205" s="149"/>
      <c r="H205" s="149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</row>
    <row r="206" spans="1:26" ht="25.2">
      <c r="A206" s="140"/>
      <c r="B206" s="137"/>
      <c r="C206" s="138"/>
      <c r="D206" s="150"/>
      <c r="E206" s="139"/>
      <c r="F206" s="140"/>
      <c r="G206" s="147"/>
      <c r="H206" s="147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</row>
    <row r="207" spans="1:26" ht="25.2">
      <c r="A207" s="140"/>
      <c r="B207" s="137"/>
      <c r="C207" s="138"/>
      <c r="D207" s="150"/>
      <c r="E207" s="139"/>
      <c r="F207" s="140"/>
      <c r="G207" s="149"/>
      <c r="H207" s="149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</row>
    <row r="208" spans="1:26" ht="25.2">
      <c r="A208" s="140"/>
      <c r="B208" s="137"/>
      <c r="C208" s="138"/>
      <c r="D208" s="150"/>
      <c r="E208" s="139"/>
      <c r="F208" s="140"/>
      <c r="G208" s="147"/>
      <c r="H208" s="147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</row>
    <row r="209" spans="1:26" ht="25.2">
      <c r="A209" s="140"/>
      <c r="B209" s="137"/>
      <c r="C209" s="138"/>
      <c r="D209" s="150"/>
      <c r="E209" s="139"/>
      <c r="F209" s="140"/>
      <c r="G209" s="149"/>
      <c r="H209" s="149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</row>
    <row r="210" spans="1:26" ht="25.2">
      <c r="A210" s="140"/>
      <c r="B210" s="137"/>
      <c r="C210" s="138"/>
      <c r="D210" s="150"/>
      <c r="E210" s="139"/>
      <c r="F210" s="140"/>
      <c r="G210" s="147"/>
      <c r="H210" s="147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</row>
    <row r="211" spans="1:26" ht="25.2">
      <c r="A211" s="140"/>
      <c r="B211" s="137"/>
      <c r="C211" s="138"/>
      <c r="D211" s="150"/>
      <c r="E211" s="139"/>
      <c r="F211" s="140"/>
      <c r="G211" s="149"/>
      <c r="H211" s="149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</row>
    <row r="212" spans="1:26" ht="25.2">
      <c r="A212" s="140"/>
      <c r="B212" s="137"/>
      <c r="C212" s="138"/>
      <c r="D212" s="150"/>
      <c r="E212" s="139"/>
      <c r="F212" s="140"/>
      <c r="G212" s="147"/>
      <c r="H212" s="147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</row>
    <row r="213" spans="1:26" ht="25.2">
      <c r="A213" s="140"/>
      <c r="B213" s="137"/>
      <c r="C213" s="138"/>
      <c r="D213" s="150"/>
      <c r="E213" s="139"/>
      <c r="F213" s="140"/>
      <c r="G213" s="149"/>
      <c r="H213" s="149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</row>
    <row r="214" spans="1:26" ht="25.2">
      <c r="A214" s="140"/>
      <c r="B214" s="137"/>
      <c r="C214" s="138"/>
      <c r="D214" s="150"/>
      <c r="E214" s="139"/>
      <c r="F214" s="140"/>
      <c r="G214" s="147"/>
      <c r="H214" s="147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</row>
    <row r="215" spans="1:26" ht="25.2">
      <c r="A215" s="140"/>
      <c r="B215" s="137"/>
      <c r="C215" s="138"/>
      <c r="D215" s="150"/>
      <c r="E215" s="139"/>
      <c r="F215" s="140"/>
      <c r="G215" s="149"/>
      <c r="H215" s="149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</row>
    <row r="216" spans="1:26" ht="25.2">
      <c r="A216" s="140"/>
      <c r="B216" s="137"/>
      <c r="C216" s="138"/>
      <c r="D216" s="150"/>
      <c r="E216" s="139"/>
      <c r="F216" s="140"/>
      <c r="G216" s="147"/>
      <c r="H216" s="147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</row>
    <row r="217" spans="1:26" ht="25.2">
      <c r="A217" s="140"/>
      <c r="B217" s="137"/>
      <c r="C217" s="138"/>
      <c r="D217" s="150"/>
      <c r="E217" s="139"/>
      <c r="F217" s="140"/>
      <c r="G217" s="149"/>
      <c r="H217" s="149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</row>
    <row r="218" spans="1:26" ht="25.2">
      <c r="A218" s="140"/>
      <c r="B218" s="137"/>
      <c r="C218" s="138"/>
      <c r="D218" s="150"/>
      <c r="E218" s="139"/>
      <c r="F218" s="140"/>
      <c r="G218" s="147"/>
      <c r="H218" s="147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</row>
    <row r="219" spans="1:26" ht="25.2">
      <c r="A219" s="140"/>
      <c r="B219" s="137"/>
      <c r="C219" s="138"/>
      <c r="D219" s="150"/>
      <c r="E219" s="139"/>
      <c r="F219" s="140"/>
      <c r="G219" s="149"/>
      <c r="H219" s="149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</row>
    <row r="220" spans="1:26" ht="25.2">
      <c r="A220" s="140"/>
      <c r="B220" s="137"/>
      <c r="C220" s="138"/>
      <c r="D220" s="150"/>
      <c r="E220" s="139"/>
      <c r="F220" s="140"/>
      <c r="G220" s="147"/>
      <c r="H220" s="147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</row>
    <row r="221" spans="1:26" ht="25.2">
      <c r="A221" s="140"/>
      <c r="B221" s="137"/>
      <c r="C221" s="138"/>
      <c r="D221" s="150"/>
      <c r="E221" s="139"/>
      <c r="F221" s="140"/>
      <c r="G221" s="149"/>
      <c r="H221" s="149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</row>
    <row r="222" spans="1:26" ht="25.2">
      <c r="A222" s="140"/>
      <c r="B222" s="137"/>
      <c r="C222" s="138"/>
      <c r="D222" s="150"/>
      <c r="E222" s="139"/>
      <c r="F222" s="140"/>
      <c r="G222" s="147"/>
      <c r="H222" s="147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</row>
    <row r="223" spans="1:26" ht="25.2">
      <c r="A223" s="140"/>
      <c r="B223" s="137"/>
      <c r="C223" s="138"/>
      <c r="D223" s="150"/>
      <c r="E223" s="139"/>
      <c r="F223" s="140"/>
      <c r="G223" s="149"/>
      <c r="H223" s="149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</row>
    <row r="224" spans="1:26" ht="25.2">
      <c r="A224" s="140"/>
      <c r="B224" s="137"/>
      <c r="C224" s="138"/>
      <c r="D224" s="150"/>
      <c r="E224" s="139"/>
      <c r="F224" s="140"/>
      <c r="G224" s="147"/>
      <c r="H224" s="147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</row>
    <row r="225" spans="1:26" ht="25.2">
      <c r="A225" s="140"/>
      <c r="B225" s="137"/>
      <c r="C225" s="138"/>
      <c r="D225" s="150"/>
      <c r="E225" s="139"/>
      <c r="F225" s="140"/>
      <c r="G225" s="149"/>
      <c r="H225" s="149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</row>
    <row r="226" spans="1:26" ht="25.2">
      <c r="A226" s="140"/>
      <c r="B226" s="137"/>
      <c r="C226" s="138"/>
      <c r="D226" s="150"/>
      <c r="E226" s="139"/>
      <c r="F226" s="140"/>
      <c r="G226" s="147"/>
      <c r="H226" s="147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</row>
    <row r="227" spans="1:26" ht="25.2">
      <c r="A227" s="140"/>
      <c r="B227" s="137"/>
      <c r="C227" s="138"/>
      <c r="D227" s="150"/>
      <c r="E227" s="139"/>
      <c r="F227" s="140"/>
      <c r="G227" s="149"/>
      <c r="H227" s="149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</row>
    <row r="228" spans="1:26" ht="25.2">
      <c r="A228" s="140"/>
      <c r="B228" s="137"/>
      <c r="C228" s="138"/>
      <c r="D228" s="150"/>
      <c r="E228" s="139"/>
      <c r="F228" s="140"/>
      <c r="G228" s="147"/>
      <c r="H228" s="147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</row>
    <row r="229" spans="1:26" ht="25.2">
      <c r="A229" s="140"/>
      <c r="B229" s="137"/>
      <c r="C229" s="138"/>
      <c r="D229" s="150"/>
      <c r="E229" s="139"/>
      <c r="F229" s="140"/>
      <c r="G229" s="149"/>
      <c r="H229" s="149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</row>
    <row r="230" spans="1:26" ht="25.2">
      <c r="A230" s="140"/>
      <c r="B230" s="137"/>
      <c r="C230" s="138"/>
      <c r="D230" s="150"/>
      <c r="E230" s="139"/>
      <c r="F230" s="140"/>
      <c r="G230" s="147"/>
      <c r="H230" s="147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</row>
    <row r="231" spans="1:26" ht="25.2">
      <c r="A231" s="140"/>
      <c r="B231" s="137"/>
      <c r="C231" s="138"/>
      <c r="D231" s="150"/>
      <c r="E231" s="139"/>
      <c r="F231" s="140"/>
      <c r="G231" s="149"/>
      <c r="H231" s="149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</row>
    <row r="232" spans="1:26" ht="25.2">
      <c r="A232" s="140"/>
      <c r="B232" s="137"/>
      <c r="C232" s="138"/>
      <c r="D232" s="150"/>
      <c r="E232" s="139"/>
      <c r="F232" s="140"/>
      <c r="G232" s="147"/>
      <c r="H232" s="147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</row>
    <row r="233" spans="1:26" ht="25.2">
      <c r="A233" s="140"/>
      <c r="B233" s="137"/>
      <c r="C233" s="138"/>
      <c r="D233" s="150"/>
      <c r="E233" s="139"/>
      <c r="F233" s="140"/>
      <c r="G233" s="149"/>
      <c r="H233" s="149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</row>
    <row r="234" spans="1:26" ht="25.2">
      <c r="A234" s="140"/>
      <c r="B234" s="137"/>
      <c r="C234" s="138"/>
      <c r="D234" s="150"/>
      <c r="E234" s="139"/>
      <c r="F234" s="140"/>
      <c r="G234" s="147"/>
      <c r="H234" s="147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</row>
    <row r="235" spans="1:26" ht="25.2">
      <c r="A235" s="140"/>
      <c r="B235" s="137"/>
      <c r="C235" s="138"/>
      <c r="D235" s="150"/>
      <c r="E235" s="139"/>
      <c r="F235" s="140"/>
      <c r="G235" s="149"/>
      <c r="H235" s="149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</row>
    <row r="236" spans="1:26" ht="25.2">
      <c r="A236" s="140"/>
      <c r="B236" s="137"/>
      <c r="C236" s="138"/>
      <c r="D236" s="150"/>
      <c r="E236" s="139"/>
      <c r="F236" s="140"/>
      <c r="G236" s="147"/>
      <c r="H236" s="147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</row>
    <row r="237" spans="1:26" ht="25.2">
      <c r="A237" s="140"/>
      <c r="B237" s="137"/>
      <c r="C237" s="138"/>
      <c r="D237" s="150"/>
      <c r="E237" s="139"/>
      <c r="F237" s="140"/>
      <c r="G237" s="149"/>
      <c r="H237" s="149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</row>
    <row r="238" spans="1:26" ht="25.2">
      <c r="A238" s="140"/>
      <c r="B238" s="137"/>
      <c r="C238" s="138"/>
      <c r="D238" s="150"/>
      <c r="E238" s="139"/>
      <c r="F238" s="140"/>
      <c r="G238" s="147"/>
      <c r="H238" s="147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</row>
    <row r="239" spans="1:26" ht="25.2">
      <c r="A239" s="140"/>
      <c r="B239" s="137"/>
      <c r="C239" s="138"/>
      <c r="D239" s="150"/>
      <c r="E239" s="139"/>
      <c r="F239" s="140"/>
      <c r="G239" s="149"/>
      <c r="H239" s="149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</row>
    <row r="240" spans="1:26" ht="25.2">
      <c r="A240" s="140"/>
      <c r="B240" s="137"/>
      <c r="C240" s="138"/>
      <c r="D240" s="150"/>
      <c r="E240" s="139"/>
      <c r="F240" s="140"/>
      <c r="G240" s="147"/>
      <c r="H240" s="147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</row>
    <row r="241" spans="1:26" ht="25.2">
      <c r="A241" s="140"/>
      <c r="B241" s="137"/>
      <c r="C241" s="138"/>
      <c r="D241" s="150"/>
      <c r="E241" s="139"/>
      <c r="F241" s="140"/>
      <c r="G241" s="149"/>
      <c r="H241" s="149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</row>
    <row r="242" spans="1:26" ht="25.2">
      <c r="A242" s="140"/>
      <c r="B242" s="137"/>
      <c r="C242" s="138"/>
      <c r="D242" s="150"/>
      <c r="E242" s="139"/>
      <c r="F242" s="140"/>
      <c r="G242" s="147"/>
      <c r="H242" s="147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</row>
    <row r="243" spans="1:26" ht="25.2">
      <c r="A243" s="140"/>
      <c r="B243" s="137"/>
      <c r="C243" s="138"/>
      <c r="D243" s="150"/>
      <c r="E243" s="139"/>
      <c r="F243" s="140"/>
      <c r="G243" s="149"/>
      <c r="H243" s="149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</row>
    <row r="244" spans="1:26" ht="25.2">
      <c r="A244" s="140"/>
      <c r="B244" s="137"/>
      <c r="C244" s="138"/>
      <c r="D244" s="150"/>
      <c r="E244" s="139"/>
      <c r="F244" s="140"/>
      <c r="G244" s="147"/>
      <c r="H244" s="147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</row>
    <row r="245" spans="1:26" ht="25.2">
      <c r="A245" s="140"/>
      <c r="B245" s="137"/>
      <c r="C245" s="138"/>
      <c r="D245" s="150"/>
      <c r="E245" s="139"/>
      <c r="F245" s="140"/>
      <c r="G245" s="149"/>
      <c r="H245" s="149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</row>
    <row r="246" spans="1:26" ht="25.2">
      <c r="A246" s="140"/>
      <c r="B246" s="137"/>
      <c r="C246" s="138"/>
      <c r="D246" s="150"/>
      <c r="E246" s="139"/>
      <c r="F246" s="140"/>
      <c r="G246" s="147"/>
      <c r="H246" s="147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</row>
    <row r="247" spans="1:26" ht="25.2">
      <c r="A247" s="140"/>
      <c r="B247" s="137"/>
      <c r="C247" s="138"/>
      <c r="D247" s="150"/>
      <c r="E247" s="139"/>
      <c r="F247" s="140"/>
      <c r="G247" s="149"/>
      <c r="H247" s="149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</row>
    <row r="248" spans="1:26" ht="25.2">
      <c r="A248" s="140"/>
      <c r="B248" s="137"/>
      <c r="C248" s="138"/>
      <c r="D248" s="150"/>
      <c r="E248" s="139"/>
      <c r="F248" s="140"/>
      <c r="G248" s="147"/>
      <c r="H248" s="147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</row>
    <row r="249" spans="1:26" ht="25.2">
      <c r="A249" s="140"/>
      <c r="B249" s="137"/>
      <c r="C249" s="138"/>
      <c r="D249" s="150"/>
      <c r="E249" s="139"/>
      <c r="F249" s="140"/>
      <c r="G249" s="149"/>
      <c r="H249" s="149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</row>
    <row r="250" spans="1:26" ht="25.2">
      <c r="A250" s="140"/>
      <c r="B250" s="137"/>
      <c r="C250" s="138"/>
      <c r="D250" s="150"/>
      <c r="E250" s="139"/>
      <c r="F250" s="140"/>
      <c r="G250" s="147"/>
      <c r="H250" s="147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</row>
    <row r="251" spans="1:26" ht="25.2">
      <c r="A251" s="140"/>
      <c r="B251" s="137"/>
      <c r="C251" s="138"/>
      <c r="D251" s="150"/>
      <c r="E251" s="139"/>
      <c r="F251" s="140"/>
      <c r="G251" s="149"/>
      <c r="H251" s="149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</row>
    <row r="252" spans="1:26" ht="25.2">
      <c r="A252" s="140"/>
      <c r="B252" s="137"/>
      <c r="C252" s="138"/>
      <c r="D252" s="150"/>
      <c r="E252" s="139"/>
      <c r="F252" s="140"/>
      <c r="G252" s="147"/>
      <c r="H252" s="147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</row>
    <row r="253" spans="1:26" ht="25.2">
      <c r="A253" s="140"/>
      <c r="B253" s="137"/>
      <c r="C253" s="138"/>
      <c r="D253" s="150"/>
      <c r="E253" s="139"/>
      <c r="F253" s="140"/>
      <c r="G253" s="149"/>
      <c r="H253" s="149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</row>
    <row r="254" spans="1:26" ht="25.2">
      <c r="A254" s="140"/>
      <c r="B254" s="137"/>
      <c r="C254" s="138"/>
      <c r="D254" s="150"/>
      <c r="E254" s="139"/>
      <c r="F254" s="140"/>
      <c r="G254" s="147"/>
      <c r="H254" s="147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</row>
    <row r="255" spans="1:26" ht="25.2">
      <c r="A255" s="140"/>
      <c r="B255" s="137"/>
      <c r="C255" s="138"/>
      <c r="D255" s="150"/>
      <c r="E255" s="139"/>
      <c r="F255" s="140"/>
      <c r="G255" s="149"/>
      <c r="H255" s="149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</row>
    <row r="256" spans="1:26" ht="25.2">
      <c r="A256" s="140"/>
      <c r="B256" s="137"/>
      <c r="C256" s="138"/>
      <c r="D256" s="150"/>
      <c r="E256" s="139"/>
      <c r="F256" s="140"/>
      <c r="G256" s="147"/>
      <c r="H256" s="147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</row>
    <row r="257" spans="1:26" ht="25.2">
      <c r="A257" s="140"/>
      <c r="B257" s="137"/>
      <c r="C257" s="138"/>
      <c r="D257" s="150"/>
      <c r="E257" s="139"/>
      <c r="F257" s="140"/>
      <c r="G257" s="149"/>
      <c r="H257" s="149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</row>
    <row r="258" spans="1:26" ht="25.2">
      <c r="A258" s="140"/>
      <c r="B258" s="137"/>
      <c r="C258" s="138"/>
      <c r="D258" s="150"/>
      <c r="E258" s="139"/>
      <c r="F258" s="140"/>
      <c r="G258" s="147"/>
      <c r="H258" s="147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</row>
    <row r="259" spans="1:26" ht="25.2">
      <c r="A259" s="140"/>
      <c r="B259" s="137"/>
      <c r="C259" s="138"/>
      <c r="D259" s="150"/>
      <c r="E259" s="139"/>
      <c r="F259" s="140"/>
      <c r="G259" s="149"/>
      <c r="H259" s="149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</row>
    <row r="260" spans="1:26" ht="25.2">
      <c r="A260" s="140"/>
      <c r="B260" s="137"/>
      <c r="C260" s="138"/>
      <c r="D260" s="150"/>
      <c r="E260" s="139"/>
      <c r="F260" s="140"/>
      <c r="G260" s="147"/>
      <c r="H260" s="147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</row>
    <row r="261" spans="1:26" ht="25.2">
      <c r="A261" s="140"/>
      <c r="B261" s="137"/>
      <c r="C261" s="138"/>
      <c r="D261" s="150"/>
      <c r="E261" s="139"/>
      <c r="F261" s="140"/>
      <c r="G261" s="149"/>
      <c r="H261" s="149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</row>
    <row r="262" spans="1:26" ht="25.2">
      <c r="A262" s="140"/>
      <c r="B262" s="137"/>
      <c r="C262" s="138"/>
      <c r="D262" s="150"/>
      <c r="E262" s="139"/>
      <c r="F262" s="140"/>
      <c r="G262" s="147"/>
      <c r="H262" s="147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</row>
    <row r="263" spans="1:26" ht="25.2">
      <c r="A263" s="140"/>
      <c r="B263" s="137"/>
      <c r="C263" s="138"/>
      <c r="D263" s="150"/>
      <c r="E263" s="139"/>
      <c r="F263" s="140"/>
      <c r="G263" s="149"/>
      <c r="H263" s="149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</row>
    <row r="264" spans="1:26" ht="25.2">
      <c r="A264" s="140"/>
      <c r="B264" s="137"/>
      <c r="C264" s="138"/>
      <c r="D264" s="150"/>
      <c r="E264" s="139"/>
      <c r="F264" s="140"/>
      <c r="G264" s="147"/>
      <c r="H264" s="147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</row>
    <row r="265" spans="1:26" ht="25.2">
      <c r="A265" s="140"/>
      <c r="B265" s="137"/>
      <c r="C265" s="138"/>
      <c r="D265" s="150"/>
      <c r="E265" s="139"/>
      <c r="F265" s="140"/>
      <c r="G265" s="149"/>
      <c r="H265" s="149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</row>
    <row r="266" spans="1:26" ht="25.2">
      <c r="A266" s="140"/>
      <c r="B266" s="137"/>
      <c r="C266" s="138"/>
      <c r="D266" s="150"/>
      <c r="E266" s="139"/>
      <c r="F266" s="140"/>
      <c r="G266" s="147"/>
      <c r="H266" s="147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</row>
    <row r="267" spans="1:26" ht="25.2">
      <c r="A267" s="140"/>
      <c r="B267" s="137"/>
      <c r="C267" s="138"/>
      <c r="D267" s="150"/>
      <c r="E267" s="139"/>
      <c r="F267" s="140"/>
      <c r="G267" s="149"/>
      <c r="H267" s="149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</row>
    <row r="268" spans="1:26" ht="25.2">
      <c r="A268" s="140"/>
      <c r="B268" s="137"/>
      <c r="C268" s="138"/>
      <c r="D268" s="150"/>
      <c r="E268" s="139"/>
      <c r="F268" s="140"/>
      <c r="G268" s="147"/>
      <c r="H268" s="147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</row>
    <row r="269" spans="1:26" ht="25.2">
      <c r="A269" s="140"/>
      <c r="B269" s="137"/>
      <c r="C269" s="138"/>
      <c r="D269" s="150"/>
      <c r="E269" s="139"/>
      <c r="F269" s="140"/>
      <c r="G269" s="149"/>
      <c r="H269" s="149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</row>
    <row r="270" spans="1:26" ht="25.2">
      <c r="A270" s="140"/>
      <c r="B270" s="137"/>
      <c r="C270" s="138"/>
      <c r="D270" s="150"/>
      <c r="E270" s="139"/>
      <c r="F270" s="140"/>
      <c r="G270" s="147"/>
      <c r="H270" s="147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</row>
    <row r="271" spans="1:26" ht="25.2">
      <c r="A271" s="140"/>
      <c r="B271" s="137"/>
      <c r="C271" s="138"/>
      <c r="D271" s="150"/>
      <c r="E271" s="139"/>
      <c r="F271" s="140"/>
      <c r="G271" s="149"/>
      <c r="H271" s="149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</row>
    <row r="272" spans="1:26" ht="25.2">
      <c r="A272" s="140"/>
      <c r="B272" s="137"/>
      <c r="C272" s="138"/>
      <c r="D272" s="150"/>
      <c r="E272" s="139"/>
      <c r="F272" s="140"/>
      <c r="G272" s="147"/>
      <c r="H272" s="147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</row>
    <row r="273" spans="1:26" ht="25.2">
      <c r="A273" s="140"/>
      <c r="B273" s="137"/>
      <c r="C273" s="138"/>
      <c r="D273" s="150"/>
      <c r="E273" s="139"/>
      <c r="F273" s="140"/>
      <c r="G273" s="149"/>
      <c r="H273" s="149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</row>
    <row r="274" spans="1:26" ht="25.2">
      <c r="A274" s="140"/>
      <c r="B274" s="137"/>
      <c r="C274" s="138"/>
      <c r="D274" s="150"/>
      <c r="E274" s="139"/>
      <c r="F274" s="140"/>
      <c r="G274" s="147"/>
      <c r="H274" s="147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</row>
    <row r="275" spans="1:26" ht="25.2">
      <c r="A275" s="140"/>
      <c r="B275" s="137"/>
      <c r="C275" s="138"/>
      <c r="D275" s="150"/>
      <c r="E275" s="139"/>
      <c r="F275" s="140"/>
      <c r="G275" s="149"/>
      <c r="H275" s="149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</row>
    <row r="276" spans="1:26" ht="25.2">
      <c r="A276" s="140"/>
      <c r="B276" s="137"/>
      <c r="C276" s="138"/>
      <c r="D276" s="150"/>
      <c r="E276" s="139"/>
      <c r="F276" s="140"/>
      <c r="G276" s="147"/>
      <c r="H276" s="147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</row>
    <row r="277" spans="1:26" ht="25.2">
      <c r="A277" s="140"/>
      <c r="B277" s="137"/>
      <c r="C277" s="138"/>
      <c r="D277" s="150"/>
      <c r="E277" s="139"/>
      <c r="F277" s="140"/>
      <c r="G277" s="149"/>
      <c r="H277" s="149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</row>
    <row r="278" spans="1:26" ht="25.2">
      <c r="A278" s="140"/>
      <c r="B278" s="137"/>
      <c r="C278" s="138"/>
      <c r="D278" s="150"/>
      <c r="E278" s="139"/>
      <c r="F278" s="140"/>
      <c r="G278" s="147"/>
      <c r="H278" s="147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</row>
    <row r="279" spans="1:26" ht="25.2">
      <c r="A279" s="140"/>
      <c r="B279" s="137"/>
      <c r="C279" s="138"/>
      <c r="D279" s="150"/>
      <c r="E279" s="139"/>
      <c r="F279" s="140"/>
      <c r="G279" s="149"/>
      <c r="H279" s="149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</row>
    <row r="280" spans="1:26" ht="25.2">
      <c r="A280" s="140"/>
      <c r="B280" s="137"/>
      <c r="C280" s="138"/>
      <c r="D280" s="150"/>
      <c r="E280" s="139"/>
      <c r="F280" s="140"/>
      <c r="G280" s="147"/>
      <c r="H280" s="147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</row>
    <row r="281" spans="1:26" ht="25.2">
      <c r="A281" s="140"/>
      <c r="B281" s="137"/>
      <c r="C281" s="138"/>
      <c r="D281" s="150"/>
      <c r="E281" s="139"/>
      <c r="F281" s="140"/>
      <c r="G281" s="149"/>
      <c r="H281" s="149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</row>
    <row r="282" spans="1:26" ht="25.2">
      <c r="A282" s="140"/>
      <c r="B282" s="137"/>
      <c r="C282" s="138"/>
      <c r="D282" s="150"/>
      <c r="E282" s="139"/>
      <c r="F282" s="140"/>
      <c r="G282" s="147"/>
      <c r="H282" s="147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</row>
    <row r="283" spans="1:26" ht="25.2">
      <c r="A283" s="140"/>
      <c r="B283" s="137"/>
      <c r="C283" s="138"/>
      <c r="D283" s="150"/>
      <c r="E283" s="139"/>
      <c r="F283" s="140"/>
      <c r="G283" s="149"/>
      <c r="H283" s="149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</row>
    <row r="284" spans="1:26" ht="25.2">
      <c r="A284" s="140"/>
      <c r="B284" s="137"/>
      <c r="C284" s="138"/>
      <c r="D284" s="150"/>
      <c r="E284" s="139"/>
      <c r="F284" s="140"/>
      <c r="G284" s="147"/>
      <c r="H284" s="147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</row>
    <row r="285" spans="1:26" ht="25.2">
      <c r="A285" s="140"/>
      <c r="B285" s="137"/>
      <c r="C285" s="138"/>
      <c r="D285" s="150"/>
      <c r="E285" s="139"/>
      <c r="F285" s="140"/>
      <c r="G285" s="149"/>
      <c r="H285" s="149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</row>
    <row r="286" spans="1:26" ht="25.2">
      <c r="A286" s="140"/>
      <c r="B286" s="137"/>
      <c r="C286" s="138"/>
      <c r="D286" s="150"/>
      <c r="E286" s="139"/>
      <c r="F286" s="140"/>
      <c r="G286" s="147"/>
      <c r="H286" s="147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</row>
    <row r="287" spans="1:26" ht="25.2">
      <c r="A287" s="140"/>
      <c r="B287" s="137"/>
      <c r="C287" s="138"/>
      <c r="D287" s="150"/>
      <c r="E287" s="139"/>
      <c r="F287" s="140"/>
      <c r="G287" s="149"/>
      <c r="H287" s="149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</row>
    <row r="288" spans="1:26" ht="25.2">
      <c r="A288" s="140"/>
      <c r="B288" s="137"/>
      <c r="C288" s="138"/>
      <c r="D288" s="150"/>
      <c r="E288" s="139"/>
      <c r="F288" s="140"/>
      <c r="G288" s="147"/>
      <c r="H288" s="147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</row>
    <row r="289" spans="1:26" ht="25.2">
      <c r="A289" s="140"/>
      <c r="B289" s="137"/>
      <c r="C289" s="138"/>
      <c r="D289" s="150"/>
      <c r="E289" s="139"/>
      <c r="F289" s="140"/>
      <c r="G289" s="149"/>
      <c r="H289" s="149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</row>
    <row r="290" spans="1:26" ht="25.2">
      <c r="A290" s="140"/>
      <c r="B290" s="137"/>
      <c r="C290" s="138"/>
      <c r="D290" s="150"/>
      <c r="E290" s="139"/>
      <c r="F290" s="140"/>
      <c r="G290" s="147"/>
      <c r="H290" s="147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</row>
    <row r="291" spans="1:26" ht="25.2">
      <c r="A291" s="140"/>
      <c r="B291" s="137"/>
      <c r="C291" s="138"/>
      <c r="D291" s="150"/>
      <c r="E291" s="139"/>
      <c r="F291" s="140"/>
      <c r="G291" s="149"/>
      <c r="H291" s="149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</row>
    <row r="292" spans="1:26" ht="25.2">
      <c r="A292" s="140"/>
      <c r="B292" s="137"/>
      <c r="C292" s="138"/>
      <c r="D292" s="150"/>
      <c r="E292" s="139"/>
      <c r="F292" s="140"/>
      <c r="G292" s="147"/>
      <c r="H292" s="147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</row>
    <row r="293" spans="1:26" ht="25.2">
      <c r="A293" s="140"/>
      <c r="B293" s="137"/>
      <c r="C293" s="138"/>
      <c r="D293" s="150"/>
      <c r="E293" s="139"/>
      <c r="F293" s="140"/>
      <c r="G293" s="149"/>
      <c r="H293" s="149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</row>
    <row r="294" spans="1:26" ht="25.2">
      <c r="A294" s="140"/>
      <c r="B294" s="137"/>
      <c r="C294" s="138"/>
      <c r="D294" s="150"/>
      <c r="E294" s="139"/>
      <c r="F294" s="140"/>
      <c r="G294" s="147"/>
      <c r="H294" s="147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</row>
    <row r="295" spans="1:26" ht="25.2">
      <c r="A295" s="140"/>
      <c r="B295" s="137"/>
      <c r="C295" s="138"/>
      <c r="D295" s="150"/>
      <c r="E295" s="139"/>
      <c r="F295" s="140"/>
      <c r="G295" s="149"/>
      <c r="H295" s="149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</row>
    <row r="296" spans="1:26" ht="25.2">
      <c r="A296" s="140"/>
      <c r="B296" s="137"/>
      <c r="C296" s="138"/>
      <c r="D296" s="150"/>
      <c r="E296" s="139"/>
      <c r="F296" s="140"/>
      <c r="G296" s="147"/>
      <c r="H296" s="147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</row>
    <row r="297" spans="1:26" ht="25.2">
      <c r="A297" s="140"/>
      <c r="B297" s="137"/>
      <c r="C297" s="138"/>
      <c r="D297" s="150"/>
      <c r="E297" s="139"/>
      <c r="F297" s="140"/>
      <c r="G297" s="149"/>
      <c r="H297" s="149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</row>
    <row r="298" spans="1:26" ht="25.2">
      <c r="A298" s="140"/>
      <c r="B298" s="137"/>
      <c r="C298" s="138"/>
      <c r="D298" s="150"/>
      <c r="E298" s="139"/>
      <c r="F298" s="140"/>
      <c r="G298" s="147"/>
      <c r="H298" s="147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</row>
    <row r="299" spans="1:26" ht="25.2">
      <c r="A299" s="140"/>
      <c r="B299" s="137"/>
      <c r="C299" s="138"/>
      <c r="D299" s="150"/>
      <c r="E299" s="139"/>
      <c r="F299" s="140"/>
      <c r="G299" s="149"/>
      <c r="H299" s="149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</row>
    <row r="300" spans="1:26" ht="25.2">
      <c r="A300" s="140"/>
      <c r="B300" s="137"/>
      <c r="C300" s="138"/>
      <c r="D300" s="150"/>
      <c r="E300" s="139"/>
      <c r="F300" s="140"/>
      <c r="G300" s="147"/>
      <c r="H300" s="147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</row>
    <row r="301" spans="1:26" ht="25.2">
      <c r="A301" s="140"/>
      <c r="B301" s="137"/>
      <c r="C301" s="138"/>
      <c r="D301" s="150"/>
      <c r="E301" s="139"/>
      <c r="F301" s="140"/>
      <c r="G301" s="149"/>
      <c r="H301" s="149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</row>
    <row r="302" spans="1:26" ht="25.2">
      <c r="A302" s="140"/>
      <c r="B302" s="137"/>
      <c r="C302" s="138"/>
      <c r="D302" s="150"/>
      <c r="E302" s="139"/>
      <c r="F302" s="140"/>
      <c r="G302" s="147"/>
      <c r="H302" s="147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</row>
    <row r="303" spans="1:26" ht="25.2">
      <c r="A303" s="140"/>
      <c r="B303" s="137"/>
      <c r="C303" s="138"/>
      <c r="D303" s="150"/>
      <c r="E303" s="139"/>
      <c r="F303" s="140"/>
      <c r="G303" s="149"/>
      <c r="H303" s="149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</row>
    <row r="304" spans="1:26" ht="25.2">
      <c r="A304" s="140"/>
      <c r="B304" s="137"/>
      <c r="C304" s="138"/>
      <c r="D304" s="150"/>
      <c r="E304" s="139"/>
      <c r="F304" s="140"/>
      <c r="G304" s="147"/>
      <c r="H304" s="147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</row>
    <row r="305" spans="1:26" ht="25.2">
      <c r="A305" s="140"/>
      <c r="B305" s="137"/>
      <c r="C305" s="138"/>
      <c r="D305" s="150"/>
      <c r="E305" s="139"/>
      <c r="F305" s="140"/>
      <c r="G305" s="149"/>
      <c r="H305" s="149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</row>
    <row r="306" spans="1:26" ht="25.2">
      <c r="A306" s="140"/>
      <c r="B306" s="137"/>
      <c r="C306" s="138"/>
      <c r="D306" s="150"/>
      <c r="E306" s="139"/>
      <c r="F306" s="140"/>
      <c r="G306" s="147"/>
      <c r="H306" s="147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</row>
    <row r="307" spans="1:26" ht="25.2">
      <c r="A307" s="140"/>
      <c r="B307" s="137"/>
      <c r="C307" s="138"/>
      <c r="D307" s="150"/>
      <c r="E307" s="139"/>
      <c r="F307" s="140"/>
      <c r="G307" s="149"/>
      <c r="H307" s="149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</row>
    <row r="308" spans="1:26" ht="25.2">
      <c r="A308" s="140"/>
      <c r="B308" s="137"/>
      <c r="C308" s="138"/>
      <c r="D308" s="150"/>
      <c r="E308" s="139"/>
      <c r="F308" s="140"/>
      <c r="G308" s="147"/>
      <c r="H308" s="147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</row>
    <row r="309" spans="1:26" ht="25.2">
      <c r="A309" s="140"/>
      <c r="B309" s="137"/>
      <c r="C309" s="138"/>
      <c r="D309" s="150"/>
      <c r="E309" s="139"/>
      <c r="F309" s="140"/>
      <c r="G309" s="149"/>
      <c r="H309" s="149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</row>
    <row r="310" spans="1:26" ht="25.2">
      <c r="A310" s="140"/>
      <c r="B310" s="137"/>
      <c r="C310" s="138"/>
      <c r="D310" s="150"/>
      <c r="E310" s="139"/>
      <c r="F310" s="140"/>
      <c r="G310" s="147"/>
      <c r="H310" s="147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</row>
    <row r="311" spans="1:26" ht="25.2">
      <c r="A311" s="140"/>
      <c r="B311" s="137"/>
      <c r="C311" s="138"/>
      <c r="D311" s="150"/>
      <c r="E311" s="139"/>
      <c r="F311" s="140"/>
      <c r="G311" s="149"/>
      <c r="H311" s="149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</row>
    <row r="312" spans="1:26" ht="25.2">
      <c r="A312" s="140"/>
      <c r="B312" s="137"/>
      <c r="C312" s="138"/>
      <c r="D312" s="150"/>
      <c r="E312" s="139"/>
      <c r="F312" s="140"/>
      <c r="G312" s="147"/>
      <c r="H312" s="147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</row>
    <row r="313" spans="1:26" ht="25.2">
      <c r="A313" s="140"/>
      <c r="B313" s="137"/>
      <c r="C313" s="138"/>
      <c r="D313" s="150"/>
      <c r="E313" s="139"/>
      <c r="F313" s="140"/>
      <c r="G313" s="149"/>
      <c r="H313" s="149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</row>
    <row r="314" spans="1:26" ht="25.2">
      <c r="A314" s="140"/>
      <c r="B314" s="137"/>
      <c r="C314" s="138"/>
      <c r="D314" s="150"/>
      <c r="E314" s="139"/>
      <c r="F314" s="140"/>
      <c r="G314" s="147"/>
      <c r="H314" s="147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</row>
    <row r="315" spans="1:26" ht="25.2">
      <c r="A315" s="140"/>
      <c r="B315" s="137"/>
      <c r="C315" s="138"/>
      <c r="D315" s="150"/>
      <c r="E315" s="139"/>
      <c r="F315" s="140"/>
      <c r="G315" s="149"/>
      <c r="H315" s="149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</row>
    <row r="316" spans="1:26" ht="25.2">
      <c r="A316" s="140"/>
      <c r="B316" s="137"/>
      <c r="C316" s="138"/>
      <c r="D316" s="150"/>
      <c r="E316" s="139"/>
      <c r="F316" s="140"/>
      <c r="G316" s="147"/>
      <c r="H316" s="147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</row>
    <row r="317" spans="1:26" ht="25.2">
      <c r="A317" s="140"/>
      <c r="B317" s="137"/>
      <c r="C317" s="138"/>
      <c r="D317" s="150"/>
      <c r="E317" s="139"/>
      <c r="F317" s="140"/>
      <c r="G317" s="149"/>
      <c r="H317" s="149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</row>
    <row r="318" spans="1:26" ht="25.2">
      <c r="A318" s="140"/>
      <c r="B318" s="137"/>
      <c r="C318" s="138"/>
      <c r="D318" s="150"/>
      <c r="E318" s="139"/>
      <c r="F318" s="140"/>
      <c r="G318" s="147"/>
      <c r="H318" s="147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</row>
    <row r="319" spans="1:26" ht="25.2">
      <c r="A319" s="140"/>
      <c r="B319" s="137"/>
      <c r="C319" s="138"/>
      <c r="D319" s="150"/>
      <c r="E319" s="139"/>
      <c r="F319" s="140"/>
      <c r="G319" s="149"/>
      <c r="H319" s="149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</row>
    <row r="320" spans="1:26" ht="25.2">
      <c r="A320" s="140"/>
      <c r="B320" s="137"/>
      <c r="C320" s="138"/>
      <c r="D320" s="150"/>
      <c r="E320" s="139"/>
      <c r="F320" s="140"/>
      <c r="G320" s="147"/>
      <c r="H320" s="147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</row>
    <row r="321" spans="1:26" ht="25.2">
      <c r="A321" s="140"/>
      <c r="B321" s="137"/>
      <c r="C321" s="138"/>
      <c r="D321" s="150"/>
      <c r="E321" s="139"/>
      <c r="F321" s="140"/>
      <c r="G321" s="149"/>
      <c r="H321" s="149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</row>
    <row r="322" spans="1:26" ht="25.2">
      <c r="A322" s="140"/>
      <c r="B322" s="137"/>
      <c r="C322" s="138"/>
      <c r="D322" s="150"/>
      <c r="E322" s="139"/>
      <c r="F322" s="140"/>
      <c r="G322" s="147"/>
      <c r="H322" s="147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</row>
    <row r="323" spans="1:26" ht="25.2">
      <c r="A323" s="140"/>
      <c r="B323" s="137"/>
      <c r="C323" s="138"/>
      <c r="D323" s="150"/>
      <c r="E323" s="139"/>
      <c r="F323" s="140"/>
      <c r="G323" s="149"/>
      <c r="H323" s="149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</row>
    <row r="324" spans="1:26" ht="25.2">
      <c r="A324" s="140"/>
      <c r="B324" s="137"/>
      <c r="C324" s="138"/>
      <c r="D324" s="150"/>
      <c r="E324" s="139"/>
      <c r="F324" s="140"/>
      <c r="G324" s="147"/>
      <c r="H324" s="147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</row>
    <row r="325" spans="1:26" ht="25.2">
      <c r="A325" s="140"/>
      <c r="B325" s="137"/>
      <c r="C325" s="138"/>
      <c r="D325" s="150"/>
      <c r="E325" s="139"/>
      <c r="F325" s="140"/>
      <c r="G325" s="149"/>
      <c r="H325" s="149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</row>
    <row r="326" spans="1:26" ht="25.2">
      <c r="A326" s="140"/>
      <c r="B326" s="137"/>
      <c r="C326" s="138"/>
      <c r="D326" s="150"/>
      <c r="E326" s="139"/>
      <c r="F326" s="140"/>
      <c r="G326" s="147"/>
      <c r="H326" s="147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</row>
    <row r="327" spans="1:26" ht="25.2">
      <c r="A327" s="140"/>
      <c r="B327" s="137"/>
      <c r="C327" s="138"/>
      <c r="D327" s="150"/>
      <c r="E327" s="139"/>
      <c r="F327" s="140"/>
      <c r="G327" s="149"/>
      <c r="H327" s="149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</row>
    <row r="328" spans="1:26" ht="25.2">
      <c r="A328" s="140"/>
      <c r="B328" s="137"/>
      <c r="C328" s="138"/>
      <c r="D328" s="150"/>
      <c r="E328" s="139"/>
      <c r="F328" s="140"/>
      <c r="G328" s="147"/>
      <c r="H328" s="147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</row>
    <row r="329" spans="1:26" ht="25.2">
      <c r="A329" s="140"/>
      <c r="B329" s="137"/>
      <c r="C329" s="138"/>
      <c r="D329" s="150"/>
      <c r="E329" s="139"/>
      <c r="F329" s="140"/>
      <c r="G329" s="149"/>
      <c r="H329" s="149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</row>
    <row r="330" spans="1:26" ht="25.2">
      <c r="A330" s="140"/>
      <c r="B330" s="137"/>
      <c r="C330" s="138"/>
      <c r="D330" s="150"/>
      <c r="E330" s="139"/>
      <c r="F330" s="140"/>
      <c r="G330" s="147"/>
      <c r="H330" s="147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</row>
    <row r="331" spans="1:26" ht="25.2">
      <c r="A331" s="140"/>
      <c r="B331" s="137"/>
      <c r="C331" s="138"/>
      <c r="D331" s="150"/>
      <c r="E331" s="139"/>
      <c r="F331" s="140"/>
      <c r="G331" s="149"/>
      <c r="H331" s="149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</row>
    <row r="332" spans="1:26" ht="25.2">
      <c r="A332" s="140"/>
      <c r="B332" s="137"/>
      <c r="C332" s="138"/>
      <c r="D332" s="150"/>
      <c r="E332" s="139"/>
      <c r="F332" s="140"/>
      <c r="G332" s="147"/>
      <c r="H332" s="147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</row>
    <row r="333" spans="1:26" ht="25.2">
      <c r="A333" s="140"/>
      <c r="B333" s="137"/>
      <c r="C333" s="138"/>
      <c r="D333" s="150"/>
      <c r="E333" s="139"/>
      <c r="F333" s="140"/>
      <c r="G333" s="149"/>
      <c r="H333" s="149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</row>
    <row r="334" spans="1:26" ht="25.2">
      <c r="A334" s="140"/>
      <c r="B334" s="137"/>
      <c r="C334" s="138"/>
      <c r="D334" s="150"/>
      <c r="E334" s="139"/>
      <c r="F334" s="140"/>
      <c r="G334" s="147"/>
      <c r="H334" s="147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</row>
    <row r="335" spans="1:26" ht="25.2">
      <c r="A335" s="140"/>
      <c r="B335" s="137"/>
      <c r="C335" s="138"/>
      <c r="D335" s="150"/>
      <c r="E335" s="139"/>
      <c r="F335" s="140"/>
      <c r="G335" s="149"/>
      <c r="H335" s="149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</row>
    <row r="336" spans="1:26" ht="25.2">
      <c r="A336" s="140"/>
      <c r="B336" s="137"/>
      <c r="C336" s="138"/>
      <c r="D336" s="150"/>
      <c r="E336" s="139"/>
      <c r="F336" s="140"/>
      <c r="G336" s="147"/>
      <c r="H336" s="147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</row>
    <row r="337" spans="1:26" ht="25.2">
      <c r="A337" s="140"/>
      <c r="B337" s="137"/>
      <c r="C337" s="138"/>
      <c r="D337" s="150"/>
      <c r="E337" s="139"/>
      <c r="F337" s="140"/>
      <c r="G337" s="149"/>
      <c r="H337" s="149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</row>
    <row r="338" spans="1:26" ht="25.2">
      <c r="A338" s="140"/>
      <c r="B338" s="137"/>
      <c r="C338" s="138"/>
      <c r="D338" s="150"/>
      <c r="E338" s="139"/>
      <c r="F338" s="140"/>
      <c r="G338" s="147"/>
      <c r="H338" s="147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</row>
    <row r="339" spans="1:26" ht="25.2">
      <c r="A339" s="140"/>
      <c r="B339" s="137"/>
      <c r="C339" s="138"/>
      <c r="D339" s="150"/>
      <c r="E339" s="139"/>
      <c r="F339" s="140"/>
      <c r="G339" s="149"/>
      <c r="H339" s="149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</row>
    <row r="340" spans="1:26" ht="25.2">
      <c r="A340" s="140"/>
      <c r="B340" s="137"/>
      <c r="C340" s="138"/>
      <c r="D340" s="150"/>
      <c r="E340" s="139"/>
      <c r="F340" s="140"/>
      <c r="G340" s="147"/>
      <c r="H340" s="147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</row>
    <row r="341" spans="1:26" ht="25.2">
      <c r="A341" s="140"/>
      <c r="B341" s="137"/>
      <c r="C341" s="138"/>
      <c r="D341" s="150"/>
      <c r="E341" s="139"/>
      <c r="F341" s="140"/>
      <c r="G341" s="149"/>
      <c r="H341" s="149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</row>
    <row r="342" spans="1:26" ht="25.2">
      <c r="A342" s="140"/>
      <c r="B342" s="137"/>
      <c r="C342" s="138"/>
      <c r="D342" s="150"/>
      <c r="E342" s="139"/>
      <c r="F342" s="140"/>
      <c r="G342" s="147"/>
      <c r="H342" s="147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</row>
    <row r="343" spans="1:26" ht="25.2">
      <c r="A343" s="140"/>
      <c r="B343" s="137"/>
      <c r="C343" s="138"/>
      <c r="D343" s="150"/>
      <c r="E343" s="139"/>
      <c r="F343" s="140"/>
      <c r="G343" s="149"/>
      <c r="H343" s="149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</row>
    <row r="344" spans="1:26" ht="25.2">
      <c r="A344" s="140"/>
      <c r="B344" s="137"/>
      <c r="C344" s="138"/>
      <c r="D344" s="150"/>
      <c r="E344" s="139"/>
      <c r="F344" s="140"/>
      <c r="G344" s="147"/>
      <c r="H344" s="147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</row>
    <row r="345" spans="1:26" ht="25.2">
      <c r="A345" s="140"/>
      <c r="B345" s="137"/>
      <c r="C345" s="138"/>
      <c r="D345" s="150"/>
      <c r="E345" s="139"/>
      <c r="F345" s="140"/>
      <c r="G345" s="149"/>
      <c r="H345" s="149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</row>
    <row r="346" spans="1:26" ht="25.2">
      <c r="A346" s="140"/>
      <c r="B346" s="137"/>
      <c r="C346" s="138"/>
      <c r="D346" s="150"/>
      <c r="E346" s="139"/>
      <c r="F346" s="140"/>
      <c r="G346" s="147"/>
      <c r="H346" s="147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</row>
    <row r="347" spans="1:26" ht="25.2">
      <c r="A347" s="140"/>
      <c r="B347" s="137"/>
      <c r="C347" s="138"/>
      <c r="D347" s="150"/>
      <c r="E347" s="139"/>
      <c r="F347" s="140"/>
      <c r="G347" s="149"/>
      <c r="H347" s="149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</row>
    <row r="348" spans="1:26" ht="25.2">
      <c r="A348" s="140"/>
      <c r="B348" s="137"/>
      <c r="C348" s="138"/>
      <c r="D348" s="150"/>
      <c r="E348" s="139"/>
      <c r="F348" s="140"/>
      <c r="G348" s="147"/>
      <c r="H348" s="147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</row>
    <row r="349" spans="1:26" ht="25.2">
      <c r="A349" s="140"/>
      <c r="B349" s="137"/>
      <c r="C349" s="138"/>
      <c r="D349" s="150"/>
      <c r="E349" s="139"/>
      <c r="F349" s="140"/>
      <c r="G349" s="149"/>
      <c r="H349" s="149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</row>
    <row r="350" spans="1:26" ht="25.2">
      <c r="A350" s="140"/>
      <c r="B350" s="137"/>
      <c r="C350" s="138"/>
      <c r="D350" s="150"/>
      <c r="E350" s="139"/>
      <c r="F350" s="140"/>
      <c r="G350" s="147"/>
      <c r="H350" s="147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</row>
    <row r="351" spans="1:26" ht="25.2">
      <c r="A351" s="140"/>
      <c r="B351" s="137"/>
      <c r="C351" s="138"/>
      <c r="D351" s="150"/>
      <c r="E351" s="139"/>
      <c r="F351" s="140"/>
      <c r="G351" s="149"/>
      <c r="H351" s="149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</row>
    <row r="352" spans="1:26" ht="25.2">
      <c r="A352" s="140"/>
      <c r="B352" s="137"/>
      <c r="C352" s="138"/>
      <c r="D352" s="150"/>
      <c r="E352" s="139"/>
      <c r="F352" s="140"/>
      <c r="G352" s="147"/>
      <c r="H352" s="147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</row>
    <row r="353" spans="1:26" ht="25.2">
      <c r="A353" s="140"/>
      <c r="B353" s="137"/>
      <c r="C353" s="138"/>
      <c r="D353" s="150"/>
      <c r="E353" s="139"/>
      <c r="F353" s="140"/>
      <c r="G353" s="149"/>
      <c r="H353" s="149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</row>
    <row r="354" spans="1:26" ht="25.2">
      <c r="A354" s="140"/>
      <c r="B354" s="137"/>
      <c r="C354" s="138"/>
      <c r="D354" s="150"/>
      <c r="E354" s="139"/>
      <c r="F354" s="140"/>
      <c r="G354" s="147"/>
      <c r="H354" s="147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</row>
    <row r="355" spans="1:26" ht="25.2">
      <c r="A355" s="140"/>
      <c r="B355" s="137"/>
      <c r="C355" s="138"/>
      <c r="D355" s="150"/>
      <c r="E355" s="139"/>
      <c r="F355" s="140"/>
      <c r="G355" s="149"/>
      <c r="H355" s="149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</row>
    <row r="356" spans="1:26" ht="25.2">
      <c r="A356" s="140"/>
      <c r="B356" s="137"/>
      <c r="C356" s="138"/>
      <c r="D356" s="150"/>
      <c r="E356" s="139"/>
      <c r="F356" s="140"/>
      <c r="G356" s="147"/>
      <c r="H356" s="147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</row>
    <row r="357" spans="1:26" ht="25.2">
      <c r="A357" s="140"/>
      <c r="B357" s="137"/>
      <c r="C357" s="138"/>
      <c r="D357" s="150"/>
      <c r="E357" s="139"/>
      <c r="F357" s="140"/>
      <c r="G357" s="149"/>
      <c r="H357" s="149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</row>
    <row r="358" spans="1:26" ht="25.2">
      <c r="A358" s="140"/>
      <c r="B358" s="137"/>
      <c r="C358" s="138"/>
      <c r="D358" s="150"/>
      <c r="E358" s="139"/>
      <c r="F358" s="140"/>
      <c r="G358" s="147"/>
      <c r="H358" s="147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</row>
    <row r="359" spans="1:26" ht="25.2">
      <c r="A359" s="140"/>
      <c r="B359" s="137"/>
      <c r="C359" s="138"/>
      <c r="D359" s="150"/>
      <c r="E359" s="139"/>
      <c r="F359" s="140"/>
      <c r="G359" s="149"/>
      <c r="H359" s="149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</row>
    <row r="360" spans="1:26" ht="25.2">
      <c r="A360" s="140"/>
      <c r="B360" s="137"/>
      <c r="C360" s="138"/>
      <c r="D360" s="150"/>
      <c r="E360" s="139"/>
      <c r="F360" s="140"/>
      <c r="G360" s="147"/>
      <c r="H360" s="147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</row>
    <row r="361" spans="1:26" ht="25.2">
      <c r="A361" s="140"/>
      <c r="B361" s="137"/>
      <c r="C361" s="138"/>
      <c r="D361" s="150"/>
      <c r="E361" s="139"/>
      <c r="F361" s="140"/>
      <c r="G361" s="149"/>
      <c r="H361" s="149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</row>
    <row r="362" spans="1:26" ht="25.2">
      <c r="A362" s="140"/>
      <c r="B362" s="137"/>
      <c r="C362" s="138"/>
      <c r="D362" s="150"/>
      <c r="E362" s="139"/>
      <c r="F362" s="140"/>
      <c r="G362" s="147"/>
      <c r="H362" s="147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</row>
    <row r="363" spans="1:26" ht="25.2">
      <c r="A363" s="140"/>
      <c r="B363" s="137"/>
      <c r="C363" s="138"/>
      <c r="D363" s="150"/>
      <c r="E363" s="139"/>
      <c r="F363" s="140"/>
      <c r="G363" s="149"/>
      <c r="H363" s="149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</row>
    <row r="364" spans="1:26" ht="25.2">
      <c r="A364" s="140"/>
      <c r="B364" s="137"/>
      <c r="C364" s="138"/>
      <c r="D364" s="150"/>
      <c r="E364" s="139"/>
      <c r="F364" s="140"/>
      <c r="G364" s="147"/>
      <c r="H364" s="147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</row>
    <row r="365" spans="1:26" ht="25.2">
      <c r="A365" s="140"/>
      <c r="B365" s="137"/>
      <c r="C365" s="138"/>
      <c r="D365" s="150"/>
      <c r="E365" s="139"/>
      <c r="F365" s="140"/>
      <c r="G365" s="149"/>
      <c r="H365" s="149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</row>
    <row r="366" spans="1:26" ht="25.2">
      <c r="A366" s="140"/>
      <c r="B366" s="137"/>
      <c r="C366" s="138"/>
      <c r="D366" s="150"/>
      <c r="E366" s="139"/>
      <c r="F366" s="140"/>
      <c r="G366" s="147"/>
      <c r="H366" s="147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</row>
    <row r="367" spans="1:26" ht="25.2">
      <c r="A367" s="140"/>
      <c r="B367" s="137"/>
      <c r="C367" s="138"/>
      <c r="D367" s="150"/>
      <c r="E367" s="139"/>
      <c r="F367" s="140"/>
      <c r="G367" s="149"/>
      <c r="H367" s="149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</row>
    <row r="368" spans="1:26" ht="25.2">
      <c r="A368" s="140"/>
      <c r="B368" s="137"/>
      <c r="C368" s="138"/>
      <c r="D368" s="150"/>
      <c r="E368" s="139"/>
      <c r="F368" s="140"/>
      <c r="G368" s="147"/>
      <c r="H368" s="147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</row>
    <row r="369" spans="1:26" ht="25.2">
      <c r="A369" s="140"/>
      <c r="B369" s="137"/>
      <c r="C369" s="138"/>
      <c r="D369" s="150"/>
      <c r="E369" s="139"/>
      <c r="F369" s="140"/>
      <c r="G369" s="149"/>
      <c r="H369" s="149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</row>
    <row r="370" spans="1:26" ht="25.2">
      <c r="A370" s="140"/>
      <c r="B370" s="137"/>
      <c r="C370" s="138"/>
      <c r="D370" s="150"/>
      <c r="E370" s="139"/>
      <c r="F370" s="140"/>
      <c r="G370" s="147"/>
      <c r="H370" s="147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</row>
    <row r="371" spans="1:26" ht="25.2">
      <c r="A371" s="140"/>
      <c r="B371" s="137"/>
      <c r="C371" s="138"/>
      <c r="D371" s="150"/>
      <c r="E371" s="139"/>
      <c r="F371" s="140"/>
      <c r="G371" s="149"/>
      <c r="H371" s="149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</row>
    <row r="372" spans="1:26" ht="25.2">
      <c r="A372" s="140"/>
      <c r="B372" s="137"/>
      <c r="C372" s="138"/>
      <c r="D372" s="150"/>
      <c r="E372" s="139"/>
      <c r="F372" s="140"/>
      <c r="G372" s="147"/>
      <c r="H372" s="147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</row>
    <row r="373" spans="1:26" ht="25.2">
      <c r="A373" s="140"/>
      <c r="B373" s="137"/>
      <c r="C373" s="138"/>
      <c r="D373" s="150"/>
      <c r="E373" s="139"/>
      <c r="F373" s="140"/>
      <c r="G373" s="149"/>
      <c r="H373" s="149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</row>
    <row r="374" spans="1:26" ht="25.2">
      <c r="A374" s="140"/>
      <c r="B374" s="137"/>
      <c r="C374" s="138"/>
      <c r="D374" s="150"/>
      <c r="E374" s="139"/>
      <c r="F374" s="140"/>
      <c r="G374" s="147"/>
      <c r="H374" s="147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</row>
    <row r="375" spans="1:26" ht="25.2">
      <c r="A375" s="140"/>
      <c r="B375" s="137"/>
      <c r="C375" s="138"/>
      <c r="D375" s="150"/>
      <c r="E375" s="139"/>
      <c r="F375" s="140"/>
      <c r="G375" s="149"/>
      <c r="H375" s="149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</row>
    <row r="376" spans="1:26" ht="25.2">
      <c r="A376" s="140"/>
      <c r="B376" s="137"/>
      <c r="C376" s="138"/>
      <c r="D376" s="150"/>
      <c r="E376" s="139"/>
      <c r="F376" s="140"/>
      <c r="G376" s="147"/>
      <c r="H376" s="147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</row>
    <row r="377" spans="1:26" ht="25.2">
      <c r="A377" s="140"/>
      <c r="B377" s="137"/>
      <c r="C377" s="138"/>
      <c r="D377" s="150"/>
      <c r="E377" s="139"/>
      <c r="F377" s="140"/>
      <c r="G377" s="149"/>
      <c r="H377" s="149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</row>
    <row r="378" spans="1:26" ht="25.2">
      <c r="A378" s="140"/>
      <c r="B378" s="137"/>
      <c r="C378" s="138"/>
      <c r="D378" s="150"/>
      <c r="E378" s="139"/>
      <c r="F378" s="140"/>
      <c r="G378" s="147"/>
      <c r="H378" s="147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</row>
    <row r="379" spans="1:26" ht="25.2">
      <c r="A379" s="140"/>
      <c r="B379" s="137"/>
      <c r="C379" s="138"/>
      <c r="D379" s="150"/>
      <c r="E379" s="139"/>
      <c r="F379" s="140"/>
      <c r="G379" s="149"/>
      <c r="H379" s="149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</row>
    <row r="380" spans="1:26" ht="25.2">
      <c r="A380" s="140"/>
      <c r="B380" s="137"/>
      <c r="C380" s="138"/>
      <c r="D380" s="150"/>
      <c r="E380" s="139"/>
      <c r="F380" s="140"/>
      <c r="G380" s="147"/>
      <c r="H380" s="147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</row>
    <row r="381" spans="1:26" ht="25.2">
      <c r="A381" s="140"/>
      <c r="B381" s="137"/>
      <c r="C381" s="138"/>
      <c r="D381" s="150"/>
      <c r="E381" s="139"/>
      <c r="F381" s="140"/>
      <c r="G381" s="149"/>
      <c r="H381" s="149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</row>
    <row r="382" spans="1:26" ht="25.2">
      <c r="A382" s="140"/>
      <c r="B382" s="137"/>
      <c r="C382" s="138"/>
      <c r="D382" s="150"/>
      <c r="E382" s="139"/>
      <c r="F382" s="140"/>
      <c r="G382" s="147"/>
      <c r="H382" s="147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</row>
    <row r="383" spans="1:26" ht="25.2">
      <c r="A383" s="140"/>
      <c r="B383" s="137"/>
      <c r="C383" s="138"/>
      <c r="D383" s="150"/>
      <c r="E383" s="139"/>
      <c r="F383" s="140"/>
      <c r="G383" s="149"/>
      <c r="H383" s="149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</row>
    <row r="384" spans="1:26" ht="25.2">
      <c r="A384" s="140"/>
      <c r="B384" s="137"/>
      <c r="C384" s="138"/>
      <c r="D384" s="150"/>
      <c r="E384" s="139"/>
      <c r="F384" s="140"/>
      <c r="G384" s="147"/>
      <c r="H384" s="147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</row>
    <row r="385" spans="1:26" ht="25.2">
      <c r="A385" s="140"/>
      <c r="B385" s="137"/>
      <c r="C385" s="138"/>
      <c r="D385" s="150"/>
      <c r="E385" s="139"/>
      <c r="F385" s="140"/>
      <c r="G385" s="149"/>
      <c r="H385" s="149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</row>
    <row r="386" spans="1:26" ht="25.2">
      <c r="A386" s="140"/>
      <c r="B386" s="137"/>
      <c r="C386" s="138"/>
      <c r="D386" s="150"/>
      <c r="E386" s="139"/>
      <c r="F386" s="140"/>
      <c r="G386" s="147"/>
      <c r="H386" s="147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</row>
    <row r="387" spans="1:26" ht="25.2">
      <c r="A387" s="140"/>
      <c r="B387" s="137"/>
      <c r="C387" s="138"/>
      <c r="D387" s="150"/>
      <c r="E387" s="139"/>
      <c r="F387" s="140"/>
      <c r="G387" s="149"/>
      <c r="H387" s="149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</row>
    <row r="388" spans="1:26" ht="25.2">
      <c r="A388" s="140"/>
      <c r="B388" s="137"/>
      <c r="C388" s="138"/>
      <c r="D388" s="150"/>
      <c r="E388" s="139"/>
      <c r="F388" s="140"/>
      <c r="G388" s="147"/>
      <c r="H388" s="147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</row>
    <row r="389" spans="1:26" ht="25.2">
      <c r="A389" s="140"/>
      <c r="B389" s="137"/>
      <c r="C389" s="138"/>
      <c r="D389" s="150"/>
      <c r="E389" s="139"/>
      <c r="F389" s="140"/>
      <c r="G389" s="149"/>
      <c r="H389" s="149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</row>
    <row r="390" spans="1:26" ht="25.2">
      <c r="A390" s="140"/>
      <c r="B390" s="137"/>
      <c r="C390" s="138"/>
      <c r="D390" s="150"/>
      <c r="E390" s="139"/>
      <c r="F390" s="140"/>
      <c r="G390" s="147"/>
      <c r="H390" s="147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</row>
    <row r="391" spans="1:26" ht="25.2">
      <c r="A391" s="140"/>
      <c r="B391" s="137"/>
      <c r="C391" s="138"/>
      <c r="D391" s="150"/>
      <c r="E391" s="139"/>
      <c r="F391" s="140"/>
      <c r="G391" s="149"/>
      <c r="H391" s="149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</row>
    <row r="392" spans="1:26" ht="25.2">
      <c r="A392" s="140"/>
      <c r="B392" s="137"/>
      <c r="C392" s="138"/>
      <c r="D392" s="150"/>
      <c r="E392" s="139"/>
      <c r="F392" s="140"/>
      <c r="G392" s="147"/>
      <c r="H392" s="147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</row>
    <row r="393" spans="1:26" ht="25.2">
      <c r="A393" s="140"/>
      <c r="B393" s="137"/>
      <c r="C393" s="138"/>
      <c r="D393" s="150"/>
      <c r="E393" s="139"/>
      <c r="F393" s="140"/>
      <c r="G393" s="149"/>
      <c r="H393" s="149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</row>
    <row r="394" spans="1:26" ht="25.2">
      <c r="A394" s="140"/>
      <c r="B394" s="137"/>
      <c r="C394" s="138"/>
      <c r="D394" s="150"/>
      <c r="E394" s="139"/>
      <c r="F394" s="140"/>
      <c r="G394" s="147"/>
      <c r="H394" s="147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</row>
    <row r="395" spans="1:26" ht="25.2">
      <c r="A395" s="140"/>
      <c r="B395" s="137"/>
      <c r="C395" s="138"/>
      <c r="D395" s="150"/>
      <c r="E395" s="139"/>
      <c r="F395" s="140"/>
      <c r="G395" s="149"/>
      <c r="H395" s="149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</row>
    <row r="396" spans="1:26" ht="25.2">
      <c r="A396" s="140"/>
      <c r="B396" s="137"/>
      <c r="C396" s="138"/>
      <c r="D396" s="150"/>
      <c r="E396" s="139"/>
      <c r="F396" s="140"/>
      <c r="G396" s="147"/>
      <c r="H396" s="147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</row>
    <row r="397" spans="1:26" ht="25.2">
      <c r="A397" s="140"/>
      <c r="B397" s="137"/>
      <c r="C397" s="138"/>
      <c r="D397" s="150"/>
      <c r="E397" s="139"/>
      <c r="F397" s="140"/>
      <c r="G397" s="149"/>
      <c r="H397" s="149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</row>
    <row r="398" spans="1:26" ht="25.2">
      <c r="A398" s="140"/>
      <c r="B398" s="137"/>
      <c r="C398" s="138"/>
      <c r="D398" s="150"/>
      <c r="E398" s="139"/>
      <c r="F398" s="140"/>
      <c r="G398" s="147"/>
      <c r="H398" s="147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</row>
    <row r="399" spans="1:26" ht="25.2">
      <c r="A399" s="140"/>
      <c r="B399" s="137"/>
      <c r="C399" s="138"/>
      <c r="D399" s="150"/>
      <c r="E399" s="139"/>
      <c r="F399" s="140"/>
      <c r="G399" s="149"/>
      <c r="H399" s="149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</row>
    <row r="400" spans="1:26" ht="25.2">
      <c r="A400" s="140"/>
      <c r="B400" s="137"/>
      <c r="C400" s="138"/>
      <c r="D400" s="150"/>
      <c r="E400" s="139"/>
      <c r="F400" s="140"/>
      <c r="G400" s="147"/>
      <c r="H400" s="147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</row>
    <row r="401" spans="1:26" ht="25.2">
      <c r="A401" s="140"/>
      <c r="B401" s="137"/>
      <c r="C401" s="138"/>
      <c r="D401" s="150"/>
      <c r="E401" s="139"/>
      <c r="F401" s="140"/>
      <c r="G401" s="149"/>
      <c r="H401" s="149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</row>
    <row r="402" spans="1:26" ht="25.2">
      <c r="A402" s="140"/>
      <c r="B402" s="137"/>
      <c r="C402" s="138"/>
      <c r="D402" s="150"/>
      <c r="E402" s="139"/>
      <c r="F402" s="140"/>
      <c r="G402" s="147"/>
      <c r="H402" s="147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</row>
    <row r="403" spans="1:26" ht="25.2">
      <c r="A403" s="140"/>
      <c r="B403" s="137"/>
      <c r="C403" s="138"/>
      <c r="D403" s="150"/>
      <c r="E403" s="139"/>
      <c r="F403" s="140"/>
      <c r="G403" s="149"/>
      <c r="H403" s="149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</row>
    <row r="404" spans="1:26" ht="25.2">
      <c r="A404" s="140"/>
      <c r="B404" s="137"/>
      <c r="C404" s="138"/>
      <c r="D404" s="150"/>
      <c r="E404" s="139"/>
      <c r="F404" s="140"/>
      <c r="G404" s="147"/>
      <c r="H404" s="147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</row>
    <row r="405" spans="1:26" ht="25.2">
      <c r="A405" s="140"/>
      <c r="B405" s="137"/>
      <c r="C405" s="138"/>
      <c r="D405" s="150"/>
      <c r="E405" s="139"/>
      <c r="F405" s="140"/>
      <c r="G405" s="149"/>
      <c r="H405" s="149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</row>
    <row r="406" spans="1:26" ht="25.2">
      <c r="A406" s="140"/>
      <c r="B406" s="137"/>
      <c r="C406" s="138"/>
      <c r="D406" s="150"/>
      <c r="E406" s="139"/>
      <c r="F406" s="140"/>
      <c r="G406" s="147"/>
      <c r="H406" s="147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</row>
    <row r="407" spans="1:26" ht="25.2">
      <c r="A407" s="140"/>
      <c r="B407" s="137"/>
      <c r="C407" s="138"/>
      <c r="D407" s="150"/>
      <c r="E407" s="139"/>
      <c r="F407" s="140"/>
      <c r="G407" s="149"/>
      <c r="H407" s="149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</row>
    <row r="408" spans="1:26" ht="25.2">
      <c r="A408" s="140"/>
      <c r="B408" s="137"/>
      <c r="C408" s="138"/>
      <c r="D408" s="150"/>
      <c r="E408" s="139"/>
      <c r="F408" s="140"/>
      <c r="G408" s="147"/>
      <c r="H408" s="147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</row>
    <row r="409" spans="1:26" ht="25.2">
      <c r="A409" s="140"/>
      <c r="B409" s="137"/>
      <c r="C409" s="138"/>
      <c r="D409" s="150"/>
      <c r="E409" s="139"/>
      <c r="F409" s="140"/>
      <c r="G409" s="149"/>
      <c r="H409" s="149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</row>
    <row r="410" spans="1:26" ht="25.2">
      <c r="A410" s="140"/>
      <c r="B410" s="137"/>
      <c r="C410" s="138"/>
      <c r="D410" s="150"/>
      <c r="E410" s="139"/>
      <c r="F410" s="140"/>
      <c r="G410" s="147"/>
      <c r="H410" s="147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</row>
    <row r="411" spans="1:26" ht="25.2">
      <c r="A411" s="140"/>
      <c r="B411" s="137"/>
      <c r="C411" s="138"/>
      <c r="D411" s="150"/>
      <c r="E411" s="139"/>
      <c r="F411" s="140"/>
      <c r="G411" s="149"/>
      <c r="H411" s="149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</row>
    <row r="412" spans="1:26" ht="25.2">
      <c r="A412" s="140"/>
      <c r="B412" s="137"/>
      <c r="C412" s="138"/>
      <c r="D412" s="150"/>
      <c r="E412" s="139"/>
      <c r="F412" s="140"/>
      <c r="G412" s="147"/>
      <c r="H412" s="147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</row>
    <row r="413" spans="1:26" ht="25.2">
      <c r="A413" s="140"/>
      <c r="B413" s="137"/>
      <c r="C413" s="138"/>
      <c r="D413" s="150"/>
      <c r="E413" s="139"/>
      <c r="F413" s="140"/>
      <c r="G413" s="149"/>
      <c r="H413" s="149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</row>
    <row r="414" spans="1:26" ht="25.2">
      <c r="A414" s="140"/>
      <c r="B414" s="137"/>
      <c r="C414" s="138"/>
      <c r="D414" s="150"/>
      <c r="E414" s="139"/>
      <c r="F414" s="140"/>
      <c r="G414" s="147"/>
      <c r="H414" s="147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</row>
    <row r="415" spans="1:26" ht="25.2">
      <c r="A415" s="140"/>
      <c r="B415" s="137"/>
      <c r="C415" s="138"/>
      <c r="D415" s="150"/>
      <c r="E415" s="139"/>
      <c r="F415" s="140"/>
      <c r="G415" s="149"/>
      <c r="H415" s="149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</row>
    <row r="416" spans="1:26" ht="25.2">
      <c r="A416" s="140"/>
      <c r="B416" s="137"/>
      <c r="C416" s="138"/>
      <c r="D416" s="150"/>
      <c r="E416" s="139"/>
      <c r="F416" s="140"/>
      <c r="G416" s="147"/>
      <c r="H416" s="147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</row>
    <row r="417" spans="1:26" ht="25.2">
      <c r="A417" s="140"/>
      <c r="B417" s="137"/>
      <c r="C417" s="138"/>
      <c r="D417" s="150"/>
      <c r="E417" s="139"/>
      <c r="F417" s="140"/>
      <c r="G417" s="149"/>
      <c r="H417" s="149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</row>
    <row r="418" spans="1:26" ht="25.2">
      <c r="A418" s="140"/>
      <c r="B418" s="137"/>
      <c r="C418" s="138"/>
      <c r="D418" s="150"/>
      <c r="E418" s="139"/>
      <c r="F418" s="140"/>
      <c r="G418" s="147"/>
      <c r="H418" s="147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</row>
    <row r="419" spans="1:26" ht="25.2">
      <c r="A419" s="140"/>
      <c r="B419" s="137"/>
      <c r="C419" s="138"/>
      <c r="D419" s="150"/>
      <c r="E419" s="139"/>
      <c r="F419" s="140"/>
      <c r="G419" s="149"/>
      <c r="H419" s="149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</row>
    <row r="420" spans="1:26" ht="25.2">
      <c r="A420" s="140"/>
      <c r="B420" s="137"/>
      <c r="C420" s="138"/>
      <c r="D420" s="150"/>
      <c r="E420" s="139"/>
      <c r="F420" s="140"/>
      <c r="G420" s="147"/>
      <c r="H420" s="147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</row>
    <row r="421" spans="1:26" ht="25.2">
      <c r="A421" s="140"/>
      <c r="B421" s="137"/>
      <c r="C421" s="138"/>
      <c r="D421" s="150"/>
      <c r="E421" s="139"/>
      <c r="F421" s="140"/>
      <c r="G421" s="149"/>
      <c r="H421" s="149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</row>
    <row r="422" spans="1:26" ht="25.2">
      <c r="A422" s="140"/>
      <c r="B422" s="137"/>
      <c r="C422" s="138"/>
      <c r="D422" s="150"/>
      <c r="E422" s="139"/>
      <c r="F422" s="140"/>
      <c r="G422" s="147"/>
      <c r="H422" s="147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</row>
    <row r="423" spans="1:26" ht="25.2">
      <c r="A423" s="140"/>
      <c r="B423" s="137"/>
      <c r="C423" s="138"/>
      <c r="D423" s="150"/>
      <c r="E423" s="139"/>
      <c r="F423" s="140"/>
      <c r="G423" s="149"/>
      <c r="H423" s="149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</row>
    <row r="424" spans="1:26" ht="25.2">
      <c r="A424" s="140"/>
      <c r="B424" s="137"/>
      <c r="C424" s="138"/>
      <c r="D424" s="150"/>
      <c r="E424" s="139"/>
      <c r="F424" s="140"/>
      <c r="G424" s="147"/>
      <c r="H424" s="147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</row>
    <row r="425" spans="1:26" ht="25.2">
      <c r="A425" s="140"/>
      <c r="B425" s="137"/>
      <c r="C425" s="138"/>
      <c r="D425" s="150"/>
      <c r="E425" s="139"/>
      <c r="F425" s="140"/>
      <c r="G425" s="149"/>
      <c r="H425" s="149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</row>
    <row r="426" spans="1:26" ht="25.2">
      <c r="A426" s="140"/>
      <c r="B426" s="137"/>
      <c r="C426" s="138"/>
      <c r="D426" s="150"/>
      <c r="E426" s="139"/>
      <c r="F426" s="140"/>
      <c r="G426" s="147"/>
      <c r="H426" s="147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</row>
    <row r="427" spans="1:26" ht="25.2">
      <c r="A427" s="140"/>
      <c r="B427" s="137"/>
      <c r="C427" s="138"/>
      <c r="D427" s="150"/>
      <c r="E427" s="139"/>
      <c r="F427" s="140"/>
      <c r="G427" s="149"/>
      <c r="H427" s="149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</row>
    <row r="428" spans="1:26" ht="25.2">
      <c r="A428" s="140"/>
      <c r="B428" s="137"/>
      <c r="C428" s="138"/>
      <c r="D428" s="150"/>
      <c r="E428" s="139"/>
      <c r="F428" s="140"/>
      <c r="G428" s="147"/>
      <c r="H428" s="147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</row>
    <row r="429" spans="1:26" ht="25.2">
      <c r="A429" s="140"/>
      <c r="B429" s="137"/>
      <c r="C429" s="138"/>
      <c r="D429" s="150"/>
      <c r="E429" s="139"/>
      <c r="F429" s="140"/>
      <c r="G429" s="149"/>
      <c r="H429" s="149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</row>
    <row r="430" spans="1:26" ht="25.2">
      <c r="A430" s="140"/>
      <c r="B430" s="137"/>
      <c r="C430" s="138"/>
      <c r="D430" s="150"/>
      <c r="E430" s="139"/>
      <c r="F430" s="140"/>
      <c r="G430" s="147"/>
      <c r="H430" s="147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</row>
    <row r="431" spans="1:26" ht="25.2">
      <c r="A431" s="140"/>
      <c r="B431" s="137"/>
      <c r="C431" s="138"/>
      <c r="D431" s="150"/>
      <c r="E431" s="139"/>
      <c r="F431" s="140"/>
      <c r="G431" s="149"/>
      <c r="H431" s="149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</row>
    <row r="432" spans="1:26" ht="25.2">
      <c r="A432" s="140"/>
      <c r="B432" s="137"/>
      <c r="C432" s="138"/>
      <c r="D432" s="150"/>
      <c r="E432" s="139"/>
      <c r="F432" s="140"/>
      <c r="G432" s="147"/>
      <c r="H432" s="147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</row>
    <row r="433" spans="1:26" ht="25.2">
      <c r="A433" s="140"/>
      <c r="B433" s="137"/>
      <c r="C433" s="138"/>
      <c r="D433" s="150"/>
      <c r="E433" s="139"/>
      <c r="F433" s="140"/>
      <c r="G433" s="149"/>
      <c r="H433" s="149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</row>
    <row r="434" spans="1:26" ht="25.2">
      <c r="A434" s="140"/>
      <c r="B434" s="137"/>
      <c r="C434" s="138"/>
      <c r="D434" s="150"/>
      <c r="E434" s="139"/>
      <c r="F434" s="140"/>
      <c r="G434" s="147"/>
      <c r="H434" s="147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</row>
    <row r="435" spans="1:26" ht="25.2">
      <c r="A435" s="140"/>
      <c r="B435" s="137"/>
      <c r="C435" s="138"/>
      <c r="D435" s="150"/>
      <c r="E435" s="139"/>
      <c r="F435" s="140"/>
      <c r="G435" s="149"/>
      <c r="H435" s="149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</row>
    <row r="436" spans="1:26" ht="25.2">
      <c r="A436" s="140"/>
      <c r="B436" s="137"/>
      <c r="C436" s="138"/>
      <c r="D436" s="150"/>
      <c r="E436" s="139"/>
      <c r="F436" s="140"/>
      <c r="G436" s="147"/>
      <c r="H436" s="147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</row>
    <row r="437" spans="1:26" ht="25.2">
      <c r="A437" s="140"/>
      <c r="B437" s="137"/>
      <c r="C437" s="138"/>
      <c r="D437" s="150"/>
      <c r="E437" s="139"/>
      <c r="F437" s="140"/>
      <c r="G437" s="149"/>
      <c r="H437" s="149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</row>
    <row r="438" spans="1:26" ht="25.2">
      <c r="A438" s="140"/>
      <c r="B438" s="137"/>
      <c r="C438" s="138"/>
      <c r="D438" s="150"/>
      <c r="E438" s="139"/>
      <c r="F438" s="140"/>
      <c r="G438" s="147"/>
      <c r="H438" s="147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</row>
    <row r="439" spans="1:26" ht="25.2">
      <c r="A439" s="140"/>
      <c r="B439" s="137"/>
      <c r="C439" s="138"/>
      <c r="D439" s="150"/>
      <c r="E439" s="139"/>
      <c r="F439" s="140"/>
      <c r="G439" s="149"/>
      <c r="H439" s="149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</row>
    <row r="440" spans="1:26" ht="25.2">
      <c r="A440" s="140"/>
      <c r="B440" s="137"/>
      <c r="C440" s="138"/>
      <c r="D440" s="150"/>
      <c r="E440" s="139"/>
      <c r="F440" s="140"/>
      <c r="G440" s="147"/>
      <c r="H440" s="147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</row>
    <row r="441" spans="1:26" ht="25.2">
      <c r="A441" s="140"/>
      <c r="B441" s="137"/>
      <c r="C441" s="138"/>
      <c r="D441" s="150"/>
      <c r="E441" s="139"/>
      <c r="F441" s="140"/>
      <c r="G441" s="149"/>
      <c r="H441" s="149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</row>
    <row r="442" spans="1:26" ht="25.2">
      <c r="A442" s="140"/>
      <c r="B442" s="137"/>
      <c r="C442" s="138"/>
      <c r="D442" s="150"/>
      <c r="E442" s="139"/>
      <c r="F442" s="140"/>
      <c r="G442" s="147"/>
      <c r="H442" s="147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</row>
    <row r="443" spans="1:26" ht="25.2">
      <c r="A443" s="140"/>
      <c r="B443" s="137"/>
      <c r="C443" s="138"/>
      <c r="D443" s="150"/>
      <c r="E443" s="139"/>
      <c r="F443" s="140"/>
      <c r="G443" s="149"/>
      <c r="H443" s="149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</row>
    <row r="444" spans="1:26" ht="25.2">
      <c r="A444" s="140"/>
      <c r="B444" s="137"/>
      <c r="C444" s="138"/>
      <c r="D444" s="150"/>
      <c r="E444" s="139"/>
      <c r="F444" s="140"/>
      <c r="G444" s="147"/>
      <c r="H444" s="147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</row>
    <row r="445" spans="1:26" ht="25.2">
      <c r="A445" s="140"/>
      <c r="B445" s="137"/>
      <c r="C445" s="138"/>
      <c r="D445" s="150"/>
      <c r="E445" s="139"/>
      <c r="F445" s="140"/>
      <c r="G445" s="149"/>
      <c r="H445" s="149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</row>
    <row r="446" spans="1:26" ht="25.2">
      <c r="A446" s="140"/>
      <c r="B446" s="137"/>
      <c r="C446" s="138"/>
      <c r="D446" s="150"/>
      <c r="E446" s="139"/>
      <c r="F446" s="140"/>
      <c r="G446" s="147"/>
      <c r="H446" s="147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</row>
    <row r="447" spans="1:26" ht="25.2">
      <c r="A447" s="140"/>
      <c r="B447" s="137"/>
      <c r="C447" s="138"/>
      <c r="D447" s="150"/>
      <c r="E447" s="139"/>
      <c r="F447" s="140"/>
      <c r="G447" s="149"/>
      <c r="H447" s="149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</row>
    <row r="448" spans="1:26" ht="25.2">
      <c r="A448" s="140"/>
      <c r="B448" s="137"/>
      <c r="C448" s="138"/>
      <c r="D448" s="150"/>
      <c r="E448" s="139"/>
      <c r="F448" s="140"/>
      <c r="G448" s="147"/>
      <c r="H448" s="147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</row>
    <row r="449" spans="1:26" ht="25.2">
      <c r="A449" s="140"/>
      <c r="B449" s="137"/>
      <c r="C449" s="138"/>
      <c r="D449" s="150"/>
      <c r="E449" s="139"/>
      <c r="F449" s="140"/>
      <c r="G449" s="149"/>
      <c r="H449" s="149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</row>
    <row r="450" spans="1:26" ht="25.2">
      <c r="A450" s="140"/>
      <c r="B450" s="137"/>
      <c r="C450" s="138"/>
      <c r="D450" s="150"/>
      <c r="E450" s="139"/>
      <c r="F450" s="140"/>
      <c r="G450" s="147"/>
      <c r="H450" s="147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</row>
    <row r="451" spans="1:26" ht="25.2">
      <c r="A451" s="140"/>
      <c r="B451" s="137"/>
      <c r="C451" s="138"/>
      <c r="D451" s="150"/>
      <c r="E451" s="139"/>
      <c r="F451" s="140"/>
      <c r="G451" s="149"/>
      <c r="H451" s="149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</row>
    <row r="452" spans="1:26" ht="25.2">
      <c r="A452" s="140"/>
      <c r="B452" s="137"/>
      <c r="C452" s="138"/>
      <c r="D452" s="150"/>
      <c r="E452" s="139"/>
      <c r="F452" s="140"/>
      <c r="G452" s="147"/>
      <c r="H452" s="147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</row>
    <row r="453" spans="1:26" ht="25.2">
      <c r="A453" s="140"/>
      <c r="B453" s="137"/>
      <c r="C453" s="138"/>
      <c r="D453" s="150"/>
      <c r="E453" s="139"/>
      <c r="F453" s="140"/>
      <c r="G453" s="149"/>
      <c r="H453" s="149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</row>
    <row r="454" spans="1:26" ht="25.2">
      <c r="A454" s="140"/>
      <c r="B454" s="137"/>
      <c r="C454" s="138"/>
      <c r="D454" s="150"/>
      <c r="E454" s="139"/>
      <c r="F454" s="140"/>
      <c r="G454" s="147"/>
      <c r="H454" s="147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</row>
    <row r="455" spans="1:26" ht="25.2">
      <c r="A455" s="140"/>
      <c r="B455" s="137"/>
      <c r="C455" s="138"/>
      <c r="D455" s="150"/>
      <c r="E455" s="139"/>
      <c r="F455" s="140"/>
      <c r="G455" s="149"/>
      <c r="H455" s="149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</row>
    <row r="456" spans="1:26" ht="25.2">
      <c r="A456" s="140"/>
      <c r="B456" s="137"/>
      <c r="C456" s="138"/>
      <c r="D456" s="150"/>
      <c r="E456" s="139"/>
      <c r="F456" s="140"/>
      <c r="G456" s="147"/>
      <c r="H456" s="147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</row>
    <row r="457" spans="1:26" ht="25.2">
      <c r="A457" s="140"/>
      <c r="B457" s="137"/>
      <c r="C457" s="138"/>
      <c r="D457" s="150"/>
      <c r="E457" s="139"/>
      <c r="F457" s="140"/>
      <c r="G457" s="149"/>
      <c r="H457" s="149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</row>
    <row r="458" spans="1:26" ht="25.2">
      <c r="A458" s="140"/>
      <c r="B458" s="137"/>
      <c r="C458" s="138"/>
      <c r="D458" s="150"/>
      <c r="E458" s="139"/>
      <c r="F458" s="140"/>
      <c r="G458" s="147"/>
      <c r="H458" s="147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</row>
    <row r="459" spans="1:26" ht="25.2">
      <c r="A459" s="140"/>
      <c r="B459" s="137"/>
      <c r="C459" s="138"/>
      <c r="D459" s="150"/>
      <c r="E459" s="139"/>
      <c r="F459" s="140"/>
      <c r="G459" s="149"/>
      <c r="H459" s="149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</row>
    <row r="460" spans="1:26" ht="25.2">
      <c r="A460" s="140"/>
      <c r="B460" s="137"/>
      <c r="C460" s="138"/>
      <c r="D460" s="150"/>
      <c r="E460" s="139"/>
      <c r="F460" s="140"/>
      <c r="G460" s="147"/>
      <c r="H460" s="147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</row>
    <row r="461" spans="1:26" ht="25.2">
      <c r="A461" s="140"/>
      <c r="B461" s="137"/>
      <c r="C461" s="138"/>
      <c r="D461" s="150"/>
      <c r="E461" s="139"/>
      <c r="F461" s="140"/>
      <c r="G461" s="149"/>
      <c r="H461" s="149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</row>
    <row r="462" spans="1:26" ht="25.2">
      <c r="A462" s="140"/>
      <c r="B462" s="137"/>
      <c r="C462" s="138"/>
      <c r="D462" s="150"/>
      <c r="E462" s="139"/>
      <c r="F462" s="140"/>
      <c r="G462" s="147"/>
      <c r="H462" s="147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</row>
    <row r="463" spans="1:26" ht="25.2">
      <c r="A463" s="140"/>
      <c r="B463" s="137"/>
      <c r="C463" s="138"/>
      <c r="D463" s="150"/>
      <c r="E463" s="139"/>
      <c r="F463" s="140"/>
      <c r="G463" s="149"/>
      <c r="H463" s="149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</row>
    <row r="464" spans="1:26" ht="25.2">
      <c r="A464" s="140"/>
      <c r="B464" s="137"/>
      <c r="C464" s="138"/>
      <c r="D464" s="150"/>
      <c r="E464" s="139"/>
      <c r="F464" s="140"/>
      <c r="G464" s="147"/>
      <c r="H464" s="147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</row>
    <row r="465" spans="1:26" ht="25.2">
      <c r="A465" s="140"/>
      <c r="B465" s="137"/>
      <c r="C465" s="138"/>
      <c r="D465" s="150"/>
      <c r="E465" s="139"/>
      <c r="F465" s="140"/>
      <c r="G465" s="149"/>
      <c r="H465" s="149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</row>
    <row r="466" spans="1:26" ht="25.2">
      <c r="A466" s="140"/>
      <c r="B466" s="137"/>
      <c r="C466" s="138"/>
      <c r="D466" s="150"/>
      <c r="E466" s="139"/>
      <c r="F466" s="140"/>
      <c r="G466" s="147"/>
      <c r="H466" s="147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</row>
    <row r="467" spans="1:26" ht="25.2">
      <c r="A467" s="140"/>
      <c r="B467" s="137"/>
      <c r="C467" s="138"/>
      <c r="D467" s="150"/>
      <c r="E467" s="139"/>
      <c r="F467" s="140"/>
      <c r="G467" s="149"/>
      <c r="H467" s="149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</row>
    <row r="468" spans="1:26" ht="25.2">
      <c r="A468" s="140"/>
      <c r="B468" s="137"/>
      <c r="C468" s="138"/>
      <c r="D468" s="150"/>
      <c r="E468" s="139"/>
      <c r="F468" s="140"/>
      <c r="G468" s="147"/>
      <c r="H468" s="147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</row>
    <row r="469" spans="1:26" ht="25.2">
      <c r="A469" s="140"/>
      <c r="B469" s="137"/>
      <c r="C469" s="138"/>
      <c r="D469" s="150"/>
      <c r="E469" s="139"/>
      <c r="F469" s="140"/>
      <c r="G469" s="149"/>
      <c r="H469" s="149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</row>
    <row r="470" spans="1:26" ht="25.2">
      <c r="A470" s="140"/>
      <c r="B470" s="137"/>
      <c r="C470" s="138"/>
      <c r="D470" s="150"/>
      <c r="E470" s="139"/>
      <c r="F470" s="140"/>
      <c r="G470" s="147"/>
      <c r="H470" s="147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</row>
    <row r="471" spans="1:26" ht="25.2">
      <c r="A471" s="140"/>
      <c r="B471" s="137"/>
      <c r="C471" s="138"/>
      <c r="D471" s="150"/>
      <c r="E471" s="139"/>
      <c r="F471" s="140"/>
      <c r="G471" s="149"/>
      <c r="H471" s="149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</row>
    <row r="472" spans="1:26" ht="25.2">
      <c r="A472" s="140"/>
      <c r="B472" s="137"/>
      <c r="C472" s="138"/>
      <c r="D472" s="150"/>
      <c r="E472" s="139"/>
      <c r="F472" s="140"/>
      <c r="G472" s="147"/>
      <c r="H472" s="147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</row>
    <row r="473" spans="1:26" ht="25.2">
      <c r="A473" s="140"/>
      <c r="B473" s="137"/>
      <c r="C473" s="138"/>
      <c r="D473" s="150"/>
      <c r="E473" s="139"/>
      <c r="F473" s="140"/>
      <c r="G473" s="149"/>
      <c r="H473" s="149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</row>
    <row r="474" spans="1:26" ht="25.2">
      <c r="A474" s="140"/>
      <c r="B474" s="137"/>
      <c r="C474" s="138"/>
      <c r="D474" s="150"/>
      <c r="E474" s="139"/>
      <c r="F474" s="140"/>
      <c r="G474" s="147"/>
      <c r="H474" s="147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</row>
    <row r="475" spans="1:26" ht="25.2">
      <c r="A475" s="140"/>
      <c r="B475" s="137"/>
      <c r="C475" s="138"/>
      <c r="D475" s="150"/>
      <c r="E475" s="139"/>
      <c r="F475" s="140"/>
      <c r="G475" s="149"/>
      <c r="H475" s="149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</row>
    <row r="476" spans="1:26" ht="25.2">
      <c r="A476" s="140"/>
      <c r="B476" s="137"/>
      <c r="C476" s="138"/>
      <c r="D476" s="150"/>
      <c r="E476" s="139"/>
      <c r="F476" s="140"/>
      <c r="G476" s="147"/>
      <c r="H476" s="147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</row>
    <row r="477" spans="1:26" ht="25.2">
      <c r="A477" s="140"/>
      <c r="B477" s="137"/>
      <c r="C477" s="138"/>
      <c r="D477" s="150"/>
      <c r="E477" s="139"/>
      <c r="F477" s="140"/>
      <c r="G477" s="149"/>
      <c r="H477" s="149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</row>
    <row r="478" spans="1:26" ht="25.2">
      <c r="A478" s="140"/>
      <c r="B478" s="137"/>
      <c r="C478" s="138"/>
      <c r="D478" s="150"/>
      <c r="E478" s="139"/>
      <c r="F478" s="140"/>
      <c r="G478" s="147"/>
      <c r="H478" s="147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</row>
    <row r="479" spans="1:26" ht="25.2">
      <c r="A479" s="140"/>
      <c r="B479" s="137"/>
      <c r="C479" s="138"/>
      <c r="D479" s="150"/>
      <c r="E479" s="139"/>
      <c r="F479" s="140"/>
      <c r="G479" s="149"/>
      <c r="H479" s="149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</row>
    <row r="480" spans="1:26" ht="25.2">
      <c r="A480" s="140"/>
      <c r="B480" s="137"/>
      <c r="C480" s="138"/>
      <c r="D480" s="150"/>
      <c r="E480" s="139"/>
      <c r="F480" s="140"/>
      <c r="G480" s="147"/>
      <c r="H480" s="147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</row>
    <row r="481" spans="1:26" ht="25.2">
      <c r="A481" s="140"/>
      <c r="B481" s="137"/>
      <c r="C481" s="138"/>
      <c r="D481" s="150"/>
      <c r="E481" s="139"/>
      <c r="F481" s="140"/>
      <c r="G481" s="149"/>
      <c r="H481" s="149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</row>
    <row r="482" spans="1:26" ht="25.2">
      <c r="A482" s="140"/>
      <c r="B482" s="137"/>
      <c r="C482" s="138"/>
      <c r="D482" s="150"/>
      <c r="E482" s="139"/>
      <c r="F482" s="140"/>
      <c r="G482" s="147"/>
      <c r="H482" s="147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</row>
    <row r="483" spans="1:26" ht="25.2">
      <c r="A483" s="140"/>
      <c r="B483" s="137"/>
      <c r="C483" s="138"/>
      <c r="D483" s="150"/>
      <c r="E483" s="139"/>
      <c r="F483" s="140"/>
      <c r="G483" s="149"/>
      <c r="H483" s="149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</row>
    <row r="484" spans="1:26" ht="25.2">
      <c r="A484" s="140"/>
      <c r="B484" s="137"/>
      <c r="C484" s="138"/>
      <c r="D484" s="150"/>
      <c r="E484" s="139"/>
      <c r="F484" s="140"/>
      <c r="G484" s="147"/>
      <c r="H484" s="147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</row>
    <row r="485" spans="1:26" ht="25.2">
      <c r="A485" s="140"/>
      <c r="B485" s="137"/>
      <c r="C485" s="138"/>
      <c r="D485" s="150"/>
      <c r="E485" s="139"/>
      <c r="F485" s="140"/>
      <c r="G485" s="149"/>
      <c r="H485" s="149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</row>
    <row r="486" spans="1:26" ht="25.2">
      <c r="A486" s="140"/>
      <c r="B486" s="137"/>
      <c r="C486" s="138"/>
      <c r="D486" s="150"/>
      <c r="E486" s="139"/>
      <c r="F486" s="140"/>
      <c r="G486" s="147"/>
      <c r="H486" s="147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</row>
    <row r="487" spans="1:26" ht="25.2">
      <c r="A487" s="140"/>
      <c r="B487" s="137"/>
      <c r="C487" s="138"/>
      <c r="D487" s="150"/>
      <c r="E487" s="139"/>
      <c r="F487" s="140"/>
      <c r="G487" s="149"/>
      <c r="H487" s="149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</row>
    <row r="488" spans="1:26" ht="25.2">
      <c r="A488" s="140"/>
      <c r="B488" s="137"/>
      <c r="C488" s="138"/>
      <c r="D488" s="150"/>
      <c r="E488" s="139"/>
      <c r="F488" s="140"/>
      <c r="G488" s="147"/>
      <c r="H488" s="147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</row>
    <row r="489" spans="1:26" ht="25.2">
      <c r="A489" s="140"/>
      <c r="B489" s="137"/>
      <c r="C489" s="138"/>
      <c r="D489" s="150"/>
      <c r="E489" s="139"/>
      <c r="F489" s="140"/>
      <c r="G489" s="149"/>
      <c r="H489" s="149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</row>
    <row r="490" spans="1:26" ht="25.2">
      <c r="A490" s="140"/>
      <c r="B490" s="137"/>
      <c r="C490" s="138"/>
      <c r="D490" s="150"/>
      <c r="E490" s="139"/>
      <c r="F490" s="140"/>
      <c r="G490" s="147"/>
      <c r="H490" s="147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</row>
    <row r="491" spans="1:26" ht="25.2">
      <c r="A491" s="140"/>
      <c r="B491" s="137"/>
      <c r="C491" s="138"/>
      <c r="D491" s="150"/>
      <c r="E491" s="139"/>
      <c r="F491" s="140"/>
      <c r="G491" s="149"/>
      <c r="H491" s="149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</row>
    <row r="492" spans="1:26" ht="25.2">
      <c r="A492" s="140"/>
      <c r="B492" s="137"/>
      <c r="C492" s="138"/>
      <c r="D492" s="150"/>
      <c r="E492" s="139"/>
      <c r="F492" s="140"/>
      <c r="G492" s="147"/>
      <c r="H492" s="147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</row>
    <row r="493" spans="1:26" ht="25.2">
      <c r="A493" s="140"/>
      <c r="B493" s="137"/>
      <c r="C493" s="138"/>
      <c r="D493" s="150"/>
      <c r="E493" s="139"/>
      <c r="F493" s="140"/>
      <c r="G493" s="149"/>
      <c r="H493" s="149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</row>
    <row r="494" spans="1:26" ht="25.2">
      <c r="A494" s="140"/>
      <c r="B494" s="137"/>
      <c r="C494" s="138"/>
      <c r="D494" s="150"/>
      <c r="E494" s="139"/>
      <c r="F494" s="140"/>
      <c r="G494" s="147"/>
      <c r="H494" s="147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</row>
    <row r="495" spans="1:26" ht="25.2">
      <c r="A495" s="140"/>
      <c r="B495" s="137"/>
      <c r="C495" s="138"/>
      <c r="D495" s="150"/>
      <c r="E495" s="139"/>
      <c r="F495" s="140"/>
      <c r="G495" s="149"/>
      <c r="H495" s="149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</row>
    <row r="496" spans="1:26" ht="25.2">
      <c r="A496" s="140"/>
      <c r="B496" s="137"/>
      <c r="C496" s="138"/>
      <c r="D496" s="150"/>
      <c r="E496" s="139"/>
      <c r="F496" s="140"/>
      <c r="G496" s="147"/>
      <c r="H496" s="147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</row>
    <row r="497" spans="1:26" ht="25.2">
      <c r="A497" s="140"/>
      <c r="B497" s="137"/>
      <c r="C497" s="138"/>
      <c r="D497" s="150"/>
      <c r="E497" s="139"/>
      <c r="F497" s="140"/>
      <c r="G497" s="149"/>
      <c r="H497" s="149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</row>
    <row r="498" spans="1:26" ht="25.2">
      <c r="A498" s="140"/>
      <c r="B498" s="137"/>
      <c r="C498" s="138"/>
      <c r="D498" s="150"/>
      <c r="E498" s="139"/>
      <c r="F498" s="140"/>
      <c r="G498" s="147"/>
      <c r="H498" s="147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</row>
    <row r="499" spans="1:26" ht="25.2">
      <c r="A499" s="140"/>
      <c r="B499" s="137"/>
      <c r="C499" s="138"/>
      <c r="D499" s="150"/>
      <c r="E499" s="139"/>
      <c r="F499" s="140"/>
      <c r="G499" s="149"/>
      <c r="H499" s="149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</row>
    <row r="500" spans="1:26" ht="25.2">
      <c r="A500" s="140"/>
      <c r="B500" s="137"/>
      <c r="C500" s="138"/>
      <c r="D500" s="150"/>
      <c r="E500" s="139"/>
      <c r="F500" s="140"/>
      <c r="G500" s="147"/>
      <c r="H500" s="147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</row>
    <row r="501" spans="1:26" ht="25.2">
      <c r="A501" s="140"/>
      <c r="B501" s="137"/>
      <c r="C501" s="138"/>
      <c r="D501" s="150"/>
      <c r="E501" s="139"/>
      <c r="F501" s="140"/>
      <c r="G501" s="149"/>
      <c r="H501" s="149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</row>
    <row r="502" spans="1:26" ht="25.2">
      <c r="A502" s="140"/>
      <c r="B502" s="137"/>
      <c r="C502" s="138"/>
      <c r="D502" s="150"/>
      <c r="E502" s="139"/>
      <c r="F502" s="140"/>
      <c r="G502" s="147"/>
      <c r="H502" s="147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</row>
    <row r="503" spans="1:26" ht="25.2">
      <c r="A503" s="140"/>
      <c r="B503" s="137"/>
      <c r="C503" s="138"/>
      <c r="D503" s="150"/>
      <c r="E503" s="139"/>
      <c r="F503" s="140"/>
      <c r="G503" s="149"/>
      <c r="H503" s="149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</row>
    <row r="504" spans="1:26" ht="25.2">
      <c r="A504" s="140"/>
      <c r="B504" s="137"/>
      <c r="C504" s="138"/>
      <c r="D504" s="150"/>
      <c r="E504" s="139"/>
      <c r="F504" s="140"/>
      <c r="G504" s="147"/>
      <c r="H504" s="147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</row>
    <row r="505" spans="1:26" ht="25.2">
      <c r="A505" s="140"/>
      <c r="B505" s="137"/>
      <c r="C505" s="138"/>
      <c r="D505" s="150"/>
      <c r="E505" s="139"/>
      <c r="F505" s="140"/>
      <c r="G505" s="149"/>
      <c r="H505" s="149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</row>
    <row r="506" spans="1:26" ht="25.2">
      <c r="A506" s="140"/>
      <c r="B506" s="137"/>
      <c r="C506" s="138"/>
      <c r="D506" s="150"/>
      <c r="E506" s="139"/>
      <c r="F506" s="140"/>
      <c r="G506" s="147"/>
      <c r="H506" s="147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</row>
    <row r="507" spans="1:26" ht="25.2">
      <c r="A507" s="140"/>
      <c r="B507" s="137"/>
      <c r="C507" s="138"/>
      <c r="D507" s="150"/>
      <c r="E507" s="139"/>
      <c r="F507" s="140"/>
      <c r="G507" s="149"/>
      <c r="H507" s="149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</row>
    <row r="508" spans="1:26" ht="25.2">
      <c r="A508" s="140"/>
      <c r="B508" s="137"/>
      <c r="C508" s="138"/>
      <c r="D508" s="150"/>
      <c r="E508" s="139"/>
      <c r="F508" s="140"/>
      <c r="G508" s="147"/>
      <c r="H508" s="147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</row>
    <row r="509" spans="1:26" ht="25.2">
      <c r="A509" s="140"/>
      <c r="B509" s="137"/>
      <c r="C509" s="138"/>
      <c r="D509" s="150"/>
      <c r="E509" s="139"/>
      <c r="F509" s="140"/>
      <c r="G509" s="149"/>
      <c r="H509" s="149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</row>
    <row r="510" spans="1:26" ht="25.2">
      <c r="A510" s="140"/>
      <c r="B510" s="137"/>
      <c r="C510" s="138"/>
      <c r="D510" s="150"/>
      <c r="E510" s="139"/>
      <c r="F510" s="140"/>
      <c r="G510" s="147"/>
      <c r="H510" s="147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</row>
    <row r="511" spans="1:26" ht="25.2">
      <c r="A511" s="140"/>
      <c r="B511" s="137"/>
      <c r="C511" s="138"/>
      <c r="D511" s="150"/>
      <c r="E511" s="139"/>
      <c r="F511" s="140"/>
      <c r="G511" s="149"/>
      <c r="H511" s="149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</row>
    <row r="512" spans="1:26" ht="25.2">
      <c r="A512" s="140"/>
      <c r="B512" s="137"/>
      <c r="C512" s="138"/>
      <c r="D512" s="150"/>
      <c r="E512" s="139"/>
      <c r="F512" s="140"/>
      <c r="G512" s="147"/>
      <c r="H512" s="147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</row>
    <row r="513" spans="1:26" ht="25.2">
      <c r="A513" s="140"/>
      <c r="B513" s="137"/>
      <c r="C513" s="138"/>
      <c r="D513" s="150"/>
      <c r="E513" s="139"/>
      <c r="F513" s="140"/>
      <c r="G513" s="149"/>
      <c r="H513" s="149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</row>
    <row r="514" spans="1:26" ht="25.2">
      <c r="A514" s="140"/>
      <c r="B514" s="137"/>
      <c r="C514" s="138"/>
      <c r="D514" s="150"/>
      <c r="E514" s="139"/>
      <c r="F514" s="140"/>
      <c r="G514" s="147"/>
      <c r="H514" s="147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</row>
    <row r="515" spans="1:26" ht="25.2">
      <c r="A515" s="140"/>
      <c r="B515" s="137"/>
      <c r="C515" s="138"/>
      <c r="D515" s="150"/>
      <c r="E515" s="139"/>
      <c r="F515" s="140"/>
      <c r="G515" s="149"/>
      <c r="H515" s="149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</row>
    <row r="516" spans="1:26" ht="25.2">
      <c r="A516" s="140"/>
      <c r="B516" s="137"/>
      <c r="C516" s="138"/>
      <c r="D516" s="150"/>
      <c r="E516" s="139"/>
      <c r="F516" s="140"/>
      <c r="G516" s="147"/>
      <c r="H516" s="147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</row>
    <row r="517" spans="1:26" ht="25.2">
      <c r="A517" s="140"/>
      <c r="B517" s="137"/>
      <c r="C517" s="138"/>
      <c r="D517" s="150"/>
      <c r="E517" s="139"/>
      <c r="F517" s="140"/>
      <c r="G517" s="149"/>
      <c r="H517" s="149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</row>
    <row r="518" spans="1:26" ht="25.2">
      <c r="A518" s="140"/>
      <c r="B518" s="137"/>
      <c r="C518" s="138"/>
      <c r="D518" s="150"/>
      <c r="E518" s="139"/>
      <c r="F518" s="140"/>
      <c r="G518" s="147"/>
      <c r="H518" s="147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</row>
    <row r="519" spans="1:26" ht="25.2">
      <c r="A519" s="140"/>
      <c r="B519" s="137"/>
      <c r="C519" s="138"/>
      <c r="D519" s="150"/>
      <c r="E519" s="139"/>
      <c r="F519" s="140"/>
      <c r="G519" s="149"/>
      <c r="H519" s="149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</row>
    <row r="520" spans="1:26" ht="25.2">
      <c r="A520" s="140"/>
      <c r="B520" s="137"/>
      <c r="C520" s="138"/>
      <c r="D520" s="150"/>
      <c r="E520" s="139"/>
      <c r="F520" s="140"/>
      <c r="G520" s="147"/>
      <c r="H520" s="147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</row>
    <row r="521" spans="1:26" ht="25.2">
      <c r="A521" s="140"/>
      <c r="B521" s="137"/>
      <c r="C521" s="138"/>
      <c r="D521" s="150"/>
      <c r="E521" s="139"/>
      <c r="F521" s="140"/>
      <c r="G521" s="149"/>
      <c r="H521" s="149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</row>
    <row r="522" spans="1:26" ht="25.2">
      <c r="A522" s="140"/>
      <c r="B522" s="137"/>
      <c r="C522" s="138"/>
      <c r="D522" s="150"/>
      <c r="E522" s="139"/>
      <c r="F522" s="140"/>
      <c r="G522" s="147"/>
      <c r="H522" s="147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</row>
    <row r="523" spans="1:26" ht="25.2">
      <c r="A523" s="140"/>
      <c r="B523" s="137"/>
      <c r="C523" s="138"/>
      <c r="D523" s="150"/>
      <c r="E523" s="139"/>
      <c r="F523" s="140"/>
      <c r="G523" s="149"/>
      <c r="H523" s="149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</row>
    <row r="524" spans="1:26" ht="25.2">
      <c r="A524" s="140"/>
      <c r="B524" s="137"/>
      <c r="C524" s="138"/>
      <c r="D524" s="150"/>
      <c r="E524" s="139"/>
      <c r="F524" s="140"/>
      <c r="G524" s="147"/>
      <c r="H524" s="147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</row>
    <row r="525" spans="1:26" ht="25.2">
      <c r="A525" s="140"/>
      <c r="B525" s="137"/>
      <c r="C525" s="138"/>
      <c r="D525" s="150"/>
      <c r="E525" s="139"/>
      <c r="F525" s="140"/>
      <c r="G525" s="149"/>
      <c r="H525" s="149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</row>
    <row r="526" spans="1:26" ht="25.2">
      <c r="A526" s="140"/>
      <c r="B526" s="137"/>
      <c r="C526" s="138"/>
      <c r="D526" s="150"/>
      <c r="E526" s="139"/>
      <c r="F526" s="140"/>
      <c r="G526" s="147"/>
      <c r="H526" s="147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</row>
    <row r="527" spans="1:26" ht="25.2">
      <c r="A527" s="140"/>
      <c r="B527" s="137"/>
      <c r="C527" s="138"/>
      <c r="D527" s="150"/>
      <c r="E527" s="139"/>
      <c r="F527" s="140"/>
      <c r="G527" s="149"/>
      <c r="H527" s="149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</row>
    <row r="528" spans="1:26" ht="25.2">
      <c r="A528" s="140"/>
      <c r="B528" s="137"/>
      <c r="C528" s="138"/>
      <c r="D528" s="150"/>
      <c r="E528" s="139"/>
      <c r="F528" s="140"/>
      <c r="G528" s="147"/>
      <c r="H528" s="147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</row>
    <row r="529" spans="1:26" ht="25.2">
      <c r="A529" s="140"/>
      <c r="B529" s="137"/>
      <c r="C529" s="138"/>
      <c r="D529" s="150"/>
      <c r="E529" s="139"/>
      <c r="F529" s="140"/>
      <c r="G529" s="149"/>
      <c r="H529" s="149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</row>
    <row r="530" spans="1:26" ht="25.2">
      <c r="A530" s="140"/>
      <c r="B530" s="137"/>
      <c r="C530" s="138"/>
      <c r="D530" s="150"/>
      <c r="E530" s="139"/>
      <c r="F530" s="140"/>
      <c r="G530" s="147"/>
      <c r="H530" s="147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</row>
    <row r="531" spans="1:26" ht="25.2">
      <c r="A531" s="140"/>
      <c r="B531" s="137"/>
      <c r="C531" s="138"/>
      <c r="D531" s="150"/>
      <c r="E531" s="139"/>
      <c r="F531" s="140"/>
      <c r="G531" s="149"/>
      <c r="H531" s="149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</row>
    <row r="532" spans="1:26" ht="25.2">
      <c r="A532" s="140"/>
      <c r="B532" s="137"/>
      <c r="C532" s="138"/>
      <c r="D532" s="150"/>
      <c r="E532" s="139"/>
      <c r="F532" s="140"/>
      <c r="G532" s="147"/>
      <c r="H532" s="147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</row>
    <row r="533" spans="1:26" ht="25.2">
      <c r="A533" s="140"/>
      <c r="B533" s="137"/>
      <c r="C533" s="138"/>
      <c r="D533" s="150"/>
      <c r="E533" s="139"/>
      <c r="F533" s="140"/>
      <c r="G533" s="149"/>
      <c r="H533" s="149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</row>
    <row r="534" spans="1:26" ht="25.2">
      <c r="A534" s="140"/>
      <c r="B534" s="137"/>
      <c r="C534" s="138"/>
      <c r="D534" s="150"/>
      <c r="E534" s="139"/>
      <c r="F534" s="140"/>
      <c r="G534" s="147"/>
      <c r="H534" s="147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</row>
    <row r="535" spans="1:26" ht="25.2">
      <c r="A535" s="140"/>
      <c r="B535" s="137"/>
      <c r="C535" s="138"/>
      <c r="D535" s="150"/>
      <c r="E535" s="139"/>
      <c r="F535" s="140"/>
      <c r="G535" s="149"/>
      <c r="H535" s="149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</row>
    <row r="536" spans="1:26" ht="25.2">
      <c r="A536" s="140"/>
      <c r="B536" s="137"/>
      <c r="C536" s="138"/>
      <c r="D536" s="150"/>
      <c r="E536" s="139"/>
      <c r="F536" s="140"/>
      <c r="G536" s="147"/>
      <c r="H536" s="147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</row>
    <row r="537" spans="1:26" ht="25.2">
      <c r="A537" s="140"/>
      <c r="B537" s="137"/>
      <c r="C537" s="138"/>
      <c r="D537" s="150"/>
      <c r="E537" s="139"/>
      <c r="F537" s="140"/>
      <c r="G537" s="149"/>
      <c r="H537" s="149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</row>
    <row r="538" spans="1:26" ht="25.2">
      <c r="A538" s="140"/>
      <c r="B538" s="137"/>
      <c r="C538" s="138"/>
      <c r="D538" s="150"/>
      <c r="E538" s="139"/>
      <c r="F538" s="140"/>
      <c r="G538" s="147"/>
      <c r="H538" s="147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</row>
    <row r="539" spans="1:26" ht="25.2">
      <c r="A539" s="140"/>
      <c r="B539" s="137"/>
      <c r="C539" s="138"/>
      <c r="D539" s="150"/>
      <c r="E539" s="139"/>
      <c r="F539" s="140"/>
      <c r="G539" s="149"/>
      <c r="H539" s="149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</row>
    <row r="540" spans="1:26" ht="25.2">
      <c r="A540" s="140"/>
      <c r="B540" s="137"/>
      <c r="C540" s="138"/>
      <c r="D540" s="150"/>
      <c r="E540" s="139"/>
      <c r="F540" s="140"/>
      <c r="G540" s="147"/>
      <c r="H540" s="147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</row>
    <row r="541" spans="1:26" ht="25.2">
      <c r="A541" s="140"/>
      <c r="B541" s="137"/>
      <c r="C541" s="138"/>
      <c r="D541" s="150"/>
      <c r="E541" s="139"/>
      <c r="F541" s="140"/>
      <c r="G541" s="149"/>
      <c r="H541" s="149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</row>
    <row r="542" spans="1:26" ht="25.2">
      <c r="A542" s="140"/>
      <c r="B542" s="137"/>
      <c r="C542" s="138"/>
      <c r="D542" s="150"/>
      <c r="E542" s="139"/>
      <c r="F542" s="140"/>
      <c r="G542" s="147"/>
      <c r="H542" s="147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</row>
    <row r="543" spans="1:26" ht="25.2">
      <c r="A543" s="140"/>
      <c r="B543" s="137"/>
      <c r="C543" s="138"/>
      <c r="D543" s="150"/>
      <c r="E543" s="139"/>
      <c r="F543" s="140"/>
      <c r="G543" s="149"/>
      <c r="H543" s="149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</row>
    <row r="544" spans="1:26" ht="25.2">
      <c r="A544" s="140"/>
      <c r="B544" s="137"/>
      <c r="C544" s="138"/>
      <c r="D544" s="150"/>
      <c r="E544" s="139"/>
      <c r="F544" s="140"/>
      <c r="G544" s="147"/>
      <c r="H544" s="147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</row>
    <row r="545" spans="1:26" ht="25.2">
      <c r="A545" s="140"/>
      <c r="B545" s="137"/>
      <c r="C545" s="138"/>
      <c r="D545" s="150"/>
      <c r="E545" s="139"/>
      <c r="F545" s="140"/>
      <c r="G545" s="149"/>
      <c r="H545" s="149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</row>
    <row r="546" spans="1:26" ht="25.2">
      <c r="A546" s="140"/>
      <c r="B546" s="137"/>
      <c r="C546" s="138"/>
      <c r="D546" s="150"/>
      <c r="E546" s="139"/>
      <c r="F546" s="140"/>
      <c r="G546" s="147"/>
      <c r="H546" s="147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</row>
    <row r="547" spans="1:26" ht="25.2">
      <c r="A547" s="140"/>
      <c r="B547" s="137"/>
      <c r="C547" s="138"/>
      <c r="D547" s="150"/>
      <c r="E547" s="139"/>
      <c r="F547" s="140"/>
      <c r="G547" s="149"/>
      <c r="H547" s="149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</row>
    <row r="548" spans="1:26" ht="25.2">
      <c r="A548" s="140"/>
      <c r="B548" s="137"/>
      <c r="C548" s="138"/>
      <c r="D548" s="150"/>
      <c r="E548" s="139"/>
      <c r="F548" s="140"/>
      <c r="G548" s="147"/>
      <c r="H548" s="147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</row>
    <row r="549" spans="1:26" ht="25.2">
      <c r="A549" s="140"/>
      <c r="B549" s="137"/>
      <c r="C549" s="138"/>
      <c r="D549" s="150"/>
      <c r="E549" s="139"/>
      <c r="F549" s="140"/>
      <c r="G549" s="149"/>
      <c r="H549" s="149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</row>
    <row r="550" spans="1:26" ht="25.2">
      <c r="A550" s="140"/>
      <c r="B550" s="137"/>
      <c r="C550" s="138"/>
      <c r="D550" s="150"/>
      <c r="E550" s="139"/>
      <c r="F550" s="140"/>
      <c r="G550" s="147"/>
      <c r="H550" s="147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</row>
    <row r="551" spans="1:26" ht="25.2">
      <c r="A551" s="140"/>
      <c r="B551" s="137"/>
      <c r="C551" s="138"/>
      <c r="D551" s="150"/>
      <c r="E551" s="139"/>
      <c r="F551" s="140"/>
      <c r="G551" s="149"/>
      <c r="H551" s="149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</row>
    <row r="552" spans="1:26" ht="25.2">
      <c r="A552" s="140"/>
      <c r="B552" s="137"/>
      <c r="C552" s="138"/>
      <c r="D552" s="150"/>
      <c r="E552" s="139"/>
      <c r="F552" s="140"/>
      <c r="G552" s="147"/>
      <c r="H552" s="147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</row>
    <row r="553" spans="1:26" ht="25.2">
      <c r="A553" s="140"/>
      <c r="B553" s="137"/>
      <c r="C553" s="138"/>
      <c r="D553" s="150"/>
      <c r="E553" s="139"/>
      <c r="F553" s="140"/>
      <c r="G553" s="149"/>
      <c r="H553" s="149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</row>
    <row r="554" spans="1:26" ht="25.2">
      <c r="A554" s="140"/>
      <c r="B554" s="137"/>
      <c r="C554" s="138"/>
      <c r="D554" s="150"/>
      <c r="E554" s="139"/>
      <c r="F554" s="140"/>
      <c r="G554" s="147"/>
      <c r="H554" s="147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</row>
    <row r="555" spans="1:26" ht="25.2">
      <c r="A555" s="140"/>
      <c r="B555" s="137"/>
      <c r="C555" s="138"/>
      <c r="D555" s="150"/>
      <c r="E555" s="139"/>
      <c r="F555" s="140"/>
      <c r="G555" s="149"/>
      <c r="H555" s="149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</row>
    <row r="556" spans="1:26" ht="25.2">
      <c r="A556" s="140"/>
      <c r="B556" s="137"/>
      <c r="C556" s="138"/>
      <c r="D556" s="150"/>
      <c r="E556" s="139"/>
      <c r="F556" s="140"/>
      <c r="G556" s="147"/>
      <c r="H556" s="147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</row>
    <row r="557" spans="1:26" ht="25.2">
      <c r="A557" s="140"/>
      <c r="B557" s="137"/>
      <c r="C557" s="138"/>
      <c r="D557" s="150"/>
      <c r="E557" s="139"/>
      <c r="F557" s="140"/>
      <c r="G557" s="149"/>
      <c r="H557" s="149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</row>
    <row r="558" spans="1:26" ht="25.2">
      <c r="A558" s="140"/>
      <c r="B558" s="137"/>
      <c r="C558" s="138"/>
      <c r="D558" s="150"/>
      <c r="E558" s="139"/>
      <c r="F558" s="140"/>
      <c r="G558" s="147"/>
      <c r="H558" s="147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</row>
    <row r="559" spans="1:26" ht="25.2">
      <c r="A559" s="140"/>
      <c r="B559" s="137"/>
      <c r="C559" s="138"/>
      <c r="D559" s="150"/>
      <c r="E559" s="139"/>
      <c r="F559" s="140"/>
      <c r="G559" s="149"/>
      <c r="H559" s="149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</row>
    <row r="560" spans="1:26" ht="25.2">
      <c r="A560" s="140"/>
      <c r="B560" s="137"/>
      <c r="C560" s="138"/>
      <c r="D560" s="150"/>
      <c r="E560" s="139"/>
      <c r="F560" s="140"/>
      <c r="G560" s="147"/>
      <c r="H560" s="147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</row>
    <row r="561" spans="1:26" ht="25.2">
      <c r="A561" s="140"/>
      <c r="B561" s="137"/>
      <c r="C561" s="138"/>
      <c r="D561" s="150"/>
      <c r="E561" s="139"/>
      <c r="F561" s="140"/>
      <c r="G561" s="149"/>
      <c r="H561" s="149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</row>
    <row r="562" spans="1:26" ht="25.2">
      <c r="A562" s="140"/>
      <c r="B562" s="137"/>
      <c r="C562" s="138"/>
      <c r="D562" s="150"/>
      <c r="E562" s="139"/>
      <c r="F562" s="140"/>
      <c r="G562" s="147"/>
      <c r="H562" s="147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</row>
    <row r="563" spans="1:26" ht="25.2">
      <c r="A563" s="140"/>
      <c r="B563" s="137"/>
      <c r="C563" s="138"/>
      <c r="D563" s="150"/>
      <c r="E563" s="139"/>
      <c r="F563" s="140"/>
      <c r="G563" s="149"/>
      <c r="H563" s="149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</row>
    <row r="564" spans="1:26" ht="25.2">
      <c r="A564" s="140"/>
      <c r="B564" s="137"/>
      <c r="C564" s="138"/>
      <c r="D564" s="150"/>
      <c r="E564" s="139"/>
      <c r="F564" s="140"/>
      <c r="G564" s="147"/>
      <c r="H564" s="147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</row>
    <row r="565" spans="1:26" ht="25.2">
      <c r="A565" s="140"/>
      <c r="B565" s="137"/>
      <c r="C565" s="138"/>
      <c r="D565" s="150"/>
      <c r="E565" s="139"/>
      <c r="F565" s="140"/>
      <c r="G565" s="149"/>
      <c r="H565" s="149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</row>
    <row r="566" spans="1:26" ht="25.2">
      <c r="A566" s="140"/>
      <c r="B566" s="137"/>
      <c r="C566" s="138"/>
      <c r="D566" s="150"/>
      <c r="E566" s="139"/>
      <c r="F566" s="140"/>
      <c r="G566" s="147"/>
      <c r="H566" s="147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</row>
    <row r="567" spans="1:26" ht="25.2">
      <c r="A567" s="140"/>
      <c r="B567" s="137"/>
      <c r="C567" s="138"/>
      <c r="D567" s="150"/>
      <c r="E567" s="139"/>
      <c r="F567" s="140"/>
      <c r="G567" s="149"/>
      <c r="H567" s="149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</row>
    <row r="568" spans="1:26" ht="25.2">
      <c r="A568" s="140"/>
      <c r="B568" s="137"/>
      <c r="C568" s="138"/>
      <c r="D568" s="150"/>
      <c r="E568" s="139"/>
      <c r="F568" s="140"/>
      <c r="G568" s="147"/>
      <c r="H568" s="147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</row>
    <row r="569" spans="1:26" ht="25.2">
      <c r="A569" s="140"/>
      <c r="B569" s="137"/>
      <c r="C569" s="138"/>
      <c r="D569" s="150"/>
      <c r="E569" s="139"/>
      <c r="F569" s="140"/>
      <c r="G569" s="149"/>
      <c r="H569" s="149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</row>
    <row r="570" spans="1:26" ht="25.2">
      <c r="A570" s="140"/>
      <c r="B570" s="137"/>
      <c r="C570" s="138"/>
      <c r="D570" s="150"/>
      <c r="E570" s="139"/>
      <c r="F570" s="140"/>
      <c r="G570" s="147"/>
      <c r="H570" s="147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</row>
    <row r="571" spans="1:26" ht="25.2">
      <c r="A571" s="140"/>
      <c r="B571" s="137"/>
      <c r="C571" s="138"/>
      <c r="D571" s="150"/>
      <c r="E571" s="139"/>
      <c r="F571" s="140"/>
      <c r="G571" s="149"/>
      <c r="H571" s="149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</row>
    <row r="572" spans="1:26" ht="25.2">
      <c r="A572" s="140"/>
      <c r="B572" s="137"/>
      <c r="C572" s="138"/>
      <c r="D572" s="150"/>
      <c r="E572" s="139"/>
      <c r="F572" s="140"/>
      <c r="G572" s="147"/>
      <c r="H572" s="147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</row>
    <row r="573" spans="1:26" ht="25.2">
      <c r="A573" s="140"/>
      <c r="B573" s="137"/>
      <c r="C573" s="138"/>
      <c r="D573" s="150"/>
      <c r="E573" s="139"/>
      <c r="F573" s="140"/>
      <c r="G573" s="149"/>
      <c r="H573" s="149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</row>
    <row r="574" spans="1:26" ht="25.2">
      <c r="A574" s="140"/>
      <c r="B574" s="137"/>
      <c r="C574" s="138"/>
      <c r="D574" s="150"/>
      <c r="E574" s="139"/>
      <c r="F574" s="140"/>
      <c r="G574" s="147"/>
      <c r="H574" s="147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</row>
    <row r="575" spans="1:26" ht="25.2">
      <c r="A575" s="140"/>
      <c r="B575" s="137"/>
      <c r="C575" s="138"/>
      <c r="D575" s="150"/>
      <c r="E575" s="139"/>
      <c r="F575" s="140"/>
      <c r="G575" s="149"/>
      <c r="H575" s="149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</row>
    <row r="576" spans="1:26" ht="25.2">
      <c r="A576" s="140"/>
      <c r="B576" s="137"/>
      <c r="C576" s="138"/>
      <c r="D576" s="150"/>
      <c r="E576" s="139"/>
      <c r="F576" s="140"/>
      <c r="G576" s="147"/>
      <c r="H576" s="147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</row>
    <row r="577" spans="1:26" ht="25.2">
      <c r="A577" s="140"/>
      <c r="B577" s="137"/>
      <c r="C577" s="138"/>
      <c r="D577" s="150"/>
      <c r="E577" s="139"/>
      <c r="F577" s="140"/>
      <c r="G577" s="149"/>
      <c r="H577" s="149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</row>
    <row r="578" spans="1:26" ht="25.2">
      <c r="A578" s="140"/>
      <c r="B578" s="137"/>
      <c r="C578" s="138"/>
      <c r="D578" s="150"/>
      <c r="E578" s="139"/>
      <c r="F578" s="140"/>
      <c r="G578" s="147"/>
      <c r="H578" s="147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</row>
    <row r="579" spans="1:26" ht="25.2">
      <c r="A579" s="140"/>
      <c r="B579" s="137"/>
      <c r="C579" s="138"/>
      <c r="D579" s="150"/>
      <c r="E579" s="139"/>
      <c r="F579" s="140"/>
      <c r="G579" s="149"/>
      <c r="H579" s="149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</row>
    <row r="580" spans="1:26" ht="25.2">
      <c r="A580" s="140"/>
      <c r="B580" s="137"/>
      <c r="C580" s="138"/>
      <c r="D580" s="150"/>
      <c r="E580" s="139"/>
      <c r="F580" s="140"/>
      <c r="G580" s="147"/>
      <c r="H580" s="147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</row>
    <row r="581" spans="1:26" ht="25.2">
      <c r="A581" s="140"/>
      <c r="B581" s="137"/>
      <c r="C581" s="138"/>
      <c r="D581" s="150"/>
      <c r="E581" s="139"/>
      <c r="F581" s="140"/>
      <c r="G581" s="149"/>
      <c r="H581" s="149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</row>
    <row r="582" spans="1:26" ht="25.2">
      <c r="A582" s="140"/>
      <c r="B582" s="137"/>
      <c r="C582" s="138"/>
      <c r="D582" s="150"/>
      <c r="E582" s="139"/>
      <c r="F582" s="140"/>
      <c r="G582" s="147"/>
      <c r="H582" s="147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</row>
    <row r="583" spans="1:26" ht="25.2">
      <c r="A583" s="140"/>
      <c r="B583" s="137"/>
      <c r="C583" s="138"/>
      <c r="D583" s="150"/>
      <c r="E583" s="139"/>
      <c r="F583" s="140"/>
      <c r="G583" s="149"/>
      <c r="H583" s="149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</row>
    <row r="584" spans="1:26" ht="25.2">
      <c r="A584" s="140"/>
      <c r="B584" s="137"/>
      <c r="C584" s="138"/>
      <c r="D584" s="150"/>
      <c r="E584" s="139"/>
      <c r="F584" s="140"/>
      <c r="G584" s="147"/>
      <c r="H584" s="147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</row>
    <row r="585" spans="1:26" ht="25.2">
      <c r="A585" s="140"/>
      <c r="B585" s="137"/>
      <c r="C585" s="138"/>
      <c r="D585" s="150"/>
      <c r="E585" s="139"/>
      <c r="F585" s="140"/>
      <c r="G585" s="149"/>
      <c r="H585" s="149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</row>
    <row r="586" spans="1:26" ht="25.2">
      <c r="A586" s="140"/>
      <c r="B586" s="137"/>
      <c r="C586" s="138"/>
      <c r="D586" s="150"/>
      <c r="E586" s="139"/>
      <c r="F586" s="140"/>
      <c r="G586" s="147"/>
      <c r="H586" s="147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</row>
    <row r="587" spans="1:26" ht="25.2">
      <c r="A587" s="140"/>
      <c r="B587" s="137"/>
      <c r="C587" s="138"/>
      <c r="D587" s="150"/>
      <c r="E587" s="139"/>
      <c r="F587" s="140"/>
      <c r="G587" s="149"/>
      <c r="H587" s="149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</row>
    <row r="588" spans="1:26" ht="25.2">
      <c r="A588" s="140"/>
      <c r="B588" s="137"/>
      <c r="C588" s="138"/>
      <c r="D588" s="150"/>
      <c r="E588" s="139"/>
      <c r="F588" s="140"/>
      <c r="G588" s="147"/>
      <c r="H588" s="147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</row>
    <row r="589" spans="1:26" ht="25.2">
      <c r="A589" s="140"/>
      <c r="B589" s="137"/>
      <c r="C589" s="138"/>
      <c r="D589" s="150"/>
      <c r="E589" s="139"/>
      <c r="F589" s="140"/>
      <c r="G589" s="149"/>
      <c r="H589" s="149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</row>
    <row r="590" spans="1:26" ht="25.2">
      <c r="A590" s="140"/>
      <c r="B590" s="137"/>
      <c r="C590" s="138"/>
      <c r="D590" s="150"/>
      <c r="E590" s="139"/>
      <c r="F590" s="140"/>
      <c r="G590" s="147"/>
      <c r="H590" s="147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</row>
    <row r="591" spans="1:26" ht="25.2">
      <c r="A591" s="140"/>
      <c r="B591" s="137"/>
      <c r="C591" s="138"/>
      <c r="D591" s="150"/>
      <c r="E591" s="139"/>
      <c r="F591" s="140"/>
      <c r="G591" s="149"/>
      <c r="H591" s="149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</row>
    <row r="592" spans="1:26" ht="25.2">
      <c r="A592" s="140"/>
      <c r="B592" s="137"/>
      <c r="C592" s="138"/>
      <c r="D592" s="150"/>
      <c r="E592" s="139"/>
      <c r="F592" s="140"/>
      <c r="G592" s="147"/>
      <c r="H592" s="147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</row>
    <row r="593" spans="1:26" ht="25.2">
      <c r="A593" s="140"/>
      <c r="B593" s="137"/>
      <c r="C593" s="138"/>
      <c r="D593" s="150"/>
      <c r="E593" s="139"/>
      <c r="F593" s="140"/>
      <c r="G593" s="149"/>
      <c r="H593" s="149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</row>
    <row r="594" spans="1:26" ht="25.2">
      <c r="A594" s="140"/>
      <c r="B594" s="137"/>
      <c r="C594" s="138"/>
      <c r="D594" s="150"/>
      <c r="E594" s="139"/>
      <c r="F594" s="140"/>
      <c r="G594" s="147"/>
      <c r="H594" s="147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</row>
    <row r="595" spans="1:26" ht="25.2">
      <c r="A595" s="140"/>
      <c r="B595" s="137"/>
      <c r="C595" s="138"/>
      <c r="D595" s="150"/>
      <c r="E595" s="139"/>
      <c r="F595" s="140"/>
      <c r="G595" s="149"/>
      <c r="H595" s="149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</row>
    <row r="596" spans="1:26" ht="25.2">
      <c r="A596" s="140"/>
      <c r="B596" s="137"/>
      <c r="C596" s="138"/>
      <c r="D596" s="150"/>
      <c r="E596" s="139"/>
      <c r="F596" s="140"/>
      <c r="G596" s="147"/>
      <c r="H596" s="147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</row>
    <row r="597" spans="1:26" ht="25.2">
      <c r="A597" s="140"/>
      <c r="B597" s="137"/>
      <c r="C597" s="138"/>
      <c r="D597" s="150"/>
      <c r="E597" s="139"/>
      <c r="F597" s="140"/>
      <c r="G597" s="149"/>
      <c r="H597" s="149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</row>
    <row r="598" spans="1:26" ht="25.2">
      <c r="A598" s="140"/>
      <c r="B598" s="137"/>
      <c r="C598" s="138"/>
      <c r="D598" s="150"/>
      <c r="E598" s="139"/>
      <c r="F598" s="140"/>
      <c r="G598" s="147"/>
      <c r="H598" s="147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</row>
    <row r="599" spans="1:26" ht="25.2">
      <c r="A599" s="140"/>
      <c r="B599" s="137"/>
      <c r="C599" s="138"/>
      <c r="D599" s="150"/>
      <c r="E599" s="139"/>
      <c r="F599" s="140"/>
      <c r="G599" s="149"/>
      <c r="H599" s="149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</row>
    <row r="600" spans="1:26" ht="25.2">
      <c r="A600" s="140"/>
      <c r="B600" s="137"/>
      <c r="C600" s="138"/>
      <c r="D600" s="150"/>
      <c r="E600" s="139"/>
      <c r="F600" s="140"/>
      <c r="G600" s="147"/>
      <c r="H600" s="147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</row>
    <row r="601" spans="1:26" ht="25.2">
      <c r="A601" s="140"/>
      <c r="B601" s="137"/>
      <c r="C601" s="138"/>
      <c r="D601" s="150"/>
      <c r="E601" s="139"/>
      <c r="F601" s="140"/>
      <c r="G601" s="149"/>
      <c r="H601" s="149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</row>
    <row r="602" spans="1:26" ht="25.2">
      <c r="A602" s="140"/>
      <c r="B602" s="137"/>
      <c r="C602" s="138"/>
      <c r="D602" s="150"/>
      <c r="E602" s="139"/>
      <c r="F602" s="140"/>
      <c r="G602" s="147"/>
      <c r="H602" s="147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</row>
    <row r="603" spans="1:26" ht="25.2">
      <c r="A603" s="140"/>
      <c r="B603" s="137"/>
      <c r="C603" s="138"/>
      <c r="D603" s="150"/>
      <c r="E603" s="139"/>
      <c r="F603" s="140"/>
      <c r="G603" s="149"/>
      <c r="H603" s="149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</row>
    <row r="604" spans="1:26" ht="25.2">
      <c r="A604" s="140"/>
      <c r="B604" s="137"/>
      <c r="C604" s="138"/>
      <c r="D604" s="150"/>
      <c r="E604" s="139"/>
      <c r="F604" s="140"/>
      <c r="G604" s="147"/>
      <c r="H604" s="147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</row>
    <row r="605" spans="1:26" ht="25.2">
      <c r="A605" s="140"/>
      <c r="B605" s="137"/>
      <c r="C605" s="138"/>
      <c r="D605" s="150"/>
      <c r="E605" s="139"/>
      <c r="F605" s="140"/>
      <c r="G605" s="149"/>
      <c r="H605" s="149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</row>
    <row r="606" spans="1:26" ht="25.2">
      <c r="A606" s="140"/>
      <c r="B606" s="137"/>
      <c r="C606" s="138"/>
      <c r="D606" s="150"/>
      <c r="E606" s="139"/>
      <c r="F606" s="140"/>
      <c r="G606" s="147"/>
      <c r="H606" s="147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</row>
    <row r="607" spans="1:26" ht="25.2">
      <c r="A607" s="140"/>
      <c r="B607" s="137"/>
      <c r="C607" s="138"/>
      <c r="D607" s="150"/>
      <c r="E607" s="139"/>
      <c r="F607" s="140"/>
      <c r="G607" s="149"/>
      <c r="H607" s="149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</row>
    <row r="608" spans="1:26" ht="25.2">
      <c r="A608" s="140"/>
      <c r="B608" s="137"/>
      <c r="C608" s="138"/>
      <c r="D608" s="150"/>
      <c r="E608" s="139"/>
      <c r="F608" s="140"/>
      <c r="G608" s="147"/>
      <c r="H608" s="147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</row>
    <row r="609" spans="1:26" ht="25.2">
      <c r="A609" s="140"/>
      <c r="B609" s="137"/>
      <c r="C609" s="138"/>
      <c r="D609" s="150"/>
      <c r="E609" s="139"/>
      <c r="F609" s="140"/>
      <c r="G609" s="149"/>
      <c r="H609" s="149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</row>
    <row r="610" spans="1:26" ht="25.2">
      <c r="A610" s="140"/>
      <c r="B610" s="137"/>
      <c r="C610" s="138"/>
      <c r="D610" s="150"/>
      <c r="E610" s="139"/>
      <c r="F610" s="140"/>
      <c r="G610" s="147"/>
      <c r="H610" s="147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</row>
    <row r="611" spans="1:26" ht="25.2">
      <c r="A611" s="140"/>
      <c r="B611" s="137"/>
      <c r="C611" s="138"/>
      <c r="D611" s="150"/>
      <c r="E611" s="139"/>
      <c r="F611" s="140"/>
      <c r="G611" s="149"/>
      <c r="H611" s="149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</row>
    <row r="612" spans="1:26" ht="25.2">
      <c r="A612" s="140"/>
      <c r="B612" s="137"/>
      <c r="C612" s="138"/>
      <c r="D612" s="150"/>
      <c r="E612" s="139"/>
      <c r="F612" s="140"/>
      <c r="G612" s="147"/>
      <c r="H612" s="147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</row>
    <row r="613" spans="1:26" ht="25.2">
      <c r="A613" s="140"/>
      <c r="B613" s="137"/>
      <c r="C613" s="138"/>
      <c r="D613" s="150"/>
      <c r="E613" s="139"/>
      <c r="F613" s="140"/>
      <c r="G613" s="149"/>
      <c r="H613" s="149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</row>
    <row r="614" spans="1:26" ht="25.2">
      <c r="A614" s="140"/>
      <c r="B614" s="137"/>
      <c r="C614" s="138"/>
      <c r="D614" s="150"/>
      <c r="E614" s="139"/>
      <c r="F614" s="140"/>
      <c r="G614" s="147"/>
      <c r="H614" s="147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</row>
    <row r="615" spans="1:26" ht="25.2">
      <c r="A615" s="140"/>
      <c r="B615" s="137"/>
      <c r="C615" s="138"/>
      <c r="D615" s="150"/>
      <c r="E615" s="139"/>
      <c r="F615" s="140"/>
      <c r="G615" s="149"/>
      <c r="H615" s="149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</row>
    <row r="616" spans="1:26" ht="25.2">
      <c r="A616" s="140"/>
      <c r="B616" s="137"/>
      <c r="C616" s="138"/>
      <c r="D616" s="150"/>
      <c r="E616" s="139"/>
      <c r="F616" s="140"/>
      <c r="G616" s="147"/>
      <c r="H616" s="147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</row>
    <row r="617" spans="1:26" ht="25.2">
      <c r="A617" s="140"/>
      <c r="B617" s="137"/>
      <c r="C617" s="138"/>
      <c r="D617" s="150"/>
      <c r="E617" s="139"/>
      <c r="F617" s="140"/>
      <c r="G617" s="149"/>
      <c r="H617" s="149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</row>
    <row r="618" spans="1:26" ht="25.2">
      <c r="A618" s="140"/>
      <c r="B618" s="137"/>
      <c r="C618" s="138"/>
      <c r="D618" s="150"/>
      <c r="E618" s="139"/>
      <c r="F618" s="140"/>
      <c r="G618" s="147"/>
      <c r="H618" s="147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</row>
    <row r="619" spans="1:26" ht="25.2">
      <c r="A619" s="140"/>
      <c r="B619" s="137"/>
      <c r="C619" s="138"/>
      <c r="D619" s="150"/>
      <c r="E619" s="139"/>
      <c r="F619" s="140"/>
      <c r="G619" s="149"/>
      <c r="H619" s="149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</row>
    <row r="620" spans="1:26" ht="25.2">
      <c r="A620" s="140"/>
      <c r="B620" s="137"/>
      <c r="C620" s="138"/>
      <c r="D620" s="150"/>
      <c r="E620" s="139"/>
      <c r="F620" s="140"/>
      <c r="G620" s="147"/>
      <c r="H620" s="147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</row>
    <row r="621" spans="1:26" ht="25.2">
      <c r="A621" s="140"/>
      <c r="B621" s="137"/>
      <c r="C621" s="138"/>
      <c r="D621" s="150"/>
      <c r="E621" s="139"/>
      <c r="F621" s="140"/>
      <c r="G621" s="149"/>
      <c r="H621" s="149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</row>
    <row r="622" spans="1:26" ht="25.2">
      <c r="A622" s="140"/>
      <c r="B622" s="137"/>
      <c r="C622" s="138"/>
      <c r="D622" s="150"/>
      <c r="E622" s="139"/>
      <c r="F622" s="140"/>
      <c r="G622" s="147"/>
      <c r="H622" s="147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</row>
    <row r="623" spans="1:26" ht="25.2">
      <c r="A623" s="140"/>
      <c r="B623" s="137"/>
      <c r="C623" s="138"/>
      <c r="D623" s="150"/>
      <c r="E623" s="139"/>
      <c r="F623" s="140"/>
      <c r="G623" s="149"/>
      <c r="H623" s="149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</row>
    <row r="624" spans="1:26" ht="25.2">
      <c r="A624" s="140"/>
      <c r="B624" s="137"/>
      <c r="C624" s="138"/>
      <c r="D624" s="150"/>
      <c r="E624" s="139"/>
      <c r="F624" s="140"/>
      <c r="G624" s="147"/>
      <c r="H624" s="147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</row>
    <row r="625" spans="1:26" ht="25.2">
      <c r="A625" s="140"/>
      <c r="B625" s="137"/>
      <c r="C625" s="138"/>
      <c r="D625" s="150"/>
      <c r="E625" s="139"/>
      <c r="F625" s="140"/>
      <c r="G625" s="149"/>
      <c r="H625" s="149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</row>
    <row r="626" spans="1:26" ht="25.2">
      <c r="A626" s="140"/>
      <c r="B626" s="137"/>
      <c r="C626" s="138"/>
      <c r="D626" s="150"/>
      <c r="E626" s="139"/>
      <c r="F626" s="140"/>
      <c r="G626" s="147"/>
      <c r="H626" s="147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</row>
    <row r="627" spans="1:26" ht="25.2">
      <c r="A627" s="140"/>
      <c r="B627" s="137"/>
      <c r="C627" s="138"/>
      <c r="D627" s="150"/>
      <c r="E627" s="139"/>
      <c r="F627" s="140"/>
      <c r="G627" s="149"/>
      <c r="H627" s="149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</row>
    <row r="628" spans="1:26" ht="25.2">
      <c r="A628" s="140"/>
      <c r="B628" s="137"/>
      <c r="C628" s="138"/>
      <c r="D628" s="150"/>
      <c r="E628" s="139"/>
      <c r="F628" s="140"/>
      <c r="G628" s="147"/>
      <c r="H628" s="147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</row>
    <row r="629" spans="1:26" ht="25.2">
      <c r="A629" s="140"/>
      <c r="B629" s="137"/>
      <c r="C629" s="138"/>
      <c r="D629" s="150"/>
      <c r="E629" s="139"/>
      <c r="F629" s="140"/>
      <c r="G629" s="149"/>
      <c r="H629" s="149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</row>
    <row r="630" spans="1:26" ht="25.2">
      <c r="A630" s="140"/>
      <c r="B630" s="137"/>
      <c r="C630" s="138"/>
      <c r="D630" s="150"/>
      <c r="E630" s="139"/>
      <c r="F630" s="140"/>
      <c r="G630" s="147"/>
      <c r="H630" s="147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</row>
    <row r="631" spans="1:26" ht="25.2">
      <c r="A631" s="140"/>
      <c r="B631" s="137"/>
      <c r="C631" s="138"/>
      <c r="D631" s="150"/>
      <c r="E631" s="139"/>
      <c r="F631" s="140"/>
      <c r="G631" s="149"/>
      <c r="H631" s="149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</row>
    <row r="632" spans="1:26" ht="25.2">
      <c r="A632" s="140"/>
      <c r="B632" s="137"/>
      <c r="C632" s="138"/>
      <c r="D632" s="150"/>
      <c r="E632" s="139"/>
      <c r="F632" s="140"/>
      <c r="G632" s="147"/>
      <c r="H632" s="147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</row>
    <row r="633" spans="1:26" ht="25.2">
      <c r="A633" s="140"/>
      <c r="B633" s="137"/>
      <c r="C633" s="138"/>
      <c r="D633" s="150"/>
      <c r="E633" s="139"/>
      <c r="F633" s="140"/>
      <c r="G633" s="149"/>
      <c r="H633" s="149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</row>
    <row r="634" spans="1:26" ht="25.2">
      <c r="A634" s="140"/>
      <c r="B634" s="137"/>
      <c r="C634" s="138"/>
      <c r="D634" s="150"/>
      <c r="E634" s="139"/>
      <c r="F634" s="140"/>
      <c r="G634" s="147"/>
      <c r="H634" s="147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</row>
    <row r="635" spans="1:26" ht="25.2">
      <c r="A635" s="140"/>
      <c r="B635" s="137"/>
      <c r="C635" s="138"/>
      <c r="D635" s="150"/>
      <c r="E635" s="139"/>
      <c r="F635" s="140"/>
      <c r="G635" s="149"/>
      <c r="H635" s="149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</row>
    <row r="636" spans="1:26" ht="25.2">
      <c r="A636" s="140"/>
      <c r="B636" s="137"/>
      <c r="C636" s="138"/>
      <c r="D636" s="150"/>
      <c r="E636" s="139"/>
      <c r="F636" s="140"/>
      <c r="G636" s="147"/>
      <c r="H636" s="147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</row>
    <row r="637" spans="1:26" ht="25.2">
      <c r="A637" s="140"/>
      <c r="B637" s="137"/>
      <c r="C637" s="138"/>
      <c r="D637" s="150"/>
      <c r="E637" s="139"/>
      <c r="F637" s="140"/>
      <c r="G637" s="149"/>
      <c r="H637" s="149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</row>
    <row r="638" spans="1:26" ht="25.2">
      <c r="A638" s="140"/>
      <c r="B638" s="137"/>
      <c r="C638" s="138"/>
      <c r="D638" s="150"/>
      <c r="E638" s="139"/>
      <c r="F638" s="140"/>
      <c r="G638" s="147"/>
      <c r="H638" s="147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</row>
    <row r="639" spans="1:26" ht="25.2">
      <c r="A639" s="140"/>
      <c r="B639" s="137"/>
      <c r="C639" s="138"/>
      <c r="D639" s="150"/>
      <c r="E639" s="139"/>
      <c r="F639" s="140"/>
      <c r="G639" s="149"/>
      <c r="H639" s="149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</row>
    <row r="640" spans="1:26" ht="25.2">
      <c r="A640" s="140"/>
      <c r="B640" s="137"/>
      <c r="C640" s="138"/>
      <c r="D640" s="150"/>
      <c r="E640" s="139"/>
      <c r="F640" s="140"/>
      <c r="G640" s="147"/>
      <c r="H640" s="147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</row>
    <row r="641" spans="1:26" ht="25.2">
      <c r="A641" s="140"/>
      <c r="B641" s="137"/>
      <c r="C641" s="138"/>
      <c r="D641" s="150"/>
      <c r="E641" s="139"/>
      <c r="F641" s="140"/>
      <c r="G641" s="149"/>
      <c r="H641" s="149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</row>
    <row r="642" spans="1:26" ht="25.2">
      <c r="A642" s="140"/>
      <c r="B642" s="137"/>
      <c r="C642" s="138"/>
      <c r="D642" s="150"/>
      <c r="E642" s="139"/>
      <c r="F642" s="140"/>
      <c r="G642" s="147"/>
      <c r="H642" s="147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</row>
    <row r="643" spans="1:26" ht="25.2">
      <c r="A643" s="140"/>
      <c r="B643" s="137"/>
      <c r="C643" s="138"/>
      <c r="D643" s="150"/>
      <c r="E643" s="139"/>
      <c r="F643" s="140"/>
      <c r="G643" s="149"/>
      <c r="H643" s="149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</row>
    <row r="644" spans="1:26" ht="25.2">
      <c r="A644" s="140"/>
      <c r="B644" s="137"/>
      <c r="C644" s="138"/>
      <c r="D644" s="150"/>
      <c r="E644" s="139"/>
      <c r="F644" s="140"/>
      <c r="G644" s="147"/>
      <c r="H644" s="147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</row>
    <row r="645" spans="1:26" ht="25.2">
      <c r="A645" s="140"/>
      <c r="B645" s="137"/>
      <c r="C645" s="138"/>
      <c r="D645" s="150"/>
      <c r="E645" s="139"/>
      <c r="F645" s="140"/>
      <c r="G645" s="149"/>
      <c r="H645" s="149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</row>
    <row r="646" spans="1:26" ht="25.2">
      <c r="A646" s="140"/>
      <c r="B646" s="137"/>
      <c r="C646" s="138"/>
      <c r="D646" s="150"/>
      <c r="E646" s="139"/>
      <c r="F646" s="140"/>
      <c r="G646" s="147"/>
      <c r="H646" s="147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</row>
    <row r="647" spans="1:26" ht="25.2">
      <c r="A647" s="140"/>
      <c r="B647" s="137"/>
      <c r="C647" s="138"/>
      <c r="D647" s="150"/>
      <c r="E647" s="139"/>
      <c r="F647" s="140"/>
      <c r="G647" s="149"/>
      <c r="H647" s="149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</row>
    <row r="648" spans="1:26" ht="25.2">
      <c r="A648" s="140"/>
      <c r="B648" s="137"/>
      <c r="C648" s="138"/>
      <c r="D648" s="150"/>
      <c r="E648" s="139"/>
      <c r="F648" s="140"/>
      <c r="G648" s="147"/>
      <c r="H648" s="147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</row>
    <row r="649" spans="1:26" ht="25.2">
      <c r="A649" s="140"/>
      <c r="B649" s="137"/>
      <c r="C649" s="138"/>
      <c r="D649" s="150"/>
      <c r="E649" s="139"/>
      <c r="F649" s="140"/>
      <c r="G649" s="149"/>
      <c r="H649" s="149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</row>
    <row r="650" spans="1:26" ht="25.2">
      <c r="A650" s="140"/>
      <c r="B650" s="137"/>
      <c r="C650" s="138"/>
      <c r="D650" s="150"/>
      <c r="E650" s="139"/>
      <c r="F650" s="140"/>
      <c r="G650" s="147"/>
      <c r="H650" s="147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</row>
    <row r="651" spans="1:26" ht="25.2">
      <c r="A651" s="140"/>
      <c r="B651" s="137"/>
      <c r="C651" s="138"/>
      <c r="D651" s="150"/>
      <c r="E651" s="139"/>
      <c r="F651" s="140"/>
      <c r="G651" s="149"/>
      <c r="H651" s="149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</row>
    <row r="652" spans="1:26" ht="25.2">
      <c r="A652" s="140"/>
      <c r="B652" s="137"/>
      <c r="C652" s="138"/>
      <c r="D652" s="150"/>
      <c r="E652" s="139"/>
      <c r="F652" s="140"/>
      <c r="G652" s="147"/>
      <c r="H652" s="147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</row>
    <row r="653" spans="1:26" ht="25.2">
      <c r="A653" s="140"/>
      <c r="B653" s="137"/>
      <c r="C653" s="138"/>
      <c r="D653" s="150"/>
      <c r="E653" s="139"/>
      <c r="F653" s="140"/>
      <c r="G653" s="149"/>
      <c r="H653" s="149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</row>
    <row r="654" spans="1:26" ht="25.2">
      <c r="A654" s="140"/>
      <c r="B654" s="137"/>
      <c r="C654" s="138"/>
      <c r="D654" s="150"/>
      <c r="E654" s="139"/>
      <c r="F654" s="140"/>
      <c r="G654" s="147"/>
      <c r="H654" s="147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</row>
    <row r="655" spans="1:26" ht="25.2">
      <c r="A655" s="140"/>
      <c r="B655" s="137"/>
      <c r="C655" s="138"/>
      <c r="D655" s="150"/>
      <c r="E655" s="139"/>
      <c r="F655" s="140"/>
      <c r="G655" s="149"/>
      <c r="H655" s="149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</row>
    <row r="656" spans="1:26" ht="25.2">
      <c r="A656" s="140"/>
      <c r="B656" s="137"/>
      <c r="C656" s="138"/>
      <c r="D656" s="150"/>
      <c r="E656" s="139"/>
      <c r="F656" s="140"/>
      <c r="G656" s="147"/>
      <c r="H656" s="147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</row>
    <row r="657" spans="1:26" ht="25.2">
      <c r="A657" s="140"/>
      <c r="B657" s="137"/>
      <c r="C657" s="138"/>
      <c r="D657" s="150"/>
      <c r="E657" s="139"/>
      <c r="F657" s="140"/>
      <c r="G657" s="149"/>
      <c r="H657" s="149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</row>
    <row r="658" spans="1:26" ht="25.2">
      <c r="A658" s="140"/>
      <c r="B658" s="137"/>
      <c r="C658" s="138"/>
      <c r="D658" s="150"/>
      <c r="E658" s="139"/>
      <c r="F658" s="140"/>
      <c r="G658" s="147"/>
      <c r="H658" s="147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</row>
    <row r="659" spans="1:26" ht="25.2">
      <c r="A659" s="140"/>
      <c r="B659" s="137"/>
      <c r="C659" s="138"/>
      <c r="D659" s="150"/>
      <c r="E659" s="139"/>
      <c r="F659" s="140"/>
      <c r="G659" s="149"/>
      <c r="H659" s="149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</row>
    <row r="660" spans="1:26" ht="25.2">
      <c r="A660" s="140"/>
      <c r="B660" s="137"/>
      <c r="C660" s="138"/>
      <c r="D660" s="150"/>
      <c r="E660" s="139"/>
      <c r="F660" s="140"/>
      <c r="G660" s="147"/>
      <c r="H660" s="147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</row>
    <row r="661" spans="1:26" ht="25.2">
      <c r="A661" s="140"/>
      <c r="B661" s="137"/>
      <c r="C661" s="138"/>
      <c r="D661" s="150"/>
      <c r="E661" s="139"/>
      <c r="F661" s="140"/>
      <c r="G661" s="149"/>
      <c r="H661" s="149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</row>
    <row r="662" spans="1:26" ht="25.2">
      <c r="A662" s="140"/>
      <c r="B662" s="137"/>
      <c r="C662" s="138"/>
      <c r="D662" s="150"/>
      <c r="E662" s="139"/>
      <c r="F662" s="140"/>
      <c r="G662" s="147"/>
      <c r="H662" s="147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</row>
    <row r="663" spans="1:26" ht="25.2">
      <c r="A663" s="140"/>
      <c r="B663" s="137"/>
      <c r="C663" s="138"/>
      <c r="D663" s="150"/>
      <c r="E663" s="139"/>
      <c r="F663" s="140"/>
      <c r="G663" s="149"/>
      <c r="H663" s="149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</row>
    <row r="664" spans="1:26" ht="25.2">
      <c r="A664" s="140"/>
      <c r="B664" s="137"/>
      <c r="C664" s="138"/>
      <c r="D664" s="150"/>
      <c r="E664" s="139"/>
      <c r="F664" s="140"/>
      <c r="G664" s="147"/>
      <c r="H664" s="147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</row>
    <row r="665" spans="1:26" ht="25.2">
      <c r="A665" s="140"/>
      <c r="B665" s="137"/>
      <c r="C665" s="138"/>
      <c r="D665" s="150"/>
      <c r="E665" s="139"/>
      <c r="F665" s="140"/>
      <c r="G665" s="149"/>
      <c r="H665" s="149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</row>
    <row r="666" spans="1:26" ht="25.2">
      <c r="A666" s="140"/>
      <c r="B666" s="137"/>
      <c r="C666" s="138"/>
      <c r="D666" s="150"/>
      <c r="E666" s="139"/>
      <c r="F666" s="140"/>
      <c r="G666" s="147"/>
      <c r="H666" s="147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</row>
    <row r="667" spans="1:26" ht="25.2">
      <c r="A667" s="140"/>
      <c r="B667" s="137"/>
      <c r="C667" s="138"/>
      <c r="D667" s="150"/>
      <c r="E667" s="139"/>
      <c r="F667" s="140"/>
      <c r="G667" s="149"/>
      <c r="H667" s="149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</row>
    <row r="668" spans="1:26" ht="25.2">
      <c r="A668" s="140"/>
      <c r="B668" s="137"/>
      <c r="C668" s="138"/>
      <c r="D668" s="150"/>
      <c r="E668" s="139"/>
      <c r="F668" s="140"/>
      <c r="G668" s="147"/>
      <c r="H668" s="147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</row>
    <row r="669" spans="1:26" ht="25.2">
      <c r="A669" s="140"/>
      <c r="B669" s="137"/>
      <c r="C669" s="138"/>
      <c r="D669" s="150"/>
      <c r="E669" s="139"/>
      <c r="F669" s="140"/>
      <c r="G669" s="149"/>
      <c r="H669" s="149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</row>
    <row r="670" spans="1:26" ht="25.2">
      <c r="A670" s="140"/>
      <c r="B670" s="137"/>
      <c r="C670" s="138"/>
      <c r="D670" s="150"/>
      <c r="E670" s="139"/>
      <c r="F670" s="140"/>
      <c r="G670" s="147"/>
      <c r="H670" s="147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</row>
    <row r="671" spans="1:26" ht="25.2">
      <c r="A671" s="140"/>
      <c r="B671" s="137"/>
      <c r="C671" s="138"/>
      <c r="D671" s="150"/>
      <c r="E671" s="139"/>
      <c r="F671" s="140"/>
      <c r="G671" s="149"/>
      <c r="H671" s="149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</row>
    <row r="672" spans="1:26" ht="25.2">
      <c r="A672" s="140"/>
      <c r="B672" s="137"/>
      <c r="C672" s="138"/>
      <c r="D672" s="150"/>
      <c r="E672" s="139"/>
      <c r="F672" s="140"/>
      <c r="G672" s="147"/>
      <c r="H672" s="147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</row>
    <row r="673" spans="1:26" ht="25.2">
      <c r="A673" s="140"/>
      <c r="B673" s="137"/>
      <c r="C673" s="138"/>
      <c r="D673" s="150"/>
      <c r="E673" s="139"/>
      <c r="F673" s="140"/>
      <c r="G673" s="149"/>
      <c r="H673" s="149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</row>
    <row r="674" spans="1:26" ht="25.2">
      <c r="A674" s="140"/>
      <c r="B674" s="137"/>
      <c r="C674" s="138"/>
      <c r="D674" s="150"/>
      <c r="E674" s="139"/>
      <c r="F674" s="140"/>
      <c r="G674" s="147"/>
      <c r="H674" s="147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</row>
    <row r="675" spans="1:26" ht="25.2">
      <c r="A675" s="140"/>
      <c r="B675" s="137"/>
      <c r="C675" s="138"/>
      <c r="D675" s="150"/>
      <c r="E675" s="139"/>
      <c r="F675" s="140"/>
      <c r="G675" s="149"/>
      <c r="H675" s="149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</row>
    <row r="676" spans="1:26" ht="25.2">
      <c r="A676" s="140"/>
      <c r="B676" s="137"/>
      <c r="C676" s="138"/>
      <c r="D676" s="150"/>
      <c r="E676" s="139"/>
      <c r="F676" s="140"/>
      <c r="G676" s="147"/>
      <c r="H676" s="147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</row>
    <row r="677" spans="1:26" ht="25.2">
      <c r="A677" s="140"/>
      <c r="B677" s="137"/>
      <c r="C677" s="138"/>
      <c r="D677" s="150"/>
      <c r="E677" s="139"/>
      <c r="F677" s="140"/>
      <c r="G677" s="149"/>
      <c r="H677" s="149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</row>
    <row r="678" spans="1:26" ht="25.2">
      <c r="A678" s="140"/>
      <c r="B678" s="137"/>
      <c r="C678" s="138"/>
      <c r="D678" s="150"/>
      <c r="E678" s="139"/>
      <c r="F678" s="140"/>
      <c r="G678" s="147"/>
      <c r="H678" s="147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</row>
    <row r="679" spans="1:26" ht="25.2">
      <c r="A679" s="140"/>
      <c r="B679" s="137"/>
      <c r="C679" s="138"/>
      <c r="D679" s="150"/>
      <c r="E679" s="139"/>
      <c r="F679" s="140"/>
      <c r="G679" s="149"/>
      <c r="H679" s="149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</row>
    <row r="680" spans="1:26" ht="25.2">
      <c r="A680" s="140"/>
      <c r="B680" s="137"/>
      <c r="C680" s="138"/>
      <c r="D680" s="150"/>
      <c r="E680" s="139"/>
      <c r="F680" s="140"/>
      <c r="G680" s="147"/>
      <c r="H680" s="147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</row>
    <row r="681" spans="1:26" ht="25.2">
      <c r="A681" s="140"/>
      <c r="B681" s="137"/>
      <c r="C681" s="138"/>
      <c r="D681" s="150"/>
      <c r="E681" s="139"/>
      <c r="F681" s="140"/>
      <c r="G681" s="149"/>
      <c r="H681" s="149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</row>
    <row r="682" spans="1:26" ht="25.2">
      <c r="A682" s="140"/>
      <c r="B682" s="137"/>
      <c r="C682" s="138"/>
      <c r="D682" s="150"/>
      <c r="E682" s="139"/>
      <c r="F682" s="140"/>
      <c r="G682" s="147"/>
      <c r="H682" s="147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</row>
    <row r="683" spans="1:26" ht="25.2">
      <c r="A683" s="140"/>
      <c r="B683" s="137"/>
      <c r="C683" s="138"/>
      <c r="D683" s="150"/>
      <c r="E683" s="139"/>
      <c r="F683" s="140"/>
      <c r="G683" s="149"/>
      <c r="H683" s="149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</row>
    <row r="684" spans="1:26" ht="25.2">
      <c r="A684" s="140"/>
      <c r="B684" s="137"/>
      <c r="C684" s="138"/>
      <c r="D684" s="150"/>
      <c r="E684" s="139"/>
      <c r="F684" s="140"/>
      <c r="G684" s="147"/>
      <c r="H684" s="147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</row>
    <row r="685" spans="1:26" ht="25.2">
      <c r="A685" s="140"/>
      <c r="B685" s="137"/>
      <c r="C685" s="138"/>
      <c r="D685" s="150"/>
      <c r="E685" s="139"/>
      <c r="F685" s="140"/>
      <c r="G685" s="149"/>
      <c r="H685" s="149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</row>
    <row r="686" spans="1:26" ht="25.2">
      <c r="A686" s="140"/>
      <c r="B686" s="137"/>
      <c r="C686" s="138"/>
      <c r="D686" s="150"/>
      <c r="E686" s="139"/>
      <c r="F686" s="140"/>
      <c r="G686" s="147"/>
      <c r="H686" s="147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</row>
    <row r="687" spans="1:26" ht="25.2">
      <c r="A687" s="140"/>
      <c r="B687" s="137"/>
      <c r="C687" s="138"/>
      <c r="D687" s="150"/>
      <c r="E687" s="139"/>
      <c r="F687" s="140"/>
      <c r="G687" s="149"/>
      <c r="H687" s="149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</row>
    <row r="688" spans="1:26" ht="25.2">
      <c r="A688" s="140"/>
      <c r="B688" s="137"/>
      <c r="C688" s="138"/>
      <c r="D688" s="150"/>
      <c r="E688" s="139"/>
      <c r="F688" s="140"/>
      <c r="G688" s="147"/>
      <c r="H688" s="147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</row>
    <row r="689" spans="1:26" ht="25.2">
      <c r="A689" s="140"/>
      <c r="B689" s="137"/>
      <c r="C689" s="138"/>
      <c r="D689" s="150"/>
      <c r="E689" s="139"/>
      <c r="F689" s="140"/>
      <c r="G689" s="149"/>
      <c r="H689" s="149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</row>
    <row r="690" spans="1:26" ht="25.2">
      <c r="A690" s="140"/>
      <c r="B690" s="137"/>
      <c r="C690" s="138"/>
      <c r="D690" s="150"/>
      <c r="E690" s="139"/>
      <c r="F690" s="140"/>
      <c r="G690" s="147"/>
      <c r="H690" s="147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</row>
    <row r="691" spans="1:26" ht="25.2">
      <c r="A691" s="140"/>
      <c r="B691" s="137"/>
      <c r="C691" s="138"/>
      <c r="D691" s="150"/>
      <c r="E691" s="139"/>
      <c r="F691" s="140"/>
      <c r="G691" s="149"/>
      <c r="H691" s="149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</row>
    <row r="692" spans="1:26" ht="25.2">
      <c r="A692" s="140"/>
      <c r="B692" s="137"/>
      <c r="C692" s="138"/>
      <c r="D692" s="150"/>
      <c r="E692" s="139"/>
      <c r="F692" s="140"/>
      <c r="G692" s="147"/>
      <c r="H692" s="147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</row>
    <row r="693" spans="1:26" ht="25.2">
      <c r="A693" s="140"/>
      <c r="B693" s="137"/>
      <c r="C693" s="138"/>
      <c r="D693" s="150"/>
      <c r="E693" s="139"/>
      <c r="F693" s="140"/>
      <c r="G693" s="149"/>
      <c r="H693" s="149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</row>
    <row r="694" spans="1:26" ht="25.2">
      <c r="A694" s="140"/>
      <c r="B694" s="137"/>
      <c r="C694" s="138"/>
      <c r="D694" s="150"/>
      <c r="E694" s="139"/>
      <c r="F694" s="140"/>
      <c r="G694" s="147"/>
      <c r="H694" s="147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</row>
    <row r="695" spans="1:26" ht="25.2">
      <c r="A695" s="140"/>
      <c r="B695" s="137"/>
      <c r="C695" s="138"/>
      <c r="D695" s="150"/>
      <c r="E695" s="139"/>
      <c r="F695" s="140"/>
      <c r="G695" s="149"/>
      <c r="H695" s="149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</row>
    <row r="696" spans="1:26" ht="25.2">
      <c r="A696" s="140"/>
      <c r="B696" s="137"/>
      <c r="C696" s="138"/>
      <c r="D696" s="150"/>
      <c r="E696" s="139"/>
      <c r="F696" s="140"/>
      <c r="G696" s="147"/>
      <c r="H696" s="147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</row>
    <row r="697" spans="1:26" ht="25.2">
      <c r="A697" s="140"/>
      <c r="B697" s="137"/>
      <c r="C697" s="138"/>
      <c r="D697" s="150"/>
      <c r="E697" s="139"/>
      <c r="F697" s="140"/>
      <c r="G697" s="149"/>
      <c r="H697" s="149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</row>
    <row r="698" spans="1:26" ht="25.2">
      <c r="A698" s="140"/>
      <c r="B698" s="137"/>
      <c r="C698" s="138"/>
      <c r="D698" s="150"/>
      <c r="E698" s="139"/>
      <c r="F698" s="140"/>
      <c r="G698" s="147"/>
      <c r="H698" s="147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</row>
    <row r="699" spans="1:26" ht="25.2">
      <c r="A699" s="140"/>
      <c r="B699" s="137"/>
      <c r="C699" s="138"/>
      <c r="D699" s="150"/>
      <c r="E699" s="139"/>
      <c r="F699" s="140"/>
      <c r="G699" s="149"/>
      <c r="H699" s="149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</row>
    <row r="700" spans="1:26" ht="25.2">
      <c r="A700" s="140"/>
      <c r="B700" s="137"/>
      <c r="C700" s="138"/>
      <c r="D700" s="150"/>
      <c r="E700" s="139"/>
      <c r="F700" s="140"/>
      <c r="G700" s="147"/>
      <c r="H700" s="147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</row>
    <row r="701" spans="1:26" ht="25.2">
      <c r="A701" s="140"/>
      <c r="B701" s="137"/>
      <c r="C701" s="138"/>
      <c r="D701" s="150"/>
      <c r="E701" s="139"/>
      <c r="F701" s="140"/>
      <c r="G701" s="149"/>
      <c r="H701" s="149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</row>
    <row r="702" spans="1:26" ht="25.2">
      <c r="A702" s="140"/>
      <c r="B702" s="137"/>
      <c r="C702" s="138"/>
      <c r="D702" s="150"/>
      <c r="E702" s="139"/>
      <c r="F702" s="140"/>
      <c r="G702" s="147"/>
      <c r="H702" s="147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</row>
    <row r="703" spans="1:26" ht="25.2">
      <c r="A703" s="140"/>
      <c r="B703" s="137"/>
      <c r="C703" s="138"/>
      <c r="D703" s="150"/>
      <c r="E703" s="139"/>
      <c r="F703" s="140"/>
      <c r="G703" s="149"/>
      <c r="H703" s="149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</row>
    <row r="704" spans="1:26" ht="25.2">
      <c r="A704" s="140"/>
      <c r="B704" s="137"/>
      <c r="C704" s="138"/>
      <c r="D704" s="150"/>
      <c r="E704" s="139"/>
      <c r="F704" s="140"/>
      <c r="G704" s="147"/>
      <c r="H704" s="147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</row>
    <row r="705" spans="1:26" ht="25.2">
      <c r="A705" s="140"/>
      <c r="B705" s="137"/>
      <c r="C705" s="138"/>
      <c r="D705" s="150"/>
      <c r="E705" s="139"/>
      <c r="F705" s="140"/>
      <c r="G705" s="149"/>
      <c r="H705" s="149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</row>
    <row r="706" spans="1:26" ht="25.2">
      <c r="A706" s="140"/>
      <c r="B706" s="137"/>
      <c r="C706" s="138"/>
      <c r="D706" s="150"/>
      <c r="E706" s="139"/>
      <c r="F706" s="140"/>
      <c r="G706" s="147"/>
      <c r="H706" s="147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</row>
    <row r="707" spans="1:26" ht="25.2">
      <c r="A707" s="140"/>
      <c r="B707" s="137"/>
      <c r="C707" s="138"/>
      <c r="D707" s="150"/>
      <c r="E707" s="139"/>
      <c r="F707" s="140"/>
      <c r="G707" s="149"/>
      <c r="H707" s="149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</row>
    <row r="708" spans="1:26" ht="25.2">
      <c r="A708" s="140"/>
      <c r="B708" s="137"/>
      <c r="C708" s="138"/>
      <c r="D708" s="150"/>
      <c r="E708" s="139"/>
      <c r="F708" s="140"/>
      <c r="G708" s="147"/>
      <c r="H708" s="147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</row>
    <row r="709" spans="1:26" ht="25.2">
      <c r="A709" s="140"/>
      <c r="B709" s="137"/>
      <c r="C709" s="138"/>
      <c r="D709" s="150"/>
      <c r="E709" s="139"/>
      <c r="F709" s="140"/>
      <c r="G709" s="149"/>
      <c r="H709" s="149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</row>
    <row r="710" spans="1:26" ht="25.2">
      <c r="A710" s="140"/>
      <c r="B710" s="137"/>
      <c r="C710" s="138"/>
      <c r="D710" s="150"/>
      <c r="E710" s="139"/>
      <c r="F710" s="140"/>
      <c r="G710" s="147"/>
      <c r="H710" s="147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</row>
    <row r="711" spans="1:26" ht="25.2">
      <c r="A711" s="140"/>
      <c r="B711" s="137"/>
      <c r="C711" s="138"/>
      <c r="D711" s="150"/>
      <c r="E711" s="139"/>
      <c r="F711" s="140"/>
      <c r="G711" s="149"/>
      <c r="H711" s="149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</row>
    <row r="712" spans="1:26" ht="25.2">
      <c r="A712" s="140"/>
      <c r="B712" s="137"/>
      <c r="C712" s="138"/>
      <c r="D712" s="150"/>
      <c r="E712" s="139"/>
      <c r="F712" s="140"/>
      <c r="G712" s="147"/>
      <c r="H712" s="147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</row>
    <row r="713" spans="1:26" ht="25.2">
      <c r="A713" s="140"/>
      <c r="B713" s="137"/>
      <c r="C713" s="138"/>
      <c r="D713" s="150"/>
      <c r="E713" s="139"/>
      <c r="F713" s="140"/>
      <c r="G713" s="149"/>
      <c r="H713" s="149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</row>
    <row r="714" spans="1:26" ht="25.2">
      <c r="A714" s="140"/>
      <c r="B714" s="137"/>
      <c r="C714" s="138"/>
      <c r="D714" s="150"/>
      <c r="E714" s="139"/>
      <c r="F714" s="140"/>
      <c r="G714" s="147"/>
      <c r="H714" s="147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</row>
    <row r="715" spans="1:26" ht="25.2">
      <c r="A715" s="140"/>
      <c r="B715" s="137"/>
      <c r="C715" s="138"/>
      <c r="D715" s="150"/>
      <c r="E715" s="139"/>
      <c r="F715" s="140"/>
      <c r="G715" s="149"/>
      <c r="H715" s="149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</row>
    <row r="716" spans="1:26" ht="25.2">
      <c r="A716" s="140"/>
      <c r="B716" s="137"/>
      <c r="C716" s="138"/>
      <c r="D716" s="150"/>
      <c r="E716" s="139"/>
      <c r="F716" s="140"/>
      <c r="G716" s="147"/>
      <c r="H716" s="147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</row>
    <row r="717" spans="1:26" ht="25.2">
      <c r="A717" s="140"/>
      <c r="B717" s="137"/>
      <c r="C717" s="138"/>
      <c r="D717" s="150"/>
      <c r="E717" s="139"/>
      <c r="F717" s="140"/>
      <c r="G717" s="149"/>
      <c r="H717" s="149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</row>
    <row r="718" spans="1:26" ht="25.2">
      <c r="A718" s="140"/>
      <c r="B718" s="137"/>
      <c r="C718" s="138"/>
      <c r="D718" s="150"/>
      <c r="E718" s="139"/>
      <c r="F718" s="140"/>
      <c r="G718" s="147"/>
      <c r="H718" s="147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</row>
    <row r="719" spans="1:26" ht="25.2">
      <c r="A719" s="140"/>
      <c r="B719" s="137"/>
      <c r="C719" s="138"/>
      <c r="D719" s="150"/>
      <c r="E719" s="139"/>
      <c r="F719" s="140"/>
      <c r="G719" s="149"/>
      <c r="H719" s="149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</row>
    <row r="720" spans="1:26" ht="25.2">
      <c r="A720" s="140"/>
      <c r="B720" s="137"/>
      <c r="C720" s="138"/>
      <c r="D720" s="150"/>
      <c r="E720" s="139"/>
      <c r="F720" s="140"/>
      <c r="G720" s="147"/>
      <c r="H720" s="147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</row>
    <row r="721" spans="1:26" ht="25.2">
      <c r="A721" s="140"/>
      <c r="B721" s="137"/>
      <c r="C721" s="138"/>
      <c r="D721" s="150"/>
      <c r="E721" s="139"/>
      <c r="F721" s="140"/>
      <c r="G721" s="149"/>
      <c r="H721" s="149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</row>
    <row r="722" spans="1:26" ht="25.2">
      <c r="A722" s="140"/>
      <c r="B722" s="137"/>
      <c r="C722" s="138"/>
      <c r="D722" s="150"/>
      <c r="E722" s="139"/>
      <c r="F722" s="140"/>
      <c r="G722" s="147"/>
      <c r="H722" s="147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</row>
    <row r="723" spans="1:26" ht="25.2">
      <c r="A723" s="140"/>
      <c r="B723" s="137"/>
      <c r="C723" s="138"/>
      <c r="D723" s="150"/>
      <c r="E723" s="139"/>
      <c r="F723" s="140"/>
      <c r="G723" s="149"/>
      <c r="H723" s="149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</row>
    <row r="724" spans="1:26" ht="25.2">
      <c r="A724" s="140"/>
      <c r="B724" s="137"/>
      <c r="C724" s="138"/>
      <c r="D724" s="150"/>
      <c r="E724" s="139"/>
      <c r="F724" s="140"/>
      <c r="G724" s="147"/>
      <c r="H724" s="147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</row>
    <row r="725" spans="1:26" ht="25.2">
      <c r="A725" s="140"/>
      <c r="B725" s="137"/>
      <c r="C725" s="138"/>
      <c r="D725" s="150"/>
      <c r="E725" s="139"/>
      <c r="F725" s="140"/>
      <c r="G725" s="149"/>
      <c r="H725" s="149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</row>
    <row r="726" spans="1:26" ht="25.2">
      <c r="A726" s="140"/>
      <c r="B726" s="137"/>
      <c r="C726" s="138"/>
      <c r="D726" s="150"/>
      <c r="E726" s="139"/>
      <c r="F726" s="140"/>
      <c r="G726" s="147"/>
      <c r="H726" s="147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</row>
    <row r="727" spans="1:26" ht="25.2">
      <c r="A727" s="140"/>
      <c r="B727" s="137"/>
      <c r="C727" s="138"/>
      <c r="D727" s="150"/>
      <c r="E727" s="139"/>
      <c r="F727" s="140"/>
      <c r="G727" s="149"/>
      <c r="H727" s="149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</row>
    <row r="728" spans="1:26" ht="25.2">
      <c r="A728" s="140"/>
      <c r="B728" s="137"/>
      <c r="C728" s="138"/>
      <c r="D728" s="150"/>
      <c r="E728" s="139"/>
      <c r="F728" s="140"/>
      <c r="G728" s="147"/>
      <c r="H728" s="147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</row>
    <row r="729" spans="1:26" ht="25.2">
      <c r="A729" s="140"/>
      <c r="B729" s="137"/>
      <c r="C729" s="138"/>
      <c r="D729" s="150"/>
      <c r="E729" s="139"/>
      <c r="F729" s="140"/>
      <c r="G729" s="149"/>
      <c r="H729" s="149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</row>
    <row r="730" spans="1:26" ht="25.2">
      <c r="A730" s="140"/>
      <c r="B730" s="137"/>
      <c r="C730" s="138"/>
      <c r="D730" s="150"/>
      <c r="E730" s="139"/>
      <c r="F730" s="140"/>
      <c r="G730" s="147"/>
      <c r="H730" s="147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</row>
    <row r="731" spans="1:26" ht="25.2">
      <c r="A731" s="140"/>
      <c r="B731" s="137"/>
      <c r="C731" s="138"/>
      <c r="D731" s="150"/>
      <c r="E731" s="139"/>
      <c r="F731" s="140"/>
      <c r="G731" s="149"/>
      <c r="H731" s="149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</row>
    <row r="732" spans="1:26" ht="25.2">
      <c r="A732" s="140"/>
      <c r="B732" s="137"/>
      <c r="C732" s="138"/>
      <c r="D732" s="150"/>
      <c r="E732" s="139"/>
      <c r="F732" s="140"/>
      <c r="G732" s="147"/>
      <c r="H732" s="147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</row>
    <row r="733" spans="1:26" ht="25.2">
      <c r="A733" s="140"/>
      <c r="B733" s="137"/>
      <c r="C733" s="138"/>
      <c r="D733" s="150"/>
      <c r="E733" s="139"/>
      <c r="F733" s="140"/>
      <c r="G733" s="149"/>
      <c r="H733" s="149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</row>
    <row r="734" spans="1:26" ht="25.2">
      <c r="A734" s="140"/>
      <c r="B734" s="137"/>
      <c r="C734" s="138"/>
      <c r="D734" s="150"/>
      <c r="E734" s="139"/>
      <c r="F734" s="140"/>
      <c r="G734" s="147"/>
      <c r="H734" s="147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</row>
    <row r="735" spans="1:26" ht="25.2">
      <c r="A735" s="140"/>
      <c r="B735" s="137"/>
      <c r="C735" s="138"/>
      <c r="D735" s="150"/>
      <c r="E735" s="139"/>
      <c r="F735" s="140"/>
      <c r="G735" s="149"/>
      <c r="H735" s="149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</row>
    <row r="736" spans="1:26" ht="25.2">
      <c r="A736" s="140"/>
      <c r="B736" s="137"/>
      <c r="C736" s="138"/>
      <c r="D736" s="150"/>
      <c r="E736" s="139"/>
      <c r="F736" s="140"/>
      <c r="G736" s="147"/>
      <c r="H736" s="147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</row>
    <row r="737" spans="1:26" ht="25.2">
      <c r="A737" s="140"/>
      <c r="B737" s="137"/>
      <c r="C737" s="138"/>
      <c r="D737" s="150"/>
      <c r="E737" s="139"/>
      <c r="F737" s="140"/>
      <c r="G737" s="149"/>
      <c r="H737" s="149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</row>
    <row r="738" spans="1:26" ht="25.2">
      <c r="A738" s="140"/>
      <c r="B738" s="137"/>
      <c r="C738" s="138"/>
      <c r="D738" s="150"/>
      <c r="E738" s="139"/>
      <c r="F738" s="140"/>
      <c r="G738" s="147"/>
      <c r="H738" s="147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</row>
    <row r="739" spans="1:26" ht="25.2">
      <c r="A739" s="140"/>
      <c r="B739" s="137"/>
      <c r="C739" s="138"/>
      <c r="D739" s="150"/>
      <c r="E739" s="139"/>
      <c r="F739" s="140"/>
      <c r="G739" s="149"/>
      <c r="H739" s="149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</row>
    <row r="740" spans="1:26" ht="25.2">
      <c r="A740" s="140"/>
      <c r="B740" s="137"/>
      <c r="C740" s="138"/>
      <c r="D740" s="150"/>
      <c r="E740" s="139"/>
      <c r="F740" s="140"/>
      <c r="G740" s="147"/>
      <c r="H740" s="147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</row>
    <row r="741" spans="1:26" ht="25.2">
      <c r="A741" s="140"/>
      <c r="B741" s="137"/>
      <c r="C741" s="138"/>
      <c r="D741" s="150"/>
      <c r="E741" s="139"/>
      <c r="F741" s="140"/>
      <c r="G741" s="149"/>
      <c r="H741" s="149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</row>
    <row r="742" spans="1:26" ht="25.2">
      <c r="A742" s="140"/>
      <c r="B742" s="137"/>
      <c r="C742" s="138"/>
      <c r="D742" s="150"/>
      <c r="E742" s="139"/>
      <c r="F742" s="140"/>
      <c r="G742" s="147"/>
      <c r="H742" s="147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</row>
    <row r="743" spans="1:26" ht="25.2">
      <c r="A743" s="140"/>
      <c r="B743" s="137"/>
      <c r="C743" s="138"/>
      <c r="D743" s="150"/>
      <c r="E743" s="139"/>
      <c r="F743" s="140"/>
      <c r="G743" s="149"/>
      <c r="H743" s="149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</row>
    <row r="744" spans="1:26" ht="25.2">
      <c r="A744" s="140"/>
      <c r="B744" s="137"/>
      <c r="C744" s="138"/>
      <c r="D744" s="150"/>
      <c r="E744" s="139"/>
      <c r="F744" s="140"/>
      <c r="G744" s="147"/>
      <c r="H744" s="147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</row>
    <row r="745" spans="1:26" ht="25.2">
      <c r="A745" s="140"/>
      <c r="B745" s="137"/>
      <c r="C745" s="138"/>
      <c r="D745" s="150"/>
      <c r="E745" s="139"/>
      <c r="F745" s="140"/>
      <c r="G745" s="149"/>
      <c r="H745" s="149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</row>
    <row r="746" spans="1:26" ht="25.2">
      <c r="A746" s="140"/>
      <c r="B746" s="137"/>
      <c r="C746" s="138"/>
      <c r="D746" s="150"/>
      <c r="E746" s="139"/>
      <c r="F746" s="140"/>
      <c r="G746" s="147"/>
      <c r="H746" s="147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</row>
    <row r="747" spans="1:26" ht="25.2">
      <c r="A747" s="140"/>
      <c r="B747" s="137"/>
      <c r="C747" s="138"/>
      <c r="D747" s="150"/>
      <c r="E747" s="139"/>
      <c r="F747" s="140"/>
      <c r="G747" s="149"/>
      <c r="H747" s="149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</row>
    <row r="748" spans="1:26" ht="25.2">
      <c r="A748" s="140"/>
      <c r="B748" s="137"/>
      <c r="C748" s="138"/>
      <c r="D748" s="150"/>
      <c r="E748" s="139"/>
      <c r="F748" s="140"/>
      <c r="G748" s="147"/>
      <c r="H748" s="147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</row>
    <row r="749" spans="1:26" ht="25.2">
      <c r="A749" s="140"/>
      <c r="B749" s="137"/>
      <c r="C749" s="138"/>
      <c r="D749" s="150"/>
      <c r="E749" s="139"/>
      <c r="F749" s="140"/>
      <c r="G749" s="149"/>
      <c r="H749" s="149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</row>
    <row r="750" spans="1:26" ht="25.2">
      <c r="A750" s="140"/>
      <c r="B750" s="137"/>
      <c r="C750" s="138"/>
      <c r="D750" s="150"/>
      <c r="E750" s="139"/>
      <c r="F750" s="140"/>
      <c r="G750" s="147"/>
      <c r="H750" s="147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</row>
    <row r="751" spans="1:26" ht="25.2">
      <c r="A751" s="140"/>
      <c r="B751" s="137"/>
      <c r="C751" s="138"/>
      <c r="D751" s="150"/>
      <c r="E751" s="139"/>
      <c r="F751" s="140"/>
      <c r="G751" s="149"/>
      <c r="H751" s="149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</row>
    <row r="752" spans="1:26" ht="25.2">
      <c r="A752" s="140"/>
      <c r="B752" s="137"/>
      <c r="C752" s="138"/>
      <c r="D752" s="150"/>
      <c r="E752" s="139"/>
      <c r="F752" s="140"/>
      <c r="G752" s="147"/>
      <c r="H752" s="147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</row>
    <row r="753" spans="1:26" ht="25.2">
      <c r="A753" s="140"/>
      <c r="B753" s="137"/>
      <c r="C753" s="138"/>
      <c r="D753" s="150"/>
      <c r="E753" s="139"/>
      <c r="F753" s="140"/>
      <c r="G753" s="149"/>
      <c r="H753" s="149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</row>
    <row r="754" spans="1:26" ht="25.2">
      <c r="A754" s="140"/>
      <c r="B754" s="137"/>
      <c r="C754" s="138"/>
      <c r="D754" s="150"/>
      <c r="E754" s="139"/>
      <c r="F754" s="140"/>
      <c r="G754" s="147"/>
      <c r="H754" s="147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</row>
    <row r="755" spans="1:26" ht="25.2">
      <c r="A755" s="140"/>
      <c r="B755" s="137"/>
      <c r="C755" s="138"/>
      <c r="D755" s="150"/>
      <c r="E755" s="139"/>
      <c r="F755" s="140"/>
      <c r="G755" s="149"/>
      <c r="H755" s="149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</row>
    <row r="756" spans="1:26" ht="25.2">
      <c r="A756" s="140"/>
      <c r="B756" s="137"/>
      <c r="C756" s="138"/>
      <c r="D756" s="150"/>
      <c r="E756" s="139"/>
      <c r="F756" s="140"/>
      <c r="G756" s="147"/>
      <c r="H756" s="147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</row>
    <row r="757" spans="1:26" ht="25.2">
      <c r="A757" s="140"/>
      <c r="B757" s="137"/>
      <c r="C757" s="138"/>
      <c r="D757" s="150"/>
      <c r="E757" s="139"/>
      <c r="F757" s="140"/>
      <c r="G757" s="149"/>
      <c r="H757" s="149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</row>
    <row r="758" spans="1:26" ht="25.2">
      <c r="A758" s="140"/>
      <c r="B758" s="137"/>
      <c r="C758" s="138"/>
      <c r="D758" s="150"/>
      <c r="E758" s="139"/>
      <c r="F758" s="140"/>
      <c r="G758" s="147"/>
      <c r="H758" s="147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</row>
    <row r="759" spans="1:26" ht="25.2">
      <c r="A759" s="140"/>
      <c r="B759" s="137"/>
      <c r="C759" s="138"/>
      <c r="D759" s="150"/>
      <c r="E759" s="139"/>
      <c r="F759" s="140"/>
      <c r="G759" s="149"/>
      <c r="H759" s="149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</row>
    <row r="760" spans="1:26" ht="25.2">
      <c r="A760" s="140"/>
      <c r="B760" s="137"/>
      <c r="C760" s="138"/>
      <c r="D760" s="150"/>
      <c r="E760" s="139"/>
      <c r="F760" s="140"/>
      <c r="G760" s="147"/>
      <c r="H760" s="147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</row>
    <row r="761" spans="1:26" ht="25.2">
      <c r="A761" s="140"/>
      <c r="B761" s="137"/>
      <c r="C761" s="138"/>
      <c r="D761" s="150"/>
      <c r="E761" s="139"/>
      <c r="F761" s="140"/>
      <c r="G761" s="149"/>
      <c r="H761" s="149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</row>
    <row r="762" spans="1:26" ht="25.2">
      <c r="A762" s="140"/>
      <c r="B762" s="137"/>
      <c r="C762" s="138"/>
      <c r="D762" s="150"/>
      <c r="E762" s="139"/>
      <c r="F762" s="140"/>
      <c r="G762" s="147"/>
      <c r="H762" s="147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</row>
    <row r="763" spans="1:26" ht="25.2">
      <c r="A763" s="140"/>
      <c r="B763" s="137"/>
      <c r="C763" s="138"/>
      <c r="D763" s="150"/>
      <c r="E763" s="139"/>
      <c r="F763" s="140"/>
      <c r="G763" s="149"/>
      <c r="H763" s="149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</row>
    <row r="764" spans="1:26" ht="25.2">
      <c r="A764" s="140"/>
      <c r="B764" s="137"/>
      <c r="C764" s="138"/>
      <c r="D764" s="150"/>
      <c r="E764" s="139"/>
      <c r="F764" s="140"/>
      <c r="G764" s="147"/>
      <c r="H764" s="147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</row>
    <row r="765" spans="1:26" ht="25.2">
      <c r="A765" s="140"/>
      <c r="B765" s="137"/>
      <c r="C765" s="138"/>
      <c r="D765" s="150"/>
      <c r="E765" s="139"/>
      <c r="F765" s="140"/>
      <c r="G765" s="149"/>
      <c r="H765" s="149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</row>
    <row r="766" spans="1:26" ht="25.2">
      <c r="A766" s="140"/>
      <c r="B766" s="137"/>
      <c r="C766" s="138"/>
      <c r="D766" s="150"/>
      <c r="E766" s="139"/>
      <c r="F766" s="140"/>
      <c r="G766" s="147"/>
      <c r="H766" s="147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</row>
    <row r="767" spans="1:26" ht="25.2">
      <c r="A767" s="140"/>
      <c r="B767" s="137"/>
      <c r="C767" s="138"/>
      <c r="D767" s="150"/>
      <c r="E767" s="139"/>
      <c r="F767" s="140"/>
      <c r="G767" s="149"/>
      <c r="H767" s="149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</row>
    <row r="768" spans="1:26" ht="25.2">
      <c r="A768" s="140"/>
      <c r="B768" s="137"/>
      <c r="C768" s="138"/>
      <c r="D768" s="150"/>
      <c r="E768" s="139"/>
      <c r="F768" s="140"/>
      <c r="G768" s="147"/>
      <c r="H768" s="147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</row>
    <row r="769" spans="1:26" ht="25.2">
      <c r="A769" s="140"/>
      <c r="B769" s="137"/>
      <c r="C769" s="138"/>
      <c r="D769" s="150"/>
      <c r="E769" s="139"/>
      <c r="F769" s="140"/>
      <c r="G769" s="149"/>
      <c r="H769" s="149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</row>
    <row r="770" spans="1:26" ht="25.2">
      <c r="A770" s="140"/>
      <c r="B770" s="137"/>
      <c r="C770" s="138"/>
      <c r="D770" s="150"/>
      <c r="E770" s="139"/>
      <c r="F770" s="140"/>
      <c r="G770" s="147"/>
      <c r="H770" s="147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</row>
    <row r="771" spans="1:26" ht="25.2">
      <c r="A771" s="140"/>
      <c r="B771" s="137"/>
      <c r="C771" s="138"/>
      <c r="D771" s="150"/>
      <c r="E771" s="139"/>
      <c r="F771" s="140"/>
      <c r="G771" s="149"/>
      <c r="H771" s="149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</row>
    <row r="772" spans="1:26" ht="25.2">
      <c r="A772" s="140"/>
      <c r="B772" s="137"/>
      <c r="C772" s="138"/>
      <c r="D772" s="150"/>
      <c r="E772" s="139"/>
      <c r="F772" s="140"/>
      <c r="G772" s="147"/>
      <c r="H772" s="147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</row>
    <row r="773" spans="1:26" ht="25.2">
      <c r="A773" s="140"/>
      <c r="B773" s="137"/>
      <c r="C773" s="138"/>
      <c r="D773" s="150"/>
      <c r="E773" s="139"/>
      <c r="F773" s="140"/>
      <c r="G773" s="149"/>
      <c r="H773" s="149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</row>
    <row r="774" spans="1:26" ht="25.2">
      <c r="A774" s="140"/>
      <c r="B774" s="137"/>
      <c r="C774" s="138"/>
      <c r="D774" s="150"/>
      <c r="E774" s="139"/>
      <c r="F774" s="140"/>
      <c r="G774" s="147"/>
      <c r="H774" s="147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</row>
    <row r="775" spans="1:26" ht="25.2">
      <c r="A775" s="140"/>
      <c r="B775" s="137"/>
      <c r="C775" s="138"/>
      <c r="D775" s="150"/>
      <c r="E775" s="139"/>
      <c r="F775" s="140"/>
      <c r="G775" s="149"/>
      <c r="H775" s="149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</row>
    <row r="776" spans="1:26" ht="25.2">
      <c r="A776" s="140"/>
      <c r="B776" s="137"/>
      <c r="C776" s="138"/>
      <c r="D776" s="150"/>
      <c r="E776" s="139"/>
      <c r="F776" s="140"/>
      <c r="G776" s="147"/>
      <c r="H776" s="147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</row>
    <row r="777" spans="1:26" ht="25.2">
      <c r="A777" s="140"/>
      <c r="B777" s="137"/>
      <c r="C777" s="138"/>
      <c r="D777" s="150"/>
      <c r="E777" s="139"/>
      <c r="F777" s="140"/>
      <c r="G777" s="149"/>
      <c r="H777" s="149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</row>
    <row r="778" spans="1:26" ht="25.2">
      <c r="A778" s="140"/>
      <c r="B778" s="137"/>
      <c r="C778" s="138"/>
      <c r="D778" s="150"/>
      <c r="E778" s="139"/>
      <c r="F778" s="140"/>
      <c r="G778" s="147"/>
      <c r="H778" s="147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</row>
    <row r="779" spans="1:26" ht="25.2">
      <c r="A779" s="140"/>
      <c r="B779" s="137"/>
      <c r="C779" s="138"/>
      <c r="D779" s="150"/>
      <c r="E779" s="139"/>
      <c r="F779" s="140"/>
      <c r="G779" s="149"/>
      <c r="H779" s="149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</row>
    <row r="780" spans="1:26" ht="25.2">
      <c r="A780" s="140"/>
      <c r="B780" s="137"/>
      <c r="C780" s="138"/>
      <c r="D780" s="150"/>
      <c r="E780" s="139"/>
      <c r="F780" s="140"/>
      <c r="G780" s="147"/>
      <c r="H780" s="147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</row>
    <row r="781" spans="1:26" ht="25.2">
      <c r="A781" s="140"/>
      <c r="B781" s="137"/>
      <c r="C781" s="138"/>
      <c r="D781" s="150"/>
      <c r="E781" s="139"/>
      <c r="F781" s="140"/>
      <c r="G781" s="149"/>
      <c r="H781" s="149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</row>
    <row r="782" spans="1:26" ht="25.2">
      <c r="A782" s="140"/>
      <c r="B782" s="137"/>
      <c r="C782" s="138"/>
      <c r="D782" s="150"/>
      <c r="E782" s="139"/>
      <c r="F782" s="140"/>
      <c r="G782" s="147"/>
      <c r="H782" s="147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</row>
    <row r="783" spans="1:26" ht="25.2">
      <c r="A783" s="140"/>
      <c r="B783" s="137"/>
      <c r="C783" s="138"/>
      <c r="D783" s="150"/>
      <c r="E783" s="139"/>
      <c r="F783" s="140"/>
      <c r="G783" s="149"/>
      <c r="H783" s="149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</row>
    <row r="784" spans="1:26" ht="25.2">
      <c r="A784" s="140"/>
      <c r="B784" s="137"/>
      <c r="C784" s="138"/>
      <c r="D784" s="150"/>
      <c r="E784" s="139"/>
      <c r="F784" s="140"/>
      <c r="G784" s="147"/>
      <c r="H784" s="147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</row>
    <row r="785" spans="1:26" ht="25.2">
      <c r="A785" s="140"/>
      <c r="B785" s="137"/>
      <c r="C785" s="138"/>
      <c r="D785" s="150"/>
      <c r="E785" s="139"/>
      <c r="F785" s="140"/>
      <c r="G785" s="149"/>
      <c r="H785" s="149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</row>
    <row r="786" spans="1:26" ht="25.2">
      <c r="A786" s="140"/>
      <c r="B786" s="137"/>
      <c r="C786" s="138"/>
      <c r="D786" s="150"/>
      <c r="E786" s="139"/>
      <c r="F786" s="140"/>
      <c r="G786" s="147"/>
      <c r="H786" s="147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</row>
    <row r="787" spans="1:26" ht="25.2">
      <c r="A787" s="140"/>
      <c r="B787" s="137"/>
      <c r="C787" s="138"/>
      <c r="D787" s="150"/>
      <c r="E787" s="139"/>
      <c r="F787" s="140"/>
      <c r="G787" s="149"/>
      <c r="H787" s="149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</row>
    <row r="788" spans="1:26" ht="25.2">
      <c r="A788" s="140"/>
      <c r="B788" s="137"/>
      <c r="C788" s="138"/>
      <c r="D788" s="150"/>
      <c r="E788" s="139"/>
      <c r="F788" s="140"/>
      <c r="G788" s="147"/>
      <c r="H788" s="147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</row>
    <row r="789" spans="1:26" ht="25.2">
      <c r="A789" s="140"/>
      <c r="B789" s="137"/>
      <c r="C789" s="138"/>
      <c r="D789" s="150"/>
      <c r="E789" s="139"/>
      <c r="F789" s="140"/>
      <c r="G789" s="149"/>
      <c r="H789" s="149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</row>
    <row r="790" spans="1:26" ht="25.2">
      <c r="A790" s="140"/>
      <c r="B790" s="137"/>
      <c r="C790" s="138"/>
      <c r="D790" s="150"/>
      <c r="E790" s="139"/>
      <c r="F790" s="140"/>
      <c r="G790" s="147"/>
      <c r="H790" s="147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</row>
    <row r="791" spans="1:26" ht="25.2">
      <c r="A791" s="140"/>
      <c r="B791" s="137"/>
      <c r="C791" s="138"/>
      <c r="D791" s="150"/>
      <c r="E791" s="139"/>
      <c r="F791" s="140"/>
      <c r="G791" s="149"/>
      <c r="H791" s="149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</row>
    <row r="792" spans="1:26" ht="25.2">
      <c r="A792" s="140"/>
      <c r="B792" s="137"/>
      <c r="C792" s="138"/>
      <c r="D792" s="150"/>
      <c r="E792" s="139"/>
      <c r="F792" s="140"/>
      <c r="G792" s="147"/>
      <c r="H792" s="147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</row>
    <row r="793" spans="1:26" ht="25.2">
      <c r="A793" s="140"/>
      <c r="B793" s="137"/>
      <c r="C793" s="138"/>
      <c r="D793" s="150"/>
      <c r="E793" s="139"/>
      <c r="F793" s="140"/>
      <c r="G793" s="149"/>
      <c r="H793" s="149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</row>
    <row r="794" spans="1:26" ht="25.2">
      <c r="A794" s="140"/>
      <c r="B794" s="137"/>
      <c r="C794" s="138"/>
      <c r="D794" s="150"/>
      <c r="E794" s="139"/>
      <c r="F794" s="140"/>
      <c r="G794" s="147"/>
      <c r="H794" s="147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</row>
    <row r="795" spans="1:26" ht="25.2">
      <c r="A795" s="140"/>
      <c r="B795" s="137"/>
      <c r="C795" s="138"/>
      <c r="D795" s="150"/>
      <c r="E795" s="139"/>
      <c r="F795" s="140"/>
      <c r="G795" s="149"/>
      <c r="H795" s="149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</row>
    <row r="796" spans="1:26" ht="25.2">
      <c r="A796" s="140"/>
      <c r="B796" s="137"/>
      <c r="C796" s="138"/>
      <c r="D796" s="150"/>
      <c r="E796" s="139"/>
      <c r="F796" s="140"/>
      <c r="G796" s="147"/>
      <c r="H796" s="147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</row>
    <row r="797" spans="1:26" ht="25.2">
      <c r="A797" s="140"/>
      <c r="B797" s="137"/>
      <c r="C797" s="138"/>
      <c r="D797" s="150"/>
      <c r="E797" s="139"/>
      <c r="F797" s="140"/>
      <c r="G797" s="149"/>
      <c r="H797" s="149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</row>
    <row r="798" spans="1:26" ht="25.2">
      <c r="A798" s="140"/>
      <c r="B798" s="137"/>
      <c r="C798" s="138"/>
      <c r="D798" s="150"/>
      <c r="E798" s="139"/>
      <c r="F798" s="140"/>
      <c r="G798" s="147"/>
      <c r="H798" s="147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</row>
    <row r="799" spans="1:26" ht="25.2">
      <c r="A799" s="140"/>
      <c r="B799" s="137"/>
      <c r="C799" s="138"/>
      <c r="D799" s="150"/>
      <c r="E799" s="139"/>
      <c r="F799" s="140"/>
      <c r="G799" s="149"/>
      <c r="H799" s="149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</row>
    <row r="800" spans="1:26" ht="25.2">
      <c r="A800" s="140"/>
      <c r="B800" s="137"/>
      <c r="C800" s="138"/>
      <c r="D800" s="150"/>
      <c r="E800" s="139"/>
      <c r="F800" s="140"/>
      <c r="G800" s="147"/>
      <c r="H800" s="147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</row>
    <row r="801" spans="1:26" ht="25.2">
      <c r="A801" s="140"/>
      <c r="B801" s="137"/>
      <c r="C801" s="138"/>
      <c r="D801" s="150"/>
      <c r="E801" s="139"/>
      <c r="F801" s="140"/>
      <c r="G801" s="149"/>
      <c r="H801" s="149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</row>
    <row r="802" spans="1:26" ht="25.2">
      <c r="A802" s="140"/>
      <c r="B802" s="137"/>
      <c r="C802" s="138"/>
      <c r="D802" s="150"/>
      <c r="E802" s="139"/>
      <c r="F802" s="140"/>
      <c r="G802" s="147"/>
      <c r="H802" s="147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</row>
    <row r="803" spans="1:26" ht="25.2">
      <c r="A803" s="140"/>
      <c r="B803" s="137"/>
      <c r="C803" s="138"/>
      <c r="D803" s="150"/>
      <c r="E803" s="139"/>
      <c r="F803" s="140"/>
      <c r="G803" s="149"/>
      <c r="H803" s="149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</row>
    <row r="804" spans="1:26" ht="25.2">
      <c r="A804" s="140"/>
      <c r="B804" s="137"/>
      <c r="C804" s="138"/>
      <c r="D804" s="150"/>
      <c r="E804" s="139"/>
      <c r="F804" s="140"/>
      <c r="G804" s="147"/>
      <c r="H804" s="147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</row>
    <row r="805" spans="1:26" ht="25.2">
      <c r="A805" s="140"/>
      <c r="B805" s="137"/>
      <c r="C805" s="138"/>
      <c r="D805" s="150"/>
      <c r="E805" s="139"/>
      <c r="F805" s="140"/>
      <c r="G805" s="149"/>
      <c r="H805" s="149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</row>
    <row r="806" spans="1:26" ht="25.2">
      <c r="A806" s="140"/>
      <c r="B806" s="137"/>
      <c r="C806" s="138"/>
      <c r="D806" s="150"/>
      <c r="E806" s="139"/>
      <c r="F806" s="140"/>
      <c r="G806" s="147"/>
      <c r="H806" s="147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</row>
    <row r="807" spans="1:26" ht="25.2">
      <c r="A807" s="140"/>
      <c r="B807" s="137"/>
      <c r="C807" s="138"/>
      <c r="D807" s="150"/>
      <c r="E807" s="139"/>
      <c r="F807" s="140"/>
      <c r="G807" s="149"/>
      <c r="H807" s="149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</row>
    <row r="808" spans="1:26" ht="25.2">
      <c r="A808" s="140"/>
      <c r="B808" s="137"/>
      <c r="C808" s="138"/>
      <c r="D808" s="150"/>
      <c r="E808" s="139"/>
      <c r="F808" s="140"/>
      <c r="G808" s="147"/>
      <c r="H808" s="147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</row>
    <row r="809" spans="1:26" ht="25.2">
      <c r="A809" s="140"/>
      <c r="B809" s="137"/>
      <c r="C809" s="138"/>
      <c r="D809" s="150"/>
      <c r="E809" s="139"/>
      <c r="F809" s="140"/>
      <c r="G809" s="149"/>
      <c r="H809" s="149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</row>
    <row r="810" spans="1:26" ht="25.2">
      <c r="A810" s="140"/>
      <c r="B810" s="137"/>
      <c r="C810" s="138"/>
      <c r="D810" s="150"/>
      <c r="E810" s="139"/>
      <c r="F810" s="140"/>
      <c r="G810" s="147"/>
      <c r="H810" s="147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</row>
    <row r="811" spans="1:26" ht="25.2">
      <c r="A811" s="140"/>
      <c r="B811" s="137"/>
      <c r="C811" s="138"/>
      <c r="D811" s="150"/>
      <c r="E811" s="139"/>
      <c r="F811" s="140"/>
      <c r="G811" s="149"/>
      <c r="H811" s="149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</row>
    <row r="812" spans="1:26" ht="25.2">
      <c r="A812" s="140"/>
      <c r="B812" s="137"/>
      <c r="C812" s="138"/>
      <c r="D812" s="150"/>
      <c r="E812" s="139"/>
      <c r="F812" s="140"/>
      <c r="G812" s="147"/>
      <c r="H812" s="147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</row>
    <row r="813" spans="1:26" ht="25.2">
      <c r="A813" s="140"/>
      <c r="B813" s="137"/>
      <c r="C813" s="138"/>
      <c r="D813" s="150"/>
      <c r="E813" s="139"/>
      <c r="F813" s="140"/>
      <c r="G813" s="149"/>
      <c r="H813" s="149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</row>
    <row r="814" spans="1:26" ht="25.2">
      <c r="A814" s="140"/>
      <c r="B814" s="137"/>
      <c r="C814" s="138"/>
      <c r="D814" s="150"/>
      <c r="E814" s="139"/>
      <c r="F814" s="140"/>
      <c r="G814" s="147"/>
      <c r="H814" s="147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</row>
    <row r="815" spans="1:26" ht="25.2">
      <c r="A815" s="140"/>
      <c r="B815" s="137"/>
      <c r="C815" s="138"/>
      <c r="D815" s="150"/>
      <c r="E815" s="139"/>
      <c r="F815" s="140"/>
      <c r="G815" s="149"/>
      <c r="H815" s="149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</row>
    <row r="816" spans="1:26" ht="25.2">
      <c r="A816" s="140"/>
      <c r="B816" s="137"/>
      <c r="C816" s="138"/>
      <c r="D816" s="150"/>
      <c r="E816" s="139"/>
      <c r="F816" s="140"/>
      <c r="G816" s="147"/>
      <c r="H816" s="147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</row>
    <row r="817" spans="1:26" ht="25.2">
      <c r="A817" s="140"/>
      <c r="B817" s="137"/>
      <c r="C817" s="138"/>
      <c r="D817" s="150"/>
      <c r="E817" s="139"/>
      <c r="F817" s="140"/>
      <c r="G817" s="149"/>
      <c r="H817" s="149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</row>
    <row r="818" spans="1:26" ht="25.2">
      <c r="A818" s="140"/>
      <c r="B818" s="137"/>
      <c r="C818" s="138"/>
      <c r="D818" s="150"/>
      <c r="E818" s="139"/>
      <c r="F818" s="140"/>
      <c r="G818" s="147"/>
      <c r="H818" s="147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</row>
    <row r="819" spans="1:26" ht="25.2">
      <c r="A819" s="140"/>
      <c r="B819" s="137"/>
      <c r="C819" s="138"/>
      <c r="D819" s="150"/>
      <c r="E819" s="139"/>
      <c r="F819" s="140"/>
      <c r="G819" s="149"/>
      <c r="H819" s="149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</row>
    <row r="820" spans="1:26" ht="25.2">
      <c r="A820" s="140"/>
      <c r="B820" s="137"/>
      <c r="C820" s="138"/>
      <c r="D820" s="150"/>
      <c r="E820" s="139"/>
      <c r="F820" s="140"/>
      <c r="G820" s="147"/>
      <c r="H820" s="147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</row>
    <row r="821" spans="1:26" ht="25.2">
      <c r="A821" s="140"/>
      <c r="B821" s="137"/>
      <c r="C821" s="138"/>
      <c r="D821" s="150"/>
      <c r="E821" s="139"/>
      <c r="F821" s="140"/>
      <c r="G821" s="149"/>
      <c r="H821" s="149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</row>
    <row r="822" spans="1:26" ht="25.2">
      <c r="A822" s="140"/>
      <c r="B822" s="137"/>
      <c r="C822" s="138"/>
      <c r="D822" s="150"/>
      <c r="E822" s="139"/>
      <c r="F822" s="140"/>
      <c r="G822" s="147"/>
      <c r="H822" s="147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</row>
    <row r="823" spans="1:26" ht="25.2">
      <c r="A823" s="140"/>
      <c r="B823" s="137"/>
      <c r="C823" s="138"/>
      <c r="D823" s="150"/>
      <c r="E823" s="139"/>
      <c r="F823" s="140"/>
      <c r="G823" s="149"/>
      <c r="H823" s="149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</row>
    <row r="824" spans="1:26" ht="25.2">
      <c r="A824" s="140"/>
      <c r="B824" s="137"/>
      <c r="C824" s="138"/>
      <c r="D824" s="150"/>
      <c r="E824" s="139"/>
      <c r="F824" s="140"/>
      <c r="G824" s="147"/>
      <c r="H824" s="147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</row>
    <row r="825" spans="1:26" ht="25.2">
      <c r="A825" s="140"/>
      <c r="B825" s="137"/>
      <c r="C825" s="138"/>
      <c r="D825" s="150"/>
      <c r="E825" s="139"/>
      <c r="F825" s="140"/>
      <c r="G825" s="149"/>
      <c r="H825" s="149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</row>
    <row r="826" spans="1:26" ht="25.2">
      <c r="A826" s="140"/>
      <c r="B826" s="137"/>
      <c r="C826" s="138"/>
      <c r="D826" s="150"/>
      <c r="E826" s="139"/>
      <c r="F826" s="140"/>
      <c r="G826" s="147"/>
      <c r="H826" s="147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</row>
    <row r="827" spans="1:26" ht="25.2">
      <c r="A827" s="140"/>
      <c r="B827" s="137"/>
      <c r="C827" s="138"/>
      <c r="D827" s="150"/>
      <c r="E827" s="139"/>
      <c r="F827" s="140"/>
      <c r="G827" s="149"/>
      <c r="H827" s="149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</row>
    <row r="828" spans="1:26" ht="25.2">
      <c r="A828" s="140"/>
      <c r="B828" s="137"/>
      <c r="C828" s="138"/>
      <c r="D828" s="150"/>
      <c r="E828" s="139"/>
      <c r="F828" s="140"/>
      <c r="G828" s="147"/>
      <c r="H828" s="147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</row>
    <row r="829" spans="1:26" ht="25.2">
      <c r="A829" s="140"/>
      <c r="B829" s="137"/>
      <c r="C829" s="138"/>
      <c r="D829" s="150"/>
      <c r="E829" s="139"/>
      <c r="F829" s="140"/>
      <c r="G829" s="149"/>
      <c r="H829" s="149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</row>
    <row r="830" spans="1:26" ht="25.2">
      <c r="A830" s="140"/>
      <c r="B830" s="137"/>
      <c r="C830" s="138"/>
      <c r="D830" s="150"/>
      <c r="E830" s="139"/>
      <c r="F830" s="140"/>
      <c r="G830" s="147"/>
      <c r="H830" s="147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</row>
    <row r="831" spans="1:26" ht="25.2">
      <c r="A831" s="140"/>
      <c r="B831" s="137"/>
      <c r="C831" s="138"/>
      <c r="D831" s="150"/>
      <c r="E831" s="139"/>
      <c r="F831" s="140"/>
      <c r="G831" s="149"/>
      <c r="H831" s="149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</row>
    <row r="832" spans="1:26" ht="25.2">
      <c r="A832" s="140"/>
      <c r="B832" s="137"/>
      <c r="C832" s="138"/>
      <c r="D832" s="150"/>
      <c r="E832" s="139"/>
      <c r="F832" s="140"/>
      <c r="G832" s="147"/>
      <c r="H832" s="147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</row>
    <row r="833" spans="1:26" ht="25.2">
      <c r="A833" s="140"/>
      <c r="B833" s="137"/>
      <c r="C833" s="138"/>
      <c r="D833" s="150"/>
      <c r="E833" s="139"/>
      <c r="F833" s="140"/>
      <c r="G833" s="149"/>
      <c r="H833" s="149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</row>
    <row r="834" spans="1:26" ht="25.2">
      <c r="A834" s="140"/>
      <c r="B834" s="137"/>
      <c r="C834" s="138"/>
      <c r="D834" s="150"/>
      <c r="E834" s="139"/>
      <c r="F834" s="140"/>
      <c r="G834" s="147"/>
      <c r="H834" s="147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</row>
    <row r="835" spans="1:26" ht="25.2">
      <c r="A835" s="140"/>
      <c r="B835" s="137"/>
      <c r="C835" s="138"/>
      <c r="D835" s="150"/>
      <c r="E835" s="139"/>
      <c r="F835" s="140"/>
      <c r="G835" s="149"/>
      <c r="H835" s="149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</row>
    <row r="836" spans="1:26" ht="25.2">
      <c r="A836" s="140"/>
      <c r="B836" s="137"/>
      <c r="C836" s="138"/>
      <c r="D836" s="150"/>
      <c r="E836" s="139"/>
      <c r="F836" s="140"/>
      <c r="G836" s="147"/>
      <c r="H836" s="147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</row>
    <row r="837" spans="1:26" ht="25.2">
      <c r="A837" s="140"/>
      <c r="B837" s="137"/>
      <c r="C837" s="138"/>
      <c r="D837" s="150"/>
      <c r="E837" s="139"/>
      <c r="F837" s="140"/>
      <c r="G837" s="149"/>
      <c r="H837" s="149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</row>
    <row r="838" spans="1:26" ht="25.2">
      <c r="A838" s="140"/>
      <c r="B838" s="137"/>
      <c r="C838" s="138"/>
      <c r="D838" s="150"/>
      <c r="E838" s="139"/>
      <c r="F838" s="140"/>
      <c r="G838" s="147"/>
      <c r="H838" s="147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</row>
    <row r="839" spans="1:26" ht="25.2">
      <c r="A839" s="140"/>
      <c r="B839" s="137"/>
      <c r="C839" s="138"/>
      <c r="D839" s="150"/>
      <c r="E839" s="139"/>
      <c r="F839" s="140"/>
      <c r="G839" s="149"/>
      <c r="H839" s="149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</row>
    <row r="840" spans="1:26" ht="25.2">
      <c r="A840" s="140"/>
      <c r="B840" s="137"/>
      <c r="C840" s="138"/>
      <c r="D840" s="150"/>
      <c r="E840" s="139"/>
      <c r="F840" s="140"/>
      <c r="G840" s="147"/>
      <c r="H840" s="147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</row>
    <row r="841" spans="1:26" ht="25.2">
      <c r="A841" s="140"/>
      <c r="B841" s="137"/>
      <c r="C841" s="138"/>
      <c r="D841" s="150"/>
      <c r="E841" s="139"/>
      <c r="F841" s="140"/>
      <c r="G841" s="149"/>
      <c r="H841" s="149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</row>
    <row r="842" spans="1:26" ht="25.2">
      <c r="A842" s="140"/>
      <c r="B842" s="137"/>
      <c r="C842" s="138"/>
      <c r="D842" s="150"/>
      <c r="E842" s="139"/>
      <c r="F842" s="140"/>
      <c r="G842" s="147"/>
      <c r="H842" s="147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</row>
    <row r="843" spans="1:26" ht="25.2">
      <c r="A843" s="140"/>
      <c r="B843" s="137"/>
      <c r="C843" s="138"/>
      <c r="D843" s="150"/>
      <c r="E843" s="139"/>
      <c r="F843" s="140"/>
      <c r="G843" s="149"/>
      <c r="H843" s="149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</row>
    <row r="844" spans="1:26" ht="25.2">
      <c r="A844" s="140"/>
      <c r="B844" s="137"/>
      <c r="C844" s="138"/>
      <c r="D844" s="150"/>
      <c r="E844" s="139"/>
      <c r="F844" s="140"/>
      <c r="G844" s="147"/>
      <c r="H844" s="147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</row>
    <row r="845" spans="1:26" ht="25.2">
      <c r="A845" s="140"/>
      <c r="B845" s="137"/>
      <c r="C845" s="138"/>
      <c r="D845" s="150"/>
      <c r="E845" s="139"/>
      <c r="F845" s="140"/>
      <c r="G845" s="149"/>
      <c r="H845" s="149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</row>
    <row r="846" spans="1:26" ht="25.2">
      <c r="A846" s="140"/>
      <c r="B846" s="137"/>
      <c r="C846" s="138"/>
      <c r="D846" s="150"/>
      <c r="E846" s="139"/>
      <c r="F846" s="140"/>
      <c r="G846" s="147"/>
      <c r="H846" s="147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</row>
    <row r="847" spans="1:26" ht="25.2">
      <c r="A847" s="140"/>
      <c r="B847" s="137"/>
      <c r="C847" s="138"/>
      <c r="D847" s="150"/>
      <c r="E847" s="139"/>
      <c r="F847" s="140"/>
      <c r="G847" s="149"/>
      <c r="H847" s="149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</row>
    <row r="848" spans="1:26" ht="25.2">
      <c r="A848" s="140"/>
      <c r="B848" s="137"/>
      <c r="C848" s="138"/>
      <c r="D848" s="150"/>
      <c r="E848" s="139"/>
      <c r="F848" s="140"/>
      <c r="G848" s="147"/>
      <c r="H848" s="147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</row>
    <row r="849" spans="1:26" ht="25.2">
      <c r="A849" s="140"/>
      <c r="B849" s="137"/>
      <c r="C849" s="138"/>
      <c r="D849" s="150"/>
      <c r="E849" s="139"/>
      <c r="F849" s="140"/>
      <c r="G849" s="149"/>
      <c r="H849" s="149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</row>
    <row r="850" spans="1:26" ht="25.2">
      <c r="A850" s="140"/>
      <c r="B850" s="137"/>
      <c r="C850" s="138"/>
      <c r="D850" s="150"/>
      <c r="E850" s="139"/>
      <c r="F850" s="140"/>
      <c r="G850" s="147"/>
      <c r="H850" s="147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</row>
    <row r="851" spans="1:26" ht="25.2">
      <c r="A851" s="140"/>
      <c r="B851" s="137"/>
      <c r="C851" s="138"/>
      <c r="D851" s="150"/>
      <c r="E851" s="139"/>
      <c r="F851" s="140"/>
      <c r="G851" s="149"/>
      <c r="H851" s="149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</row>
    <row r="852" spans="1:26" ht="25.2">
      <c r="A852" s="140"/>
      <c r="B852" s="137"/>
      <c r="C852" s="138"/>
      <c r="D852" s="150"/>
      <c r="E852" s="139"/>
      <c r="F852" s="140"/>
      <c r="G852" s="147"/>
      <c r="H852" s="147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</row>
    <row r="853" spans="1:26" ht="25.2">
      <c r="A853" s="140"/>
      <c r="B853" s="137"/>
      <c r="C853" s="138"/>
      <c r="D853" s="150"/>
      <c r="E853" s="139"/>
      <c r="F853" s="140"/>
      <c r="G853" s="149"/>
      <c r="H853" s="149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</row>
    <row r="854" spans="1:26" ht="25.2">
      <c r="A854" s="140"/>
      <c r="B854" s="137"/>
      <c r="C854" s="138"/>
      <c r="D854" s="150"/>
      <c r="E854" s="139"/>
      <c r="F854" s="140"/>
      <c r="G854" s="147"/>
      <c r="H854" s="147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</row>
    <row r="855" spans="1:26" ht="25.2">
      <c r="A855" s="140"/>
      <c r="B855" s="137"/>
      <c r="C855" s="138"/>
      <c r="D855" s="150"/>
      <c r="E855" s="139"/>
      <c r="F855" s="140"/>
      <c r="G855" s="149"/>
      <c r="H855" s="149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</row>
    <row r="856" spans="1:26" ht="25.2">
      <c r="A856" s="140"/>
      <c r="B856" s="137"/>
      <c r="C856" s="138"/>
      <c r="D856" s="150"/>
      <c r="E856" s="139"/>
      <c r="F856" s="140"/>
      <c r="G856" s="147"/>
      <c r="H856" s="147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</row>
    <row r="857" spans="1:26" ht="25.2">
      <c r="A857" s="140"/>
      <c r="B857" s="137"/>
      <c r="C857" s="138"/>
      <c r="D857" s="150"/>
      <c r="E857" s="139"/>
      <c r="F857" s="140"/>
      <c r="G857" s="149"/>
      <c r="H857" s="149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</row>
    <row r="858" spans="1:26" ht="25.2">
      <c r="A858" s="140"/>
      <c r="B858" s="137"/>
      <c r="C858" s="138"/>
      <c r="D858" s="150"/>
      <c r="E858" s="139"/>
      <c r="F858" s="140"/>
      <c r="G858" s="147"/>
      <c r="H858" s="147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</row>
    <row r="859" spans="1:26" ht="25.2">
      <c r="A859" s="140"/>
      <c r="B859" s="137"/>
      <c r="C859" s="138"/>
      <c r="D859" s="150"/>
      <c r="E859" s="139"/>
      <c r="F859" s="140"/>
      <c r="G859" s="149"/>
      <c r="H859" s="149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</row>
    <row r="860" spans="1:26" ht="25.2">
      <c r="A860" s="140"/>
      <c r="B860" s="137"/>
      <c r="C860" s="138"/>
      <c r="D860" s="150"/>
      <c r="E860" s="139"/>
      <c r="F860" s="140"/>
      <c r="G860" s="147"/>
      <c r="H860" s="147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</row>
    <row r="861" spans="1:26" ht="25.2">
      <c r="A861" s="140"/>
      <c r="B861" s="137"/>
      <c r="C861" s="138"/>
      <c r="D861" s="150"/>
      <c r="E861" s="139"/>
      <c r="F861" s="140"/>
      <c r="G861" s="149"/>
      <c r="H861" s="149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</row>
    <row r="862" spans="1:26" ht="25.2">
      <c r="A862" s="140"/>
      <c r="B862" s="137"/>
      <c r="C862" s="138"/>
      <c r="D862" s="150"/>
      <c r="E862" s="139"/>
      <c r="F862" s="140"/>
      <c r="G862" s="147"/>
      <c r="H862" s="147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</row>
    <row r="863" spans="1:26" ht="25.2">
      <c r="A863" s="140"/>
      <c r="B863" s="137"/>
      <c r="C863" s="138"/>
      <c r="D863" s="150"/>
      <c r="E863" s="139"/>
      <c r="F863" s="140"/>
      <c r="G863" s="149"/>
      <c r="H863" s="149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</row>
    <row r="864" spans="1:26" ht="25.2">
      <c r="A864" s="140"/>
      <c r="B864" s="137"/>
      <c r="C864" s="138"/>
      <c r="D864" s="150"/>
      <c r="E864" s="139"/>
      <c r="F864" s="140"/>
      <c r="G864" s="147"/>
      <c r="H864" s="147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</row>
    <row r="865" spans="1:26" ht="25.2">
      <c r="A865" s="140"/>
      <c r="B865" s="137"/>
      <c r="C865" s="138"/>
      <c r="D865" s="150"/>
      <c r="E865" s="139"/>
      <c r="F865" s="140"/>
      <c r="G865" s="149"/>
      <c r="H865" s="149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</row>
    <row r="866" spans="1:26" ht="25.2">
      <c r="A866" s="140"/>
      <c r="B866" s="137"/>
      <c r="C866" s="138"/>
      <c r="D866" s="150"/>
      <c r="E866" s="139"/>
      <c r="F866" s="140"/>
      <c r="G866" s="147"/>
      <c r="H866" s="147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</row>
    <row r="867" spans="1:26" ht="25.2">
      <c r="A867" s="140"/>
      <c r="B867" s="137"/>
      <c r="C867" s="138"/>
      <c r="D867" s="150"/>
      <c r="E867" s="139"/>
      <c r="F867" s="140"/>
      <c r="G867" s="149"/>
      <c r="H867" s="149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</row>
    <row r="868" spans="1:26" ht="25.2">
      <c r="A868" s="140"/>
      <c r="B868" s="137"/>
      <c r="C868" s="138"/>
      <c r="D868" s="150"/>
      <c r="E868" s="139"/>
      <c r="F868" s="140"/>
      <c r="G868" s="147"/>
      <c r="H868" s="147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</row>
    <row r="869" spans="1:26" ht="25.2">
      <c r="A869" s="140"/>
      <c r="B869" s="137"/>
      <c r="C869" s="138"/>
      <c r="D869" s="150"/>
      <c r="E869" s="139"/>
      <c r="F869" s="140"/>
      <c r="G869" s="149"/>
      <c r="H869" s="149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</row>
    <row r="870" spans="1:26" ht="25.2">
      <c r="A870" s="140"/>
      <c r="B870" s="137"/>
      <c r="C870" s="138"/>
      <c r="D870" s="150"/>
      <c r="E870" s="139"/>
      <c r="F870" s="140"/>
      <c r="G870" s="147"/>
      <c r="H870" s="147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</row>
    <row r="871" spans="1:26" ht="25.2">
      <c r="A871" s="140"/>
      <c r="B871" s="137"/>
      <c r="C871" s="138"/>
      <c r="D871" s="150"/>
      <c r="E871" s="139"/>
      <c r="F871" s="140"/>
      <c r="G871" s="149"/>
      <c r="H871" s="149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</row>
    <row r="872" spans="1:26" ht="25.2">
      <c r="A872" s="140"/>
      <c r="B872" s="137"/>
      <c r="C872" s="138"/>
      <c r="D872" s="150"/>
      <c r="E872" s="139"/>
      <c r="F872" s="140"/>
      <c r="G872" s="147"/>
      <c r="H872" s="147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</row>
    <row r="873" spans="1:26" ht="25.2">
      <c r="A873" s="140"/>
      <c r="B873" s="137"/>
      <c r="C873" s="138"/>
      <c r="D873" s="150"/>
      <c r="E873" s="139"/>
      <c r="F873" s="140"/>
      <c r="G873" s="149"/>
      <c r="H873" s="149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</row>
    <row r="874" spans="1:26" ht="25.2">
      <c r="A874" s="140"/>
      <c r="B874" s="137"/>
      <c r="C874" s="138"/>
      <c r="D874" s="150"/>
      <c r="E874" s="139"/>
      <c r="F874" s="140"/>
      <c r="G874" s="147"/>
      <c r="H874" s="147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</row>
    <row r="875" spans="1:26" ht="25.2">
      <c r="A875" s="140"/>
      <c r="B875" s="137"/>
      <c r="C875" s="138"/>
      <c r="D875" s="150"/>
      <c r="E875" s="139"/>
      <c r="F875" s="140"/>
      <c r="G875" s="149"/>
      <c r="H875" s="149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</row>
    <row r="876" spans="1:26" ht="25.2">
      <c r="A876" s="140"/>
      <c r="B876" s="137"/>
      <c r="C876" s="138"/>
      <c r="D876" s="150"/>
      <c r="E876" s="139"/>
      <c r="F876" s="140"/>
      <c r="G876" s="147"/>
      <c r="H876" s="147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</row>
    <row r="877" spans="1:26" ht="25.2">
      <c r="A877" s="140"/>
      <c r="B877" s="137"/>
      <c r="C877" s="138"/>
      <c r="D877" s="150"/>
      <c r="E877" s="139"/>
      <c r="F877" s="140"/>
      <c r="G877" s="149"/>
      <c r="H877" s="149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</row>
    <row r="878" spans="1:26" ht="25.2">
      <c r="A878" s="140"/>
      <c r="B878" s="137"/>
      <c r="C878" s="138"/>
      <c r="D878" s="150"/>
      <c r="E878" s="139"/>
      <c r="F878" s="140"/>
      <c r="G878" s="147"/>
      <c r="H878" s="147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</row>
    <row r="879" spans="1:26" ht="25.2">
      <c r="A879" s="140"/>
      <c r="B879" s="137"/>
      <c r="C879" s="138"/>
      <c r="D879" s="150"/>
      <c r="E879" s="139"/>
      <c r="F879" s="140"/>
      <c r="G879" s="149"/>
      <c r="H879" s="149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</row>
    <row r="880" spans="1:26" ht="25.2">
      <c r="A880" s="140"/>
      <c r="B880" s="137"/>
      <c r="C880" s="138"/>
      <c r="D880" s="150"/>
      <c r="E880" s="139"/>
      <c r="F880" s="140"/>
      <c r="G880" s="147"/>
      <c r="H880" s="147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</row>
    <row r="881" spans="1:26" ht="25.2">
      <c r="A881" s="140"/>
      <c r="B881" s="137"/>
      <c r="C881" s="138"/>
      <c r="D881" s="150"/>
      <c r="E881" s="139"/>
      <c r="F881" s="140"/>
      <c r="G881" s="149"/>
      <c r="H881" s="149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</row>
    <row r="882" spans="1:26" ht="25.2">
      <c r="A882" s="140"/>
      <c r="B882" s="137"/>
      <c r="C882" s="138"/>
      <c r="D882" s="150"/>
      <c r="E882" s="139"/>
      <c r="F882" s="140"/>
      <c r="G882" s="147"/>
      <c r="H882" s="147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</row>
    <row r="883" spans="1:26" ht="25.2">
      <c r="A883" s="140"/>
      <c r="B883" s="137"/>
      <c r="C883" s="138"/>
      <c r="D883" s="150"/>
      <c r="E883" s="139"/>
      <c r="F883" s="140"/>
      <c r="G883" s="149"/>
      <c r="H883" s="149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</row>
    <row r="884" spans="1:26" ht="25.2">
      <c r="A884" s="140"/>
      <c r="B884" s="137"/>
      <c r="C884" s="138"/>
      <c r="D884" s="150"/>
      <c r="E884" s="139"/>
      <c r="F884" s="140"/>
      <c r="G884" s="147"/>
      <c r="H884" s="147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</row>
    <row r="885" spans="1:26" ht="25.2">
      <c r="A885" s="140"/>
      <c r="B885" s="137"/>
      <c r="C885" s="138"/>
      <c r="D885" s="150"/>
      <c r="E885" s="139"/>
      <c r="F885" s="140"/>
      <c r="G885" s="149"/>
      <c r="H885" s="149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</row>
    <row r="886" spans="1:26" ht="25.2">
      <c r="A886" s="140"/>
      <c r="B886" s="137"/>
      <c r="C886" s="138"/>
      <c r="D886" s="150"/>
      <c r="E886" s="139"/>
      <c r="F886" s="140"/>
      <c r="G886" s="147"/>
      <c r="H886" s="147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</row>
    <row r="887" spans="1:26" ht="25.2">
      <c r="A887" s="140"/>
      <c r="B887" s="137"/>
      <c r="C887" s="138"/>
      <c r="D887" s="150"/>
      <c r="E887" s="139"/>
      <c r="F887" s="140"/>
      <c r="G887" s="149"/>
      <c r="H887" s="149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</row>
    <row r="888" spans="1:26" ht="25.2">
      <c r="A888" s="140"/>
      <c r="B888" s="137"/>
      <c r="C888" s="138"/>
      <c r="D888" s="150"/>
      <c r="E888" s="139"/>
      <c r="F888" s="140"/>
      <c r="G888" s="147"/>
      <c r="H888" s="147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</row>
    <row r="889" spans="1:26" ht="25.2">
      <c r="A889" s="140"/>
      <c r="B889" s="137"/>
      <c r="C889" s="138"/>
      <c r="D889" s="150"/>
      <c r="E889" s="139"/>
      <c r="F889" s="140"/>
      <c r="G889" s="149"/>
      <c r="H889" s="149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</row>
    <row r="890" spans="1:26" ht="25.2">
      <c r="A890" s="140"/>
      <c r="B890" s="137"/>
      <c r="C890" s="138"/>
      <c r="D890" s="150"/>
      <c r="E890" s="139"/>
      <c r="F890" s="140"/>
      <c r="G890" s="147"/>
      <c r="H890" s="147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</row>
    <row r="891" spans="1:26" ht="25.2">
      <c r="A891" s="140"/>
      <c r="B891" s="137"/>
      <c r="C891" s="138"/>
      <c r="D891" s="150"/>
      <c r="E891" s="139"/>
      <c r="F891" s="140"/>
      <c r="G891" s="149"/>
      <c r="H891" s="149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</row>
    <row r="892" spans="1:26" ht="25.2">
      <c r="A892" s="140"/>
      <c r="B892" s="137"/>
      <c r="C892" s="138"/>
      <c r="D892" s="150"/>
      <c r="E892" s="139"/>
      <c r="F892" s="140"/>
      <c r="G892" s="147"/>
      <c r="H892" s="147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</row>
    <row r="893" spans="1:26" ht="25.2">
      <c r="A893" s="140"/>
      <c r="B893" s="137"/>
      <c r="C893" s="138"/>
      <c r="D893" s="150"/>
      <c r="E893" s="139"/>
      <c r="F893" s="140"/>
      <c r="G893" s="149"/>
      <c r="H893" s="149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</row>
    <row r="894" spans="1:26" ht="25.2">
      <c r="A894" s="140"/>
      <c r="B894" s="137"/>
      <c r="C894" s="138"/>
      <c r="D894" s="150"/>
      <c r="E894" s="139"/>
      <c r="F894" s="140"/>
      <c r="G894" s="147"/>
      <c r="H894" s="147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</row>
    <row r="895" spans="1:26" ht="25.2">
      <c r="A895" s="140"/>
      <c r="B895" s="137"/>
      <c r="C895" s="138"/>
      <c r="D895" s="150"/>
      <c r="E895" s="139"/>
      <c r="F895" s="140"/>
      <c r="G895" s="149"/>
      <c r="H895" s="149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</row>
    <row r="896" spans="1:26" ht="25.2">
      <c r="A896" s="140"/>
      <c r="B896" s="137"/>
      <c r="C896" s="138"/>
      <c r="D896" s="150"/>
      <c r="E896" s="139"/>
      <c r="F896" s="140"/>
      <c r="G896" s="147"/>
      <c r="H896" s="147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</row>
    <row r="897" spans="1:26" ht="25.2">
      <c r="A897" s="140"/>
      <c r="B897" s="137"/>
      <c r="C897" s="138"/>
      <c r="D897" s="150"/>
      <c r="E897" s="139"/>
      <c r="F897" s="140"/>
      <c r="G897" s="149"/>
      <c r="H897" s="149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</row>
    <row r="898" spans="1:26" ht="25.2">
      <c r="A898" s="140"/>
      <c r="B898" s="137"/>
      <c r="C898" s="138"/>
      <c r="D898" s="150"/>
      <c r="E898" s="139"/>
      <c r="F898" s="140"/>
      <c r="G898" s="147"/>
      <c r="H898" s="147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</row>
    <row r="899" spans="1:26" ht="25.2">
      <c r="A899" s="140"/>
      <c r="B899" s="137"/>
      <c r="C899" s="138"/>
      <c r="D899" s="150"/>
      <c r="E899" s="139"/>
      <c r="F899" s="140"/>
      <c r="G899" s="149"/>
      <c r="H899" s="149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</row>
    <row r="900" spans="1:26" ht="25.2">
      <c r="A900" s="140"/>
      <c r="B900" s="137"/>
      <c r="C900" s="138"/>
      <c r="D900" s="150"/>
      <c r="E900" s="139"/>
      <c r="F900" s="140"/>
      <c r="G900" s="147"/>
      <c r="H900" s="147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</row>
    <row r="901" spans="1:26" ht="25.2">
      <c r="A901" s="140"/>
      <c r="B901" s="137"/>
      <c r="C901" s="138"/>
      <c r="D901" s="150"/>
      <c r="E901" s="139"/>
      <c r="F901" s="140"/>
      <c r="G901" s="149"/>
      <c r="H901" s="149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</row>
    <row r="902" spans="1:26" ht="25.2">
      <c r="A902" s="140"/>
      <c r="B902" s="137"/>
      <c r="C902" s="138"/>
      <c r="D902" s="150"/>
      <c r="E902" s="139"/>
      <c r="F902" s="140"/>
      <c r="G902" s="147"/>
      <c r="H902" s="147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</row>
    <row r="903" spans="1:26" ht="25.2">
      <c r="A903" s="140"/>
      <c r="B903" s="137"/>
      <c r="C903" s="138"/>
      <c r="D903" s="150"/>
      <c r="E903" s="139"/>
      <c r="F903" s="140"/>
      <c r="G903" s="149"/>
      <c r="H903" s="149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</row>
    <row r="904" spans="1:26" ht="25.2">
      <c r="A904" s="140"/>
      <c r="B904" s="137"/>
      <c r="C904" s="138"/>
      <c r="D904" s="150"/>
      <c r="E904" s="139"/>
      <c r="F904" s="140"/>
      <c r="G904" s="147"/>
      <c r="H904" s="147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</row>
    <row r="905" spans="1:26" ht="25.2">
      <c r="A905" s="140"/>
      <c r="B905" s="137"/>
      <c r="C905" s="138"/>
      <c r="D905" s="150"/>
      <c r="E905" s="139"/>
      <c r="F905" s="140"/>
      <c r="G905" s="149"/>
      <c r="H905" s="149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</row>
    <row r="906" spans="1:26" ht="25.2">
      <c r="A906" s="140"/>
      <c r="B906" s="137"/>
      <c r="C906" s="138"/>
      <c r="D906" s="150"/>
      <c r="E906" s="139"/>
      <c r="F906" s="140"/>
      <c r="G906" s="147"/>
      <c r="H906" s="147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</row>
    <row r="907" spans="1:26" ht="25.2">
      <c r="A907" s="140"/>
      <c r="B907" s="137"/>
      <c r="C907" s="138"/>
      <c r="D907" s="150"/>
      <c r="E907" s="139"/>
      <c r="F907" s="140"/>
      <c r="G907" s="149"/>
      <c r="H907" s="149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</row>
    <row r="908" spans="1:26" ht="25.2">
      <c r="A908" s="140"/>
      <c r="B908" s="137"/>
      <c r="C908" s="138"/>
      <c r="D908" s="150"/>
      <c r="E908" s="139"/>
      <c r="F908" s="140"/>
      <c r="G908" s="147"/>
      <c r="H908" s="147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</row>
    <row r="909" spans="1:26" ht="25.2">
      <c r="A909" s="140"/>
      <c r="B909" s="137"/>
      <c r="C909" s="138"/>
      <c r="D909" s="150"/>
      <c r="E909" s="139"/>
      <c r="F909" s="140"/>
      <c r="G909" s="149"/>
      <c r="H909" s="149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</row>
    <row r="910" spans="1:26" ht="25.2">
      <c r="A910" s="140"/>
      <c r="B910" s="137"/>
      <c r="C910" s="138"/>
      <c r="D910" s="150"/>
      <c r="E910" s="139"/>
      <c r="F910" s="140"/>
      <c r="G910" s="147"/>
      <c r="H910" s="147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</row>
    <row r="911" spans="1:26" ht="25.2">
      <c r="A911" s="140"/>
      <c r="B911" s="137"/>
      <c r="C911" s="138"/>
      <c r="D911" s="150"/>
      <c r="E911" s="139"/>
      <c r="F911" s="140"/>
      <c r="G911" s="149"/>
      <c r="H911" s="149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</row>
    <row r="912" spans="1:26" ht="25.2">
      <c r="A912" s="140"/>
      <c r="B912" s="137"/>
      <c r="C912" s="138"/>
      <c r="D912" s="150"/>
      <c r="E912" s="139"/>
      <c r="F912" s="140"/>
      <c r="G912" s="147"/>
      <c r="H912" s="147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</row>
    <row r="913" spans="1:26" ht="25.2">
      <c r="A913" s="140"/>
      <c r="B913" s="137"/>
      <c r="C913" s="138"/>
      <c r="D913" s="150"/>
      <c r="E913" s="139"/>
      <c r="F913" s="140"/>
      <c r="G913" s="149"/>
      <c r="H913" s="149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</row>
    <row r="914" spans="1:26" ht="25.2">
      <c r="A914" s="140"/>
      <c r="B914" s="137"/>
      <c r="C914" s="138"/>
      <c r="D914" s="150"/>
      <c r="E914" s="139"/>
      <c r="F914" s="140"/>
      <c r="G914" s="147"/>
      <c r="H914" s="147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</row>
    <row r="915" spans="1:26" ht="25.2">
      <c r="A915" s="140"/>
      <c r="B915" s="137"/>
      <c r="C915" s="138"/>
      <c r="D915" s="150"/>
      <c r="E915" s="139"/>
      <c r="F915" s="140"/>
      <c r="G915" s="149"/>
      <c r="H915" s="149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</row>
    <row r="916" spans="1:26" ht="25.2">
      <c r="A916" s="140"/>
      <c r="B916" s="137"/>
      <c r="C916" s="138"/>
      <c r="D916" s="150"/>
      <c r="E916" s="139"/>
      <c r="F916" s="140"/>
      <c r="G916" s="147"/>
      <c r="H916" s="147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</row>
    <row r="917" spans="1:26" ht="25.2">
      <c r="A917" s="140"/>
      <c r="B917" s="137"/>
      <c r="C917" s="138"/>
      <c r="D917" s="150"/>
      <c r="E917" s="139"/>
      <c r="F917" s="140"/>
      <c r="G917" s="149"/>
      <c r="H917" s="149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</row>
    <row r="918" spans="1:26" ht="25.2">
      <c r="A918" s="140"/>
      <c r="B918" s="137"/>
      <c r="C918" s="138"/>
      <c r="D918" s="150"/>
      <c r="E918" s="139"/>
      <c r="F918" s="140"/>
      <c r="G918" s="147"/>
      <c r="H918" s="147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</row>
    <row r="919" spans="1:26" ht="25.2">
      <c r="A919" s="140"/>
      <c r="B919" s="137"/>
      <c r="C919" s="138"/>
      <c r="D919" s="150"/>
      <c r="E919" s="139"/>
      <c r="F919" s="140"/>
      <c r="G919" s="149"/>
      <c r="H919" s="149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</row>
    <row r="920" spans="1:26" ht="25.2">
      <c r="A920" s="140"/>
      <c r="B920" s="137"/>
      <c r="C920" s="138"/>
      <c r="D920" s="150"/>
      <c r="E920" s="139"/>
      <c r="F920" s="140"/>
      <c r="G920" s="147"/>
      <c r="H920" s="147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</row>
    <row r="921" spans="1:26" ht="25.2">
      <c r="A921" s="140"/>
      <c r="B921" s="137"/>
      <c r="C921" s="138"/>
      <c r="D921" s="150"/>
      <c r="E921" s="139"/>
      <c r="F921" s="140"/>
      <c r="G921" s="149"/>
      <c r="H921" s="149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</row>
    <row r="922" spans="1:26" ht="25.2">
      <c r="A922" s="140"/>
      <c r="B922" s="137"/>
      <c r="C922" s="138"/>
      <c r="D922" s="150"/>
      <c r="E922" s="139"/>
      <c r="F922" s="140"/>
      <c r="G922" s="147"/>
      <c r="H922" s="147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</row>
    <row r="923" spans="1:26" ht="25.2">
      <c r="A923" s="140"/>
      <c r="B923" s="137"/>
      <c r="C923" s="138"/>
      <c r="D923" s="150"/>
      <c r="E923" s="139"/>
      <c r="F923" s="140"/>
      <c r="G923" s="149"/>
      <c r="H923" s="149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</row>
    <row r="924" spans="1:26" ht="25.2">
      <c r="A924" s="140"/>
      <c r="B924" s="137"/>
      <c r="C924" s="138"/>
      <c r="D924" s="150"/>
      <c r="E924" s="139"/>
      <c r="F924" s="140"/>
      <c r="G924" s="147"/>
      <c r="H924" s="147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</row>
    <row r="925" spans="1:26" ht="25.2">
      <c r="A925" s="140"/>
      <c r="B925" s="137"/>
      <c r="C925" s="138"/>
      <c r="D925" s="150"/>
      <c r="E925" s="139"/>
      <c r="F925" s="140"/>
      <c r="G925" s="149"/>
      <c r="H925" s="149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</row>
    <row r="926" spans="1:26" ht="25.2">
      <c r="A926" s="140"/>
      <c r="B926" s="137"/>
      <c r="C926" s="138"/>
      <c r="D926" s="150"/>
      <c r="E926" s="139"/>
      <c r="F926" s="140"/>
      <c r="G926" s="147"/>
      <c r="H926" s="147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</row>
    <row r="927" spans="1:26" ht="25.2">
      <c r="A927" s="140"/>
      <c r="B927" s="137"/>
      <c r="C927" s="138"/>
      <c r="D927" s="150"/>
      <c r="E927" s="139"/>
      <c r="F927" s="140"/>
      <c r="G927" s="149"/>
      <c r="H927" s="149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</row>
    <row r="928" spans="1:26" ht="25.2">
      <c r="A928" s="140"/>
      <c r="B928" s="137"/>
      <c r="C928" s="138"/>
      <c r="D928" s="150"/>
      <c r="E928" s="139"/>
      <c r="F928" s="140"/>
      <c r="G928" s="147"/>
      <c r="H928" s="147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</row>
    <row r="929" spans="1:26" ht="25.2">
      <c r="A929" s="140"/>
      <c r="B929" s="137"/>
      <c r="C929" s="138"/>
      <c r="D929" s="150"/>
      <c r="E929" s="139"/>
      <c r="F929" s="140"/>
      <c r="G929" s="149"/>
      <c r="H929" s="149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</row>
    <row r="930" spans="1:26" ht="25.2">
      <c r="A930" s="140"/>
      <c r="B930" s="137"/>
      <c r="C930" s="138"/>
      <c r="D930" s="150"/>
      <c r="E930" s="139"/>
      <c r="F930" s="140"/>
      <c r="G930" s="147"/>
      <c r="H930" s="147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</row>
    <row r="931" spans="1:26" ht="25.2">
      <c r="A931" s="140"/>
      <c r="B931" s="137"/>
      <c r="C931" s="138"/>
      <c r="D931" s="150"/>
      <c r="E931" s="139"/>
      <c r="F931" s="140"/>
      <c r="G931" s="149"/>
      <c r="H931" s="149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</row>
    <row r="932" spans="1:26" ht="25.2">
      <c r="A932" s="140"/>
      <c r="B932" s="137"/>
      <c r="C932" s="138"/>
      <c r="D932" s="150"/>
      <c r="E932" s="139"/>
      <c r="F932" s="140"/>
      <c r="G932" s="147"/>
      <c r="H932" s="147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</row>
    <row r="933" spans="1:26" ht="25.2">
      <c r="A933" s="140"/>
      <c r="B933" s="137"/>
      <c r="C933" s="138"/>
      <c r="D933" s="150"/>
      <c r="E933" s="139"/>
      <c r="F933" s="140"/>
      <c r="G933" s="149"/>
      <c r="H933" s="149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</row>
    <row r="934" spans="1:26" ht="25.2">
      <c r="A934" s="140"/>
      <c r="B934" s="137"/>
      <c r="C934" s="138"/>
      <c r="D934" s="150"/>
      <c r="E934" s="139"/>
      <c r="F934" s="140"/>
      <c r="G934" s="147"/>
      <c r="H934" s="147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</row>
    <row r="935" spans="1:26" ht="25.2">
      <c r="A935" s="140"/>
      <c r="B935" s="137"/>
      <c r="C935" s="138"/>
      <c r="D935" s="150"/>
      <c r="E935" s="139"/>
      <c r="F935" s="140"/>
      <c r="G935" s="149"/>
      <c r="H935" s="149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</row>
    <row r="936" spans="1:26" ht="25.2">
      <c r="A936" s="140"/>
      <c r="B936" s="137"/>
      <c r="C936" s="138"/>
      <c r="D936" s="150"/>
      <c r="E936" s="139"/>
      <c r="F936" s="140"/>
      <c r="G936" s="147"/>
      <c r="H936" s="147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</row>
    <row r="937" spans="1:26" ht="25.2">
      <c r="A937" s="140"/>
      <c r="B937" s="137"/>
      <c r="C937" s="138"/>
      <c r="D937" s="150"/>
      <c r="E937" s="139"/>
      <c r="F937" s="140"/>
      <c r="G937" s="149"/>
      <c r="H937" s="149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</row>
    <row r="938" spans="1:26" ht="25.2">
      <c r="A938" s="140"/>
      <c r="B938" s="137"/>
      <c r="C938" s="138"/>
      <c r="D938" s="150"/>
      <c r="E938" s="139"/>
      <c r="F938" s="140"/>
      <c r="G938" s="147"/>
      <c r="H938" s="147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</row>
    <row r="939" spans="1:26" ht="25.2">
      <c r="A939" s="140"/>
      <c r="B939" s="137"/>
      <c r="C939" s="138"/>
      <c r="D939" s="150"/>
      <c r="E939" s="139"/>
      <c r="F939" s="140"/>
      <c r="G939" s="149"/>
      <c r="H939" s="149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</row>
    <row r="940" spans="1:26" ht="25.2">
      <c r="A940" s="140"/>
      <c r="B940" s="137"/>
      <c r="C940" s="138"/>
      <c r="D940" s="150"/>
      <c r="E940" s="139"/>
      <c r="F940" s="140"/>
      <c r="G940" s="147"/>
      <c r="H940" s="147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</row>
    <row r="941" spans="1:26" ht="25.2">
      <c r="A941" s="140"/>
      <c r="B941" s="137"/>
      <c r="C941" s="138"/>
      <c r="D941" s="150"/>
      <c r="E941" s="139"/>
      <c r="F941" s="140"/>
      <c r="G941" s="149"/>
      <c r="H941" s="149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</row>
    <row r="942" spans="1:26" ht="25.2">
      <c r="A942" s="140"/>
      <c r="B942" s="137"/>
      <c r="C942" s="138"/>
      <c r="D942" s="150"/>
      <c r="E942" s="139"/>
      <c r="F942" s="140"/>
      <c r="G942" s="147"/>
      <c r="H942" s="147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</row>
    <row r="943" spans="1:26" ht="25.2">
      <c r="A943" s="140"/>
      <c r="B943" s="137"/>
      <c r="C943" s="138"/>
      <c r="D943" s="150"/>
      <c r="E943" s="139"/>
      <c r="F943" s="140"/>
      <c r="G943" s="149"/>
      <c r="H943" s="149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</row>
    <row r="944" spans="1:26" ht="25.2">
      <c r="A944" s="140"/>
      <c r="B944" s="137"/>
      <c r="C944" s="138"/>
      <c r="D944" s="150"/>
      <c r="E944" s="139"/>
      <c r="F944" s="140"/>
      <c r="G944" s="147"/>
      <c r="H944" s="147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</row>
    <row r="945" spans="1:26" ht="25.2">
      <c r="A945" s="140"/>
      <c r="B945" s="137"/>
      <c r="C945" s="138"/>
      <c r="D945" s="150"/>
      <c r="E945" s="139"/>
      <c r="F945" s="140"/>
      <c r="G945" s="149"/>
      <c r="H945" s="149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</row>
    <row r="946" spans="1:26" ht="25.2">
      <c r="A946" s="140"/>
      <c r="B946" s="137"/>
      <c r="C946" s="138"/>
      <c r="D946" s="150"/>
      <c r="E946" s="139"/>
      <c r="F946" s="140"/>
      <c r="G946" s="147"/>
      <c r="H946" s="147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</row>
    <row r="947" spans="1:26" ht="25.2">
      <c r="A947" s="140"/>
      <c r="B947" s="137"/>
      <c r="C947" s="138"/>
      <c r="D947" s="150"/>
      <c r="E947" s="139"/>
      <c r="F947" s="140"/>
      <c r="G947" s="149"/>
      <c r="H947" s="149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</row>
    <row r="948" spans="1:26" ht="25.2">
      <c r="A948" s="140"/>
      <c r="B948" s="137"/>
      <c r="C948" s="138"/>
      <c r="D948" s="150"/>
      <c r="E948" s="139"/>
      <c r="F948" s="140"/>
      <c r="G948" s="147"/>
      <c r="H948" s="147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</row>
    <row r="949" spans="1:26" ht="25.2">
      <c r="A949" s="140"/>
      <c r="B949" s="137"/>
      <c r="C949" s="138"/>
      <c r="D949" s="150"/>
      <c r="E949" s="139"/>
      <c r="F949" s="140"/>
      <c r="G949" s="149"/>
      <c r="H949" s="149"/>
      <c r="I949" s="140"/>
      <c r="J949" s="140"/>
      <c r="K949" s="140"/>
      <c r="L949" s="140"/>
      <c r="M949" s="140"/>
      <c r="N949" s="140"/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</row>
    <row r="950" spans="1:26" ht="25.2">
      <c r="A950" s="140"/>
      <c r="B950" s="137"/>
      <c r="C950" s="138"/>
      <c r="D950" s="150"/>
      <c r="E950" s="139"/>
      <c r="F950" s="140"/>
      <c r="G950" s="147"/>
      <c r="H950" s="147"/>
      <c r="I950" s="140"/>
      <c r="J950" s="140"/>
      <c r="K950" s="140"/>
      <c r="L950" s="140"/>
      <c r="M950" s="140"/>
      <c r="N950" s="140"/>
      <c r="O950" s="140"/>
      <c r="P950" s="140"/>
      <c r="Q950" s="140"/>
      <c r="R950" s="140"/>
      <c r="S950" s="140"/>
      <c r="T950" s="140"/>
      <c r="U950" s="140"/>
      <c r="V950" s="140"/>
      <c r="W950" s="140"/>
      <c r="X950" s="140"/>
      <c r="Y950" s="140"/>
      <c r="Z950" s="140"/>
    </row>
    <row r="951" spans="1:26" ht="25.2">
      <c r="A951" s="140"/>
      <c r="B951" s="137"/>
      <c r="C951" s="138"/>
      <c r="D951" s="150"/>
      <c r="E951" s="139"/>
      <c r="F951" s="140"/>
      <c r="G951" s="149"/>
      <c r="H951" s="149"/>
      <c r="I951" s="140"/>
      <c r="J951" s="140"/>
      <c r="K951" s="140"/>
      <c r="L951" s="140"/>
      <c r="M951" s="140"/>
      <c r="N951" s="140"/>
      <c r="O951" s="140"/>
      <c r="P951" s="140"/>
      <c r="Q951" s="140"/>
      <c r="R951" s="140"/>
      <c r="S951" s="140"/>
      <c r="T951" s="140"/>
      <c r="U951" s="140"/>
      <c r="V951" s="140"/>
      <c r="W951" s="140"/>
      <c r="X951" s="140"/>
      <c r="Y951" s="140"/>
      <c r="Z951" s="140"/>
    </row>
    <row r="952" spans="1:26" ht="25.2">
      <c r="A952" s="140"/>
      <c r="B952" s="137"/>
      <c r="C952" s="138"/>
      <c r="D952" s="150"/>
      <c r="E952" s="139"/>
      <c r="F952" s="140"/>
      <c r="G952" s="147"/>
      <c r="H952" s="147"/>
      <c r="I952" s="140"/>
      <c r="J952" s="140"/>
      <c r="K952" s="140"/>
      <c r="L952" s="140"/>
      <c r="M952" s="140"/>
      <c r="N952" s="140"/>
      <c r="O952" s="140"/>
      <c r="P952" s="140"/>
      <c r="Q952" s="140"/>
      <c r="R952" s="140"/>
      <c r="S952" s="140"/>
      <c r="T952" s="140"/>
      <c r="U952" s="140"/>
      <c r="V952" s="140"/>
      <c r="W952" s="140"/>
      <c r="X952" s="140"/>
      <c r="Y952" s="140"/>
      <c r="Z952" s="140"/>
    </row>
    <row r="953" spans="1:26" ht="25.2">
      <c r="A953" s="140"/>
      <c r="B953" s="137"/>
      <c r="C953" s="138"/>
      <c r="D953" s="150"/>
      <c r="E953" s="139"/>
      <c r="F953" s="140"/>
      <c r="G953" s="149"/>
      <c r="H953" s="149"/>
      <c r="I953" s="140"/>
      <c r="J953" s="140"/>
      <c r="K953" s="140"/>
      <c r="L953" s="140"/>
      <c r="M953" s="140"/>
      <c r="N953" s="140"/>
      <c r="O953" s="140"/>
      <c r="P953" s="140"/>
      <c r="Q953" s="140"/>
      <c r="R953" s="140"/>
      <c r="S953" s="140"/>
      <c r="T953" s="140"/>
      <c r="U953" s="140"/>
      <c r="V953" s="140"/>
      <c r="W953" s="140"/>
      <c r="X953" s="140"/>
      <c r="Y953" s="140"/>
      <c r="Z953" s="140"/>
    </row>
    <row r="954" spans="1:26" ht="25.2">
      <c r="A954" s="140"/>
      <c r="B954" s="137"/>
      <c r="C954" s="138"/>
      <c r="D954" s="150"/>
      <c r="E954" s="139"/>
      <c r="F954" s="140"/>
      <c r="G954" s="147"/>
      <c r="H954" s="147"/>
      <c r="I954" s="140"/>
      <c r="J954" s="140"/>
      <c r="K954" s="140"/>
      <c r="L954" s="140"/>
      <c r="M954" s="140"/>
      <c r="N954" s="140"/>
      <c r="O954" s="140"/>
      <c r="P954" s="140"/>
      <c r="Q954" s="140"/>
      <c r="R954" s="140"/>
      <c r="S954" s="140"/>
      <c r="T954" s="140"/>
      <c r="U954" s="140"/>
      <c r="V954" s="140"/>
      <c r="W954" s="140"/>
      <c r="X954" s="140"/>
      <c r="Y954" s="140"/>
      <c r="Z954" s="140"/>
    </row>
    <row r="955" spans="1:26" ht="25.2">
      <c r="A955" s="140"/>
      <c r="B955" s="137"/>
      <c r="C955" s="138"/>
      <c r="D955" s="150"/>
      <c r="E955" s="139"/>
      <c r="F955" s="140"/>
      <c r="G955" s="149"/>
      <c r="H955" s="149"/>
      <c r="I955" s="140"/>
      <c r="J955" s="140"/>
      <c r="K955" s="140"/>
      <c r="L955" s="140"/>
      <c r="M955" s="140"/>
      <c r="N955" s="140"/>
      <c r="O955" s="140"/>
      <c r="P955" s="140"/>
      <c r="Q955" s="140"/>
      <c r="R955" s="140"/>
      <c r="S955" s="140"/>
      <c r="T955" s="140"/>
      <c r="U955" s="140"/>
      <c r="V955" s="140"/>
      <c r="W955" s="140"/>
      <c r="X955" s="140"/>
      <c r="Y955" s="140"/>
      <c r="Z955" s="140"/>
    </row>
    <row r="956" spans="1:26" ht="25.2">
      <c r="A956" s="140"/>
      <c r="B956" s="137"/>
      <c r="C956" s="138"/>
      <c r="D956" s="150"/>
      <c r="E956" s="139"/>
      <c r="F956" s="140"/>
      <c r="G956" s="147"/>
      <c r="H956" s="147"/>
      <c r="I956" s="140"/>
      <c r="J956" s="140"/>
      <c r="K956" s="140"/>
      <c r="L956" s="140"/>
      <c r="M956" s="140"/>
      <c r="N956" s="140"/>
      <c r="O956" s="140"/>
      <c r="P956" s="140"/>
      <c r="Q956" s="140"/>
      <c r="R956" s="140"/>
      <c r="S956" s="140"/>
      <c r="T956" s="140"/>
      <c r="U956" s="140"/>
      <c r="V956" s="140"/>
      <c r="W956" s="140"/>
      <c r="X956" s="140"/>
      <c r="Y956" s="140"/>
      <c r="Z956" s="140"/>
    </row>
    <row r="957" spans="1:26" ht="25.2">
      <c r="A957" s="140"/>
      <c r="B957" s="137"/>
      <c r="C957" s="138"/>
      <c r="D957" s="150"/>
      <c r="E957" s="139"/>
      <c r="F957" s="140"/>
      <c r="G957" s="149"/>
      <c r="H957" s="149"/>
      <c r="I957" s="140"/>
      <c r="J957" s="140"/>
      <c r="K957" s="140"/>
      <c r="L957" s="140"/>
      <c r="M957" s="140"/>
      <c r="N957" s="140"/>
      <c r="O957" s="140"/>
      <c r="P957" s="140"/>
      <c r="Q957" s="140"/>
      <c r="R957" s="140"/>
      <c r="S957" s="140"/>
      <c r="T957" s="140"/>
      <c r="U957" s="140"/>
      <c r="V957" s="140"/>
      <c r="W957" s="140"/>
      <c r="X957" s="140"/>
      <c r="Y957" s="140"/>
      <c r="Z957" s="140"/>
    </row>
    <row r="958" spans="1:26" ht="25.2">
      <c r="A958" s="140"/>
      <c r="B958" s="137"/>
      <c r="C958" s="138"/>
      <c r="D958" s="150"/>
      <c r="E958" s="139"/>
      <c r="F958" s="140"/>
      <c r="G958" s="147"/>
      <c r="H958" s="147"/>
      <c r="I958" s="140"/>
      <c r="J958" s="140"/>
      <c r="K958" s="140"/>
      <c r="L958" s="140"/>
      <c r="M958" s="140"/>
      <c r="N958" s="140"/>
      <c r="O958" s="140"/>
      <c r="P958" s="140"/>
      <c r="Q958" s="140"/>
      <c r="R958" s="140"/>
      <c r="S958" s="140"/>
      <c r="T958" s="140"/>
      <c r="U958" s="140"/>
      <c r="V958" s="140"/>
      <c r="W958" s="140"/>
      <c r="X958" s="140"/>
      <c r="Y958" s="140"/>
      <c r="Z958" s="140"/>
    </row>
    <row r="959" spans="1:26" ht="25.2">
      <c r="A959" s="140"/>
      <c r="B959" s="137"/>
      <c r="C959" s="138"/>
      <c r="D959" s="150"/>
      <c r="E959" s="139"/>
      <c r="F959" s="140"/>
      <c r="G959" s="149"/>
      <c r="H959" s="149"/>
      <c r="I959" s="140"/>
      <c r="J959" s="140"/>
      <c r="K959" s="140"/>
      <c r="L959" s="140"/>
      <c r="M959" s="140"/>
      <c r="N959" s="140"/>
      <c r="O959" s="140"/>
      <c r="P959" s="140"/>
      <c r="Q959" s="140"/>
      <c r="R959" s="140"/>
      <c r="S959" s="140"/>
      <c r="T959" s="140"/>
      <c r="U959" s="140"/>
      <c r="V959" s="140"/>
      <c r="W959" s="140"/>
      <c r="X959" s="140"/>
      <c r="Y959" s="140"/>
      <c r="Z959" s="140"/>
    </row>
    <row r="960" spans="1:26" ht="25.2">
      <c r="A960" s="140"/>
      <c r="B960" s="137"/>
      <c r="C960" s="138"/>
      <c r="D960" s="150"/>
      <c r="E960" s="139"/>
      <c r="F960" s="140"/>
      <c r="G960" s="147"/>
      <c r="H960" s="147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  <c r="Y960" s="140"/>
      <c r="Z960" s="140"/>
    </row>
    <row r="961" spans="1:26" ht="25.2">
      <c r="A961" s="140"/>
      <c r="B961" s="137"/>
      <c r="C961" s="138"/>
      <c r="D961" s="150"/>
      <c r="E961" s="139"/>
      <c r="F961" s="140"/>
      <c r="G961" s="149"/>
      <c r="H961" s="149"/>
      <c r="I961" s="140"/>
      <c r="J961" s="140"/>
      <c r="K961" s="140"/>
      <c r="L961" s="140"/>
      <c r="M961" s="140"/>
      <c r="N961" s="140"/>
      <c r="O961" s="140"/>
      <c r="P961" s="140"/>
      <c r="Q961" s="140"/>
      <c r="R961" s="140"/>
      <c r="S961" s="140"/>
      <c r="T961" s="140"/>
      <c r="U961" s="140"/>
      <c r="V961" s="140"/>
      <c r="W961" s="140"/>
      <c r="X961" s="140"/>
      <c r="Y961" s="140"/>
      <c r="Z961" s="140"/>
    </row>
    <row r="962" spans="1:26" ht="25.2">
      <c r="A962" s="140"/>
      <c r="B962" s="137"/>
      <c r="C962" s="138"/>
      <c r="D962" s="150"/>
      <c r="E962" s="139"/>
      <c r="F962" s="140"/>
      <c r="G962" s="147"/>
      <c r="H962" s="147"/>
      <c r="I962" s="140"/>
      <c r="J962" s="140"/>
      <c r="K962" s="140"/>
      <c r="L962" s="140"/>
      <c r="M962" s="140"/>
      <c r="N962" s="140"/>
      <c r="O962" s="140"/>
      <c r="P962" s="140"/>
      <c r="Q962" s="140"/>
      <c r="R962" s="140"/>
      <c r="S962" s="140"/>
      <c r="T962" s="140"/>
      <c r="U962" s="140"/>
      <c r="V962" s="140"/>
      <c r="W962" s="140"/>
      <c r="X962" s="140"/>
      <c r="Y962" s="140"/>
      <c r="Z962" s="140"/>
    </row>
    <row r="963" spans="1:26" ht="25.2">
      <c r="A963" s="140"/>
      <c r="B963" s="137"/>
      <c r="C963" s="138"/>
      <c r="D963" s="150"/>
      <c r="E963" s="139"/>
      <c r="F963" s="140"/>
      <c r="G963" s="149"/>
      <c r="H963" s="149"/>
      <c r="I963" s="140"/>
      <c r="J963" s="140"/>
      <c r="K963" s="140"/>
      <c r="L963" s="140"/>
      <c r="M963" s="140"/>
      <c r="N963" s="140"/>
      <c r="O963" s="140"/>
      <c r="P963" s="140"/>
      <c r="Q963" s="140"/>
      <c r="R963" s="140"/>
      <c r="S963" s="140"/>
      <c r="T963" s="140"/>
      <c r="U963" s="140"/>
      <c r="V963" s="140"/>
      <c r="W963" s="140"/>
      <c r="X963" s="140"/>
      <c r="Y963" s="140"/>
      <c r="Z963" s="140"/>
    </row>
    <row r="964" spans="1:26" ht="25.2">
      <c r="A964" s="140"/>
      <c r="B964" s="137"/>
      <c r="C964" s="138"/>
      <c r="D964" s="150"/>
      <c r="E964" s="139"/>
      <c r="F964" s="140"/>
      <c r="G964" s="147"/>
      <c r="H964" s="147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  <c r="Y964" s="140"/>
      <c r="Z964" s="140"/>
    </row>
    <row r="965" spans="1:26" ht="25.2">
      <c r="A965" s="140"/>
      <c r="B965" s="137"/>
      <c r="C965" s="138"/>
      <c r="D965" s="150"/>
      <c r="E965" s="139"/>
      <c r="F965" s="140"/>
      <c r="G965" s="149"/>
      <c r="H965" s="149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  <c r="Y965" s="140"/>
      <c r="Z965" s="140"/>
    </row>
    <row r="966" spans="1:26" ht="25.2">
      <c r="A966" s="140"/>
      <c r="B966" s="137"/>
      <c r="C966" s="138"/>
      <c r="D966" s="150"/>
      <c r="E966" s="139"/>
      <c r="F966" s="140"/>
      <c r="G966" s="147"/>
      <c r="H966" s="147"/>
      <c r="I966" s="140"/>
      <c r="J966" s="140"/>
      <c r="K966" s="140"/>
      <c r="L966" s="140"/>
      <c r="M966" s="140"/>
      <c r="N966" s="140"/>
      <c r="O966" s="140"/>
      <c r="P966" s="140"/>
      <c r="Q966" s="140"/>
      <c r="R966" s="140"/>
      <c r="S966" s="140"/>
      <c r="T966" s="140"/>
      <c r="U966" s="140"/>
      <c r="V966" s="140"/>
      <c r="W966" s="140"/>
      <c r="X966" s="140"/>
      <c r="Y966" s="140"/>
      <c r="Z966" s="140"/>
    </row>
    <row r="967" spans="1:26" ht="25.2">
      <c r="A967" s="140"/>
      <c r="B967" s="137"/>
      <c r="C967" s="138"/>
      <c r="D967" s="150"/>
      <c r="E967" s="139"/>
      <c r="F967" s="140"/>
      <c r="G967" s="149"/>
      <c r="H967" s="149"/>
      <c r="I967" s="140"/>
      <c r="J967" s="140"/>
      <c r="K967" s="140"/>
      <c r="L967" s="140"/>
      <c r="M967" s="140"/>
      <c r="N967" s="140"/>
      <c r="O967" s="140"/>
      <c r="P967" s="140"/>
      <c r="Q967" s="140"/>
      <c r="R967" s="140"/>
      <c r="S967" s="140"/>
      <c r="T967" s="140"/>
      <c r="U967" s="140"/>
      <c r="V967" s="140"/>
      <c r="W967" s="140"/>
      <c r="X967" s="140"/>
      <c r="Y967" s="140"/>
      <c r="Z967" s="140"/>
    </row>
    <row r="968" spans="1:26" ht="25.2">
      <c r="A968" s="140"/>
      <c r="B968" s="137"/>
      <c r="C968" s="138"/>
      <c r="D968" s="150"/>
      <c r="E968" s="139"/>
      <c r="F968" s="140"/>
      <c r="G968" s="147"/>
      <c r="H968" s="147"/>
      <c r="I968" s="140"/>
      <c r="J968" s="140"/>
      <c r="K968" s="140"/>
      <c r="L968" s="140"/>
      <c r="M968" s="140"/>
      <c r="N968" s="140"/>
      <c r="O968" s="140"/>
      <c r="P968" s="140"/>
      <c r="Q968" s="140"/>
      <c r="R968" s="140"/>
      <c r="S968" s="140"/>
      <c r="T968" s="140"/>
      <c r="U968" s="140"/>
      <c r="V968" s="140"/>
      <c r="W968" s="140"/>
      <c r="X968" s="140"/>
      <c r="Y968" s="140"/>
      <c r="Z968" s="140"/>
    </row>
    <row r="969" spans="1:26" ht="25.2">
      <c r="A969" s="140"/>
      <c r="B969" s="137"/>
      <c r="C969" s="138"/>
      <c r="D969" s="150"/>
      <c r="E969" s="139"/>
      <c r="F969" s="140"/>
      <c r="G969" s="149"/>
      <c r="H969" s="149"/>
      <c r="I969" s="140"/>
      <c r="J969" s="140"/>
      <c r="K969" s="140"/>
      <c r="L969" s="140"/>
      <c r="M969" s="140"/>
      <c r="N969" s="140"/>
      <c r="O969" s="140"/>
      <c r="P969" s="140"/>
      <c r="Q969" s="140"/>
      <c r="R969" s="140"/>
      <c r="S969" s="140"/>
      <c r="T969" s="140"/>
      <c r="U969" s="140"/>
      <c r="V969" s="140"/>
      <c r="W969" s="140"/>
      <c r="X969" s="140"/>
      <c r="Y969" s="140"/>
      <c r="Z969" s="140"/>
    </row>
    <row r="970" spans="1:26" ht="25.2">
      <c r="A970" s="140"/>
      <c r="B970" s="137"/>
      <c r="C970" s="138"/>
      <c r="D970" s="150"/>
      <c r="E970" s="139"/>
      <c r="F970" s="140"/>
      <c r="G970" s="147"/>
      <c r="H970" s="147"/>
      <c r="I970" s="140"/>
      <c r="J970" s="140"/>
      <c r="K970" s="140"/>
      <c r="L970" s="140"/>
      <c r="M970" s="140"/>
      <c r="N970" s="140"/>
      <c r="O970" s="140"/>
      <c r="P970" s="140"/>
      <c r="Q970" s="140"/>
      <c r="R970" s="140"/>
      <c r="S970" s="140"/>
      <c r="T970" s="140"/>
      <c r="U970" s="140"/>
      <c r="V970" s="140"/>
      <c r="W970" s="140"/>
      <c r="X970" s="140"/>
      <c r="Y970" s="140"/>
      <c r="Z970" s="140"/>
    </row>
    <row r="971" spans="1:26" ht="25.2">
      <c r="A971" s="140"/>
      <c r="B971" s="137"/>
      <c r="C971" s="138"/>
      <c r="D971" s="150"/>
      <c r="E971" s="139"/>
      <c r="F971" s="140"/>
      <c r="G971" s="149"/>
      <c r="H971" s="149"/>
      <c r="I971" s="140"/>
      <c r="J971" s="140"/>
      <c r="K971" s="140"/>
      <c r="L971" s="140"/>
      <c r="M971" s="140"/>
      <c r="N971" s="140"/>
      <c r="O971" s="140"/>
      <c r="P971" s="140"/>
      <c r="Q971" s="140"/>
      <c r="R971" s="140"/>
      <c r="S971" s="140"/>
      <c r="T971" s="140"/>
      <c r="U971" s="140"/>
      <c r="V971" s="140"/>
      <c r="W971" s="140"/>
      <c r="X971" s="140"/>
      <c r="Y971" s="140"/>
      <c r="Z971" s="140"/>
    </row>
    <row r="972" spans="1:26" ht="25.2">
      <c r="A972" s="140"/>
      <c r="B972" s="137"/>
      <c r="C972" s="138"/>
      <c r="D972" s="150"/>
      <c r="E972" s="139"/>
      <c r="F972" s="140"/>
      <c r="G972" s="147"/>
      <c r="H972" s="147"/>
      <c r="I972" s="140"/>
      <c r="J972" s="140"/>
      <c r="K972" s="140"/>
      <c r="L972" s="140"/>
      <c r="M972" s="140"/>
      <c r="N972" s="140"/>
      <c r="O972" s="140"/>
      <c r="P972" s="140"/>
      <c r="Q972" s="140"/>
      <c r="R972" s="140"/>
      <c r="S972" s="140"/>
      <c r="T972" s="140"/>
      <c r="U972" s="140"/>
      <c r="V972" s="140"/>
      <c r="W972" s="140"/>
      <c r="X972" s="140"/>
      <c r="Y972" s="140"/>
      <c r="Z972" s="140"/>
    </row>
    <row r="973" spans="1:26" ht="25.2">
      <c r="A973" s="140"/>
      <c r="B973" s="137"/>
      <c r="C973" s="138"/>
      <c r="D973" s="150"/>
      <c r="E973" s="139"/>
      <c r="F973" s="140"/>
      <c r="G973" s="149"/>
      <c r="H973" s="149"/>
      <c r="I973" s="140"/>
      <c r="J973" s="140"/>
      <c r="K973" s="140"/>
      <c r="L973" s="140"/>
      <c r="M973" s="140"/>
      <c r="N973" s="140"/>
      <c r="O973" s="140"/>
      <c r="P973" s="140"/>
      <c r="Q973" s="140"/>
      <c r="R973" s="140"/>
      <c r="S973" s="140"/>
      <c r="T973" s="140"/>
      <c r="U973" s="140"/>
      <c r="V973" s="140"/>
      <c r="W973" s="140"/>
      <c r="X973" s="140"/>
      <c r="Y973" s="140"/>
      <c r="Z973" s="140"/>
    </row>
    <row r="974" spans="1:26" ht="25.2">
      <c r="A974" s="140"/>
      <c r="B974" s="137"/>
      <c r="C974" s="138"/>
      <c r="D974" s="150"/>
      <c r="E974" s="139"/>
      <c r="F974" s="140"/>
      <c r="G974" s="147"/>
      <c r="H974" s="147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  <c r="Y974" s="140"/>
      <c r="Z974" s="140"/>
    </row>
    <row r="975" spans="1:26" ht="25.2">
      <c r="A975" s="140"/>
      <c r="B975" s="137"/>
      <c r="C975" s="138"/>
      <c r="D975" s="150"/>
      <c r="E975" s="139"/>
      <c r="F975" s="140"/>
      <c r="G975" s="149"/>
      <c r="H975" s="149"/>
      <c r="I975" s="140"/>
      <c r="J975" s="140"/>
      <c r="K975" s="140"/>
      <c r="L975" s="140"/>
      <c r="M975" s="140"/>
      <c r="N975" s="140"/>
      <c r="O975" s="140"/>
      <c r="P975" s="140"/>
      <c r="Q975" s="140"/>
      <c r="R975" s="140"/>
      <c r="S975" s="140"/>
      <c r="T975" s="140"/>
      <c r="U975" s="140"/>
      <c r="V975" s="140"/>
      <c r="W975" s="140"/>
      <c r="X975" s="140"/>
      <c r="Y975" s="140"/>
      <c r="Z975" s="140"/>
    </row>
    <row r="976" spans="1:26" ht="25.2">
      <c r="A976" s="140"/>
      <c r="B976" s="137"/>
      <c r="C976" s="138"/>
      <c r="D976" s="150"/>
      <c r="E976" s="139"/>
      <c r="F976" s="140"/>
      <c r="G976" s="147"/>
      <c r="H976" s="147"/>
      <c r="I976" s="140"/>
      <c r="J976" s="140"/>
      <c r="K976" s="140"/>
      <c r="L976" s="140"/>
      <c r="M976" s="140"/>
      <c r="N976" s="140"/>
      <c r="O976" s="140"/>
      <c r="P976" s="140"/>
      <c r="Q976" s="140"/>
      <c r="R976" s="140"/>
      <c r="S976" s="140"/>
      <c r="T976" s="140"/>
      <c r="U976" s="140"/>
      <c r="V976" s="140"/>
      <c r="W976" s="140"/>
      <c r="X976" s="140"/>
      <c r="Y976" s="140"/>
      <c r="Z976" s="140"/>
    </row>
    <row r="977" spans="1:26" ht="25.2">
      <c r="A977" s="140"/>
      <c r="B977" s="137"/>
      <c r="C977" s="138"/>
      <c r="D977" s="150"/>
      <c r="E977" s="139"/>
      <c r="F977" s="140"/>
      <c r="G977" s="149"/>
      <c r="H977" s="149"/>
      <c r="I977" s="140"/>
      <c r="J977" s="140"/>
      <c r="K977" s="140"/>
      <c r="L977" s="140"/>
      <c r="M977" s="140"/>
      <c r="N977" s="140"/>
      <c r="O977" s="140"/>
      <c r="P977" s="140"/>
      <c r="Q977" s="140"/>
      <c r="R977" s="140"/>
      <c r="S977" s="140"/>
      <c r="T977" s="140"/>
      <c r="U977" s="140"/>
      <c r="V977" s="140"/>
      <c r="W977" s="140"/>
      <c r="X977" s="140"/>
      <c r="Y977" s="140"/>
      <c r="Z977" s="140"/>
    </row>
    <row r="978" spans="1:26" ht="25.2">
      <c r="A978" s="140"/>
      <c r="B978" s="137"/>
      <c r="C978" s="138"/>
      <c r="D978" s="150"/>
      <c r="E978" s="139"/>
      <c r="F978" s="140"/>
      <c r="G978" s="147"/>
      <c r="H978" s="147"/>
      <c r="I978" s="140"/>
      <c r="J978" s="140"/>
      <c r="K978" s="140"/>
      <c r="L978" s="140"/>
      <c r="M978" s="140"/>
      <c r="N978" s="140"/>
      <c r="O978" s="140"/>
      <c r="P978" s="140"/>
      <c r="Q978" s="140"/>
      <c r="R978" s="140"/>
      <c r="S978" s="140"/>
      <c r="T978" s="140"/>
      <c r="U978" s="140"/>
      <c r="V978" s="140"/>
      <c r="W978" s="140"/>
      <c r="X978" s="140"/>
      <c r="Y978" s="140"/>
      <c r="Z978" s="140"/>
    </row>
    <row r="979" spans="1:26" ht="25.2">
      <c r="A979" s="140"/>
      <c r="B979" s="137"/>
      <c r="C979" s="138"/>
      <c r="D979" s="150"/>
      <c r="E979" s="139"/>
      <c r="F979" s="140"/>
      <c r="G979" s="149"/>
      <c r="H979" s="149"/>
      <c r="I979" s="140"/>
      <c r="J979" s="140"/>
      <c r="K979" s="140"/>
      <c r="L979" s="140"/>
      <c r="M979" s="140"/>
      <c r="N979" s="140"/>
      <c r="O979" s="140"/>
      <c r="P979" s="140"/>
      <c r="Q979" s="140"/>
      <c r="R979" s="140"/>
      <c r="S979" s="140"/>
      <c r="T979" s="140"/>
      <c r="U979" s="140"/>
      <c r="V979" s="140"/>
      <c r="W979" s="140"/>
      <c r="X979" s="140"/>
      <c r="Y979" s="140"/>
      <c r="Z979" s="140"/>
    </row>
    <row r="980" spans="1:26" ht="25.2">
      <c r="A980" s="140"/>
      <c r="B980" s="137"/>
      <c r="C980" s="138"/>
      <c r="D980" s="150"/>
      <c r="E980" s="139"/>
      <c r="F980" s="140"/>
      <c r="G980" s="147"/>
      <c r="H980" s="147"/>
      <c r="I980" s="140"/>
      <c r="J980" s="140"/>
      <c r="K980" s="140"/>
      <c r="L980" s="140"/>
      <c r="M980" s="140"/>
      <c r="N980" s="140"/>
      <c r="O980" s="140"/>
      <c r="P980" s="140"/>
      <c r="Q980" s="140"/>
      <c r="R980" s="140"/>
      <c r="S980" s="140"/>
      <c r="T980" s="140"/>
      <c r="U980" s="140"/>
      <c r="V980" s="140"/>
      <c r="W980" s="140"/>
      <c r="X980" s="140"/>
      <c r="Y980" s="140"/>
      <c r="Z980" s="140"/>
    </row>
    <row r="981" spans="1:26" ht="25.2">
      <c r="A981" s="140"/>
      <c r="B981" s="137"/>
      <c r="C981" s="138"/>
      <c r="D981" s="150"/>
      <c r="E981" s="139"/>
      <c r="F981" s="140"/>
      <c r="G981" s="149"/>
      <c r="H981" s="149"/>
      <c r="I981" s="140"/>
      <c r="J981" s="140"/>
      <c r="K981" s="140"/>
      <c r="L981" s="140"/>
      <c r="M981" s="140"/>
      <c r="N981" s="140"/>
      <c r="O981" s="140"/>
      <c r="P981" s="140"/>
      <c r="Q981" s="140"/>
      <c r="R981" s="140"/>
      <c r="S981" s="140"/>
      <c r="T981" s="140"/>
      <c r="U981" s="140"/>
      <c r="V981" s="140"/>
      <c r="W981" s="140"/>
      <c r="X981" s="140"/>
      <c r="Y981" s="140"/>
      <c r="Z981" s="140"/>
    </row>
    <row r="982" spans="1:26" ht="25.2">
      <c r="A982" s="140"/>
      <c r="B982" s="137"/>
      <c r="C982" s="138"/>
      <c r="D982" s="150"/>
      <c r="E982" s="139"/>
      <c r="F982" s="140"/>
      <c r="G982" s="147"/>
      <c r="H982" s="147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</row>
    <row r="983" spans="1:26" ht="25.2">
      <c r="A983" s="140"/>
      <c r="B983" s="137"/>
      <c r="C983" s="138"/>
      <c r="D983" s="150"/>
      <c r="E983" s="139"/>
      <c r="F983" s="140"/>
      <c r="G983" s="149"/>
      <c r="H983" s="149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  <c r="Y983" s="140"/>
      <c r="Z983" s="140"/>
    </row>
    <row r="984" spans="1:26" ht="25.2">
      <c r="A984" s="140"/>
      <c r="B984" s="137"/>
      <c r="C984" s="138"/>
      <c r="D984" s="150"/>
      <c r="E984" s="139"/>
      <c r="F984" s="140"/>
      <c r="G984" s="147"/>
      <c r="H984" s="147"/>
      <c r="I984" s="140"/>
      <c r="J984" s="140"/>
      <c r="K984" s="140"/>
      <c r="L984" s="140"/>
      <c r="M984" s="140"/>
      <c r="N984" s="140"/>
      <c r="O984" s="140"/>
      <c r="P984" s="140"/>
      <c r="Q984" s="140"/>
      <c r="R984" s="140"/>
      <c r="S984" s="140"/>
      <c r="T984" s="140"/>
      <c r="U984" s="140"/>
      <c r="V984" s="140"/>
      <c r="W984" s="140"/>
      <c r="X984" s="140"/>
      <c r="Y984" s="140"/>
      <c r="Z984" s="140"/>
    </row>
    <row r="985" spans="1:26" ht="25.2">
      <c r="A985" s="140"/>
      <c r="B985" s="137"/>
      <c r="C985" s="138"/>
      <c r="D985" s="150"/>
      <c r="E985" s="139"/>
      <c r="F985" s="140"/>
      <c r="G985" s="149"/>
      <c r="H985" s="149"/>
      <c r="I985" s="140"/>
      <c r="J985" s="140"/>
      <c r="K985" s="140"/>
      <c r="L985" s="140"/>
      <c r="M985" s="140"/>
      <c r="N985" s="140"/>
      <c r="O985" s="140"/>
      <c r="P985" s="140"/>
      <c r="Q985" s="140"/>
      <c r="R985" s="140"/>
      <c r="S985" s="140"/>
      <c r="T985" s="140"/>
      <c r="U985" s="140"/>
      <c r="V985" s="140"/>
      <c r="W985" s="140"/>
      <c r="X985" s="140"/>
      <c r="Y985" s="140"/>
      <c r="Z985" s="140"/>
    </row>
    <row r="986" spans="1:26" ht="25.2">
      <c r="A986" s="140"/>
      <c r="B986" s="137"/>
      <c r="C986" s="138"/>
      <c r="D986" s="150"/>
      <c r="E986" s="139"/>
      <c r="F986" s="140"/>
      <c r="G986" s="147"/>
      <c r="H986" s="147"/>
      <c r="I986" s="140"/>
      <c r="J986" s="140"/>
      <c r="K986" s="140"/>
      <c r="L986" s="140"/>
      <c r="M986" s="140"/>
      <c r="N986" s="140"/>
      <c r="O986" s="140"/>
      <c r="P986" s="140"/>
      <c r="Q986" s="140"/>
      <c r="R986" s="140"/>
      <c r="S986" s="140"/>
      <c r="T986" s="140"/>
      <c r="U986" s="140"/>
      <c r="V986" s="140"/>
      <c r="W986" s="140"/>
      <c r="X986" s="140"/>
      <c r="Y986" s="140"/>
      <c r="Z986" s="140"/>
    </row>
    <row r="987" spans="1:26" ht="25.2">
      <c r="A987" s="140"/>
      <c r="B987" s="137"/>
      <c r="C987" s="138"/>
      <c r="D987" s="150"/>
      <c r="E987" s="139"/>
      <c r="F987" s="140"/>
      <c r="G987" s="149"/>
      <c r="H987" s="149"/>
      <c r="I987" s="140"/>
      <c r="J987" s="140"/>
      <c r="K987" s="140"/>
      <c r="L987" s="140"/>
      <c r="M987" s="140"/>
      <c r="N987" s="140"/>
      <c r="O987" s="140"/>
      <c r="P987" s="140"/>
      <c r="Q987" s="140"/>
      <c r="R987" s="140"/>
      <c r="S987" s="140"/>
      <c r="T987" s="140"/>
      <c r="U987" s="140"/>
      <c r="V987" s="140"/>
      <c r="W987" s="140"/>
      <c r="X987" s="140"/>
      <c r="Y987" s="140"/>
      <c r="Z987" s="140"/>
    </row>
    <row r="988" spans="1:26" ht="25.2">
      <c r="A988" s="140"/>
      <c r="B988" s="137"/>
      <c r="C988" s="138"/>
      <c r="D988" s="150"/>
      <c r="E988" s="139"/>
      <c r="F988" s="140"/>
      <c r="G988" s="147"/>
      <c r="H988" s="147"/>
      <c r="I988" s="140"/>
      <c r="J988" s="140"/>
      <c r="K988" s="140"/>
      <c r="L988" s="140"/>
      <c r="M988" s="140"/>
      <c r="N988" s="140"/>
      <c r="O988" s="140"/>
      <c r="P988" s="140"/>
      <c r="Q988" s="140"/>
      <c r="R988" s="140"/>
      <c r="S988" s="140"/>
      <c r="T988" s="140"/>
      <c r="U988" s="140"/>
      <c r="V988" s="140"/>
      <c r="W988" s="140"/>
      <c r="X988" s="140"/>
      <c r="Y988" s="140"/>
      <c r="Z988" s="140"/>
    </row>
    <row r="989" spans="1:26" ht="25.2">
      <c r="A989" s="140"/>
      <c r="B989" s="137"/>
      <c r="C989" s="138"/>
      <c r="D989" s="150"/>
      <c r="E989" s="139"/>
      <c r="F989" s="140"/>
      <c r="G989" s="149"/>
      <c r="H989" s="149"/>
      <c r="I989" s="140"/>
      <c r="J989" s="140"/>
      <c r="K989" s="140"/>
      <c r="L989" s="140"/>
      <c r="M989" s="140"/>
      <c r="N989" s="140"/>
      <c r="O989" s="140"/>
      <c r="P989" s="140"/>
      <c r="Q989" s="140"/>
      <c r="R989" s="140"/>
      <c r="S989" s="140"/>
      <c r="T989" s="140"/>
      <c r="U989" s="140"/>
      <c r="V989" s="140"/>
      <c r="W989" s="140"/>
      <c r="X989" s="140"/>
      <c r="Y989" s="140"/>
      <c r="Z989" s="140"/>
    </row>
    <row r="990" spans="1:26" ht="25.2">
      <c r="A990" s="140"/>
      <c r="B990" s="137"/>
      <c r="C990" s="138"/>
      <c r="D990" s="150"/>
      <c r="E990" s="139"/>
      <c r="F990" s="140"/>
      <c r="G990" s="147"/>
      <c r="H990" s="147"/>
      <c r="I990" s="140"/>
      <c r="J990" s="140"/>
      <c r="K990" s="140"/>
      <c r="L990" s="140"/>
      <c r="M990" s="140"/>
      <c r="N990" s="140"/>
      <c r="O990" s="140"/>
      <c r="P990" s="140"/>
      <c r="Q990" s="140"/>
      <c r="R990" s="140"/>
      <c r="S990" s="140"/>
      <c r="T990" s="140"/>
      <c r="U990" s="140"/>
      <c r="V990" s="140"/>
      <c r="W990" s="140"/>
      <c r="X990" s="140"/>
      <c r="Y990" s="140"/>
      <c r="Z990" s="140"/>
    </row>
    <row r="991" spans="1:26" ht="25.2">
      <c r="A991" s="140"/>
      <c r="B991" s="137"/>
      <c r="C991" s="138"/>
      <c r="D991" s="150"/>
      <c r="E991" s="139"/>
      <c r="F991" s="140"/>
      <c r="G991" s="149"/>
      <c r="H991" s="149"/>
      <c r="I991" s="140"/>
      <c r="J991" s="140"/>
      <c r="K991" s="140"/>
      <c r="L991" s="140"/>
      <c r="M991" s="140"/>
      <c r="N991" s="140"/>
      <c r="O991" s="140"/>
      <c r="P991" s="140"/>
      <c r="Q991" s="140"/>
      <c r="R991" s="140"/>
      <c r="S991" s="140"/>
      <c r="T991" s="140"/>
      <c r="U991" s="140"/>
      <c r="V991" s="140"/>
      <c r="W991" s="140"/>
      <c r="X991" s="140"/>
      <c r="Y991" s="140"/>
      <c r="Z991" s="140"/>
    </row>
    <row r="992" spans="1:26" ht="25.2">
      <c r="A992" s="140"/>
      <c r="B992" s="137"/>
      <c r="C992" s="138"/>
      <c r="D992" s="150"/>
      <c r="E992" s="139"/>
      <c r="F992" s="140"/>
      <c r="G992" s="147"/>
      <c r="H992" s="147"/>
      <c r="I992" s="140"/>
      <c r="J992" s="140"/>
      <c r="K992" s="140"/>
      <c r="L992" s="140"/>
      <c r="M992" s="140"/>
      <c r="N992" s="140"/>
      <c r="O992" s="140"/>
      <c r="P992" s="140"/>
      <c r="Q992" s="140"/>
      <c r="R992" s="140"/>
      <c r="S992" s="140"/>
      <c r="T992" s="140"/>
      <c r="U992" s="140"/>
      <c r="V992" s="140"/>
      <c r="W992" s="140"/>
      <c r="X992" s="140"/>
      <c r="Y992" s="140"/>
      <c r="Z992" s="140"/>
    </row>
    <row r="993" spans="1:26" ht="25.2">
      <c r="A993" s="140"/>
      <c r="B993" s="137"/>
      <c r="C993" s="138"/>
      <c r="D993" s="150"/>
      <c r="E993" s="139"/>
      <c r="F993" s="140"/>
      <c r="G993" s="149"/>
      <c r="H993" s="149"/>
      <c r="I993" s="140"/>
      <c r="J993" s="140"/>
      <c r="K993" s="140"/>
      <c r="L993" s="140"/>
      <c r="M993" s="140"/>
      <c r="N993" s="140"/>
      <c r="O993" s="140"/>
      <c r="P993" s="140"/>
      <c r="Q993" s="140"/>
      <c r="R993" s="140"/>
      <c r="S993" s="140"/>
      <c r="T993" s="140"/>
      <c r="U993" s="140"/>
      <c r="V993" s="140"/>
      <c r="W993" s="140"/>
      <c r="X993" s="140"/>
      <c r="Y993" s="140"/>
      <c r="Z993" s="140"/>
    </row>
    <row r="994" spans="1:26" ht="25.2">
      <c r="A994" s="140"/>
      <c r="B994" s="137"/>
      <c r="C994" s="138"/>
      <c r="D994" s="150"/>
      <c r="E994" s="139"/>
      <c r="F994" s="140"/>
      <c r="G994" s="147"/>
      <c r="H994" s="147"/>
      <c r="I994" s="140"/>
      <c r="J994" s="140"/>
      <c r="K994" s="140"/>
      <c r="L994" s="140"/>
      <c r="M994" s="140"/>
      <c r="N994" s="140"/>
      <c r="O994" s="140"/>
      <c r="P994" s="140"/>
      <c r="Q994" s="140"/>
      <c r="R994" s="140"/>
      <c r="S994" s="140"/>
      <c r="T994" s="140"/>
      <c r="U994" s="140"/>
      <c r="V994" s="140"/>
      <c r="W994" s="140"/>
      <c r="X994" s="140"/>
      <c r="Y994" s="140"/>
      <c r="Z994" s="140"/>
    </row>
    <row r="995" spans="1:26" ht="25.2">
      <c r="A995" s="140"/>
      <c r="B995" s="137"/>
      <c r="C995" s="138"/>
      <c r="D995" s="150"/>
      <c r="E995" s="139"/>
      <c r="F995" s="140"/>
      <c r="G995" s="149"/>
      <c r="H995" s="149"/>
      <c r="I995" s="140"/>
      <c r="J995" s="140"/>
      <c r="K995" s="140"/>
      <c r="L995" s="140"/>
      <c r="M995" s="140"/>
      <c r="N995" s="140"/>
      <c r="O995" s="140"/>
      <c r="P995" s="140"/>
      <c r="Q995" s="140"/>
      <c r="R995" s="140"/>
      <c r="S995" s="140"/>
      <c r="T995" s="140"/>
      <c r="U995" s="140"/>
      <c r="V995" s="140"/>
      <c r="W995" s="140"/>
      <c r="X995" s="140"/>
      <c r="Y995" s="140"/>
      <c r="Z995" s="140"/>
    </row>
    <row r="996" spans="1:26" ht="25.2">
      <c r="A996" s="140"/>
      <c r="B996" s="137"/>
      <c r="C996" s="138"/>
      <c r="D996" s="150"/>
      <c r="E996" s="139"/>
      <c r="F996" s="140"/>
      <c r="G996" s="147"/>
      <c r="H996" s="147"/>
      <c r="I996" s="140"/>
      <c r="J996" s="140"/>
      <c r="K996" s="140"/>
      <c r="L996" s="140"/>
      <c r="M996" s="140"/>
      <c r="N996" s="140"/>
      <c r="O996" s="140"/>
      <c r="P996" s="140"/>
      <c r="Q996" s="140"/>
      <c r="R996" s="140"/>
      <c r="S996" s="140"/>
      <c r="T996" s="140"/>
      <c r="U996" s="140"/>
      <c r="V996" s="140"/>
      <c r="W996" s="140"/>
      <c r="X996" s="140"/>
      <c r="Y996" s="140"/>
      <c r="Z996" s="140"/>
    </row>
    <row r="997" spans="1:26" ht="25.2">
      <c r="A997" s="140"/>
      <c r="B997" s="137"/>
      <c r="C997" s="138"/>
      <c r="D997" s="150"/>
      <c r="E997" s="139"/>
      <c r="F997" s="140"/>
      <c r="G997" s="149"/>
      <c r="H997" s="149"/>
      <c r="I997" s="140"/>
      <c r="J997" s="140"/>
      <c r="K997" s="140"/>
      <c r="L997" s="140"/>
      <c r="M997" s="140"/>
      <c r="N997" s="140"/>
      <c r="O997" s="140"/>
      <c r="P997" s="140"/>
      <c r="Q997" s="140"/>
      <c r="R997" s="140"/>
      <c r="S997" s="140"/>
      <c r="T997" s="140"/>
      <c r="U997" s="140"/>
      <c r="V997" s="140"/>
      <c r="W997" s="140"/>
      <c r="X997" s="140"/>
      <c r="Y997" s="140"/>
      <c r="Z997" s="140"/>
    </row>
    <row r="998" spans="1:26" ht="25.2">
      <c r="A998" s="140"/>
      <c r="B998" s="137"/>
      <c r="C998" s="138"/>
      <c r="D998" s="150"/>
      <c r="E998" s="139"/>
      <c r="F998" s="140"/>
      <c r="G998" s="147"/>
      <c r="H998" s="147"/>
      <c r="I998" s="140"/>
      <c r="J998" s="140"/>
      <c r="K998" s="140"/>
      <c r="L998" s="140"/>
      <c r="M998" s="140"/>
      <c r="N998" s="140"/>
      <c r="O998" s="140"/>
      <c r="P998" s="140"/>
      <c r="Q998" s="140"/>
      <c r="R998" s="140"/>
      <c r="S998" s="140"/>
      <c r="T998" s="140"/>
      <c r="U998" s="140"/>
      <c r="V998" s="140"/>
      <c r="W998" s="140"/>
      <c r="X998" s="140"/>
      <c r="Y998" s="140"/>
      <c r="Z998" s="140"/>
    </row>
    <row r="999" spans="1:26" ht="25.2">
      <c r="A999" s="140"/>
      <c r="B999" s="137"/>
      <c r="C999" s="138"/>
      <c r="D999" s="150"/>
      <c r="E999" s="139"/>
      <c r="F999" s="140"/>
      <c r="G999" s="149"/>
      <c r="H999" s="149"/>
      <c r="I999" s="140"/>
      <c r="J999" s="140"/>
      <c r="K999" s="140"/>
      <c r="L999" s="140"/>
      <c r="M999" s="140"/>
      <c r="N999" s="140"/>
      <c r="O999" s="140"/>
      <c r="P999" s="140"/>
      <c r="Q999" s="140"/>
      <c r="R999" s="140"/>
      <c r="S999" s="140"/>
      <c r="T999" s="140"/>
      <c r="U999" s="140"/>
      <c r="V999" s="140"/>
      <c r="W999" s="140"/>
      <c r="X999" s="140"/>
      <c r="Y999" s="140"/>
      <c r="Z999" s="140"/>
    </row>
    <row r="1000" spans="1:26" ht="25.2">
      <c r="A1000" s="140"/>
      <c r="B1000" s="137"/>
      <c r="C1000" s="138"/>
      <c r="D1000" s="150"/>
      <c r="E1000" s="139"/>
      <c r="F1000" s="140"/>
      <c r="G1000" s="147"/>
      <c r="H1000" s="147"/>
      <c r="I1000" s="140"/>
      <c r="J1000" s="140"/>
      <c r="K1000" s="140"/>
      <c r="L1000" s="140"/>
      <c r="M1000" s="140"/>
      <c r="N1000" s="140"/>
      <c r="O1000" s="140"/>
      <c r="P1000" s="140"/>
      <c r="Q1000" s="140"/>
      <c r="R1000" s="140"/>
      <c r="S1000" s="140"/>
      <c r="T1000" s="140"/>
      <c r="U1000" s="140"/>
      <c r="V1000" s="140"/>
      <c r="W1000" s="140"/>
      <c r="X1000" s="140"/>
      <c r="Y1000" s="140"/>
      <c r="Z1000" s="140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70.44140625" customWidth="1"/>
    <col min="3" max="3" width="34.5546875" customWidth="1"/>
    <col min="4" max="4" width="33.33203125" customWidth="1"/>
    <col min="5" max="5" width="44.33203125" customWidth="1"/>
    <col min="6" max="7" width="48.6640625" customWidth="1"/>
    <col min="8" max="8" width="57.109375" customWidth="1"/>
    <col min="9" max="9" width="38.5546875" customWidth="1"/>
    <col min="10" max="10" width="10.6640625" customWidth="1"/>
    <col min="11" max="11" width="27.109375" customWidth="1"/>
    <col min="12" max="12" width="23.88671875" customWidth="1"/>
    <col min="13" max="13" width="25.5546875" customWidth="1"/>
    <col min="14" max="14" width="36.109375" customWidth="1"/>
    <col min="15" max="15" width="20.44140625" customWidth="1"/>
    <col min="16" max="16" width="25.6640625" customWidth="1"/>
    <col min="17" max="17" width="10.6640625" customWidth="1"/>
    <col min="18" max="18" width="26.44140625" customWidth="1"/>
    <col min="19" max="26" width="10.6640625" customWidth="1"/>
  </cols>
  <sheetData>
    <row r="1" spans="1:18" ht="14.4">
      <c r="A1" s="138" t="str">
        <f ca="1">IFERROR(__xludf.DUMMYFUNCTION("Query(MIR!C32:R60,""select C,D,E,I,F,H,G,M,N,O,Q,R"")"),"#REF!")</f>
        <v>#REF!</v>
      </c>
      <c r="B1" s="44"/>
    </row>
    <row r="2" spans="1:18" ht="14.4">
      <c r="A2" s="44"/>
      <c r="B2" s="152" t="s">
        <v>402</v>
      </c>
      <c r="C2" s="152" t="s">
        <v>403</v>
      </c>
      <c r="D2" s="152" t="s">
        <v>404</v>
      </c>
      <c r="E2" s="152" t="s">
        <v>405</v>
      </c>
      <c r="F2" s="152" t="s">
        <v>406</v>
      </c>
      <c r="G2" s="152" t="s">
        <v>407</v>
      </c>
      <c r="H2" s="153" t="s">
        <v>408</v>
      </c>
      <c r="I2" s="154" t="s">
        <v>409</v>
      </c>
      <c r="J2" s="154" t="s">
        <v>410</v>
      </c>
      <c r="K2" s="154" t="s">
        <v>411</v>
      </c>
      <c r="L2" s="154" t="s">
        <v>412</v>
      </c>
      <c r="M2" s="154" t="s">
        <v>413</v>
      </c>
      <c r="N2" s="155" t="s">
        <v>414</v>
      </c>
      <c r="O2" s="154" t="s">
        <v>415</v>
      </c>
      <c r="P2" s="154" t="s">
        <v>416</v>
      </c>
      <c r="Q2" s="153" t="s">
        <v>417</v>
      </c>
      <c r="R2" s="156" t="s">
        <v>418</v>
      </c>
    </row>
    <row r="3" spans="1:18" ht="30" customHeight="1">
      <c r="B3" s="157" t="s">
        <v>419</v>
      </c>
      <c r="C3" s="158" t="s">
        <v>6</v>
      </c>
      <c r="D3" s="222" t="s">
        <v>420</v>
      </c>
      <c r="E3" s="159" t="s">
        <v>421</v>
      </c>
      <c r="F3" s="160" t="s">
        <v>422</v>
      </c>
      <c r="G3" s="159" t="s">
        <v>423</v>
      </c>
      <c r="H3" s="159" t="s">
        <v>424</v>
      </c>
      <c r="I3" s="161" t="s">
        <v>425</v>
      </c>
      <c r="J3" s="162" t="s">
        <v>426</v>
      </c>
      <c r="K3" s="163" t="s">
        <v>427</v>
      </c>
      <c r="L3" s="163" t="s">
        <v>379</v>
      </c>
      <c r="M3" s="163" t="s">
        <v>428</v>
      </c>
      <c r="N3" s="1" t="s">
        <v>429</v>
      </c>
      <c r="O3" s="161" t="s">
        <v>430</v>
      </c>
      <c r="P3" s="161" t="s">
        <v>431</v>
      </c>
      <c r="Q3" s="159" t="s">
        <v>432</v>
      </c>
      <c r="R3" s="164" t="s">
        <v>433</v>
      </c>
    </row>
    <row r="4" spans="1:18" ht="100.8">
      <c r="B4" s="157" t="s">
        <v>434</v>
      </c>
      <c r="C4" s="165" t="s">
        <v>435</v>
      </c>
      <c r="D4" s="223"/>
      <c r="E4" s="159" t="s">
        <v>14</v>
      </c>
      <c r="F4" s="160" t="s">
        <v>436</v>
      </c>
      <c r="G4" s="159" t="s">
        <v>437</v>
      </c>
      <c r="H4" s="159" t="s">
        <v>21</v>
      </c>
      <c r="I4" s="161" t="s">
        <v>438</v>
      </c>
      <c r="J4" s="162" t="s">
        <v>439</v>
      </c>
      <c r="K4" s="163" t="s">
        <v>440</v>
      </c>
      <c r="L4" s="163" t="s">
        <v>441</v>
      </c>
      <c r="M4" s="163" t="s">
        <v>442</v>
      </c>
      <c r="N4" s="166" t="s">
        <v>443</v>
      </c>
      <c r="O4" s="161" t="s">
        <v>444</v>
      </c>
      <c r="P4" s="161" t="s">
        <v>445</v>
      </c>
      <c r="Q4" s="159" t="s">
        <v>446</v>
      </c>
      <c r="R4" s="164" t="s">
        <v>447</v>
      </c>
    </row>
    <row r="5" spans="1:18" ht="57.6">
      <c r="B5" s="157" t="s">
        <v>9</v>
      </c>
      <c r="C5" s="167" t="s">
        <v>448</v>
      </c>
      <c r="D5" s="224"/>
      <c r="E5" s="159" t="s">
        <v>449</v>
      </c>
      <c r="F5" s="160" t="s">
        <v>450</v>
      </c>
      <c r="G5" s="159" t="s">
        <v>451</v>
      </c>
      <c r="H5" s="159" t="s">
        <v>452</v>
      </c>
      <c r="I5" s="161" t="s">
        <v>453</v>
      </c>
      <c r="J5" s="162" t="s">
        <v>454</v>
      </c>
      <c r="K5" s="163" t="s">
        <v>455</v>
      </c>
      <c r="L5" s="163" t="s">
        <v>456</v>
      </c>
      <c r="M5" s="163" t="s">
        <v>457</v>
      </c>
      <c r="N5" s="168" t="s">
        <v>458</v>
      </c>
      <c r="O5" s="161" t="s">
        <v>459</v>
      </c>
      <c r="P5" s="161" t="s">
        <v>460</v>
      </c>
      <c r="Q5" s="159" t="s">
        <v>461</v>
      </c>
      <c r="R5" s="164" t="s">
        <v>462</v>
      </c>
    </row>
    <row r="6" spans="1:18" ht="25.5" customHeight="1">
      <c r="B6" s="157" t="s">
        <v>463</v>
      </c>
      <c r="C6" s="169" t="s">
        <v>464</v>
      </c>
      <c r="D6" s="170" t="s">
        <v>465</v>
      </c>
      <c r="E6" s="171" t="s">
        <v>466</v>
      </c>
      <c r="F6" s="160" t="s">
        <v>467</v>
      </c>
      <c r="G6" s="38" t="s">
        <v>468</v>
      </c>
      <c r="I6" s="161" t="s">
        <v>469</v>
      </c>
      <c r="J6" s="162" t="s">
        <v>470</v>
      </c>
      <c r="K6" s="163" t="s">
        <v>471</v>
      </c>
      <c r="L6" s="163" t="s">
        <v>472</v>
      </c>
      <c r="M6" s="161" t="s">
        <v>473</v>
      </c>
      <c r="N6" s="172" t="s">
        <v>474</v>
      </c>
      <c r="O6" s="161" t="s">
        <v>475</v>
      </c>
      <c r="P6" s="161" t="s">
        <v>476</v>
      </c>
      <c r="R6" s="164" t="s">
        <v>477</v>
      </c>
    </row>
    <row r="7" spans="1:18" ht="72">
      <c r="B7" s="157" t="s">
        <v>478</v>
      </c>
      <c r="C7" s="169" t="s">
        <v>479</v>
      </c>
      <c r="D7" s="173" t="s">
        <v>480</v>
      </c>
      <c r="E7" s="159"/>
      <c r="F7" s="160" t="s">
        <v>481</v>
      </c>
      <c r="G7" s="38" t="s">
        <v>482</v>
      </c>
      <c r="I7" s="161" t="s">
        <v>483</v>
      </c>
      <c r="J7" s="162" t="s">
        <v>484</v>
      </c>
      <c r="K7" s="163" t="s">
        <v>485</v>
      </c>
      <c r="L7" s="163" t="s">
        <v>486</v>
      </c>
      <c r="M7" s="163" t="s">
        <v>487</v>
      </c>
      <c r="N7" s="172" t="s">
        <v>488</v>
      </c>
      <c r="O7" s="161" t="s">
        <v>489</v>
      </c>
      <c r="R7" s="164" t="s">
        <v>490</v>
      </c>
    </row>
    <row r="8" spans="1:18" ht="15" customHeight="1">
      <c r="B8" s="157" t="s">
        <v>491</v>
      </c>
      <c r="C8" s="169" t="s">
        <v>492</v>
      </c>
      <c r="D8" s="170" t="s">
        <v>493</v>
      </c>
      <c r="E8" s="159"/>
      <c r="F8" s="160" t="s">
        <v>494</v>
      </c>
      <c r="G8" s="38" t="s">
        <v>495</v>
      </c>
      <c r="I8" s="161" t="s">
        <v>496</v>
      </c>
      <c r="J8" s="162" t="s">
        <v>497</v>
      </c>
      <c r="K8" s="163" t="s">
        <v>498</v>
      </c>
      <c r="L8" s="174" t="s">
        <v>499</v>
      </c>
      <c r="M8" s="163" t="s">
        <v>500</v>
      </c>
      <c r="N8" s="175" t="s">
        <v>501</v>
      </c>
      <c r="O8" s="161" t="s">
        <v>502</v>
      </c>
      <c r="R8" s="164" t="s">
        <v>503</v>
      </c>
    </row>
    <row r="9" spans="1:18" ht="72">
      <c r="B9" s="157" t="s">
        <v>504</v>
      </c>
      <c r="C9" s="176" t="s">
        <v>505</v>
      </c>
      <c r="D9" s="222" t="s">
        <v>506</v>
      </c>
      <c r="E9" s="159"/>
      <c r="F9" s="160" t="s">
        <v>507</v>
      </c>
      <c r="G9" s="157" t="s">
        <v>508</v>
      </c>
      <c r="I9" s="161" t="s">
        <v>509</v>
      </c>
      <c r="J9" s="162" t="s">
        <v>510</v>
      </c>
      <c r="K9" s="163" t="s">
        <v>511</v>
      </c>
      <c r="L9" s="177"/>
      <c r="M9" s="163" t="s">
        <v>512</v>
      </c>
      <c r="N9" s="172" t="s">
        <v>513</v>
      </c>
      <c r="O9" s="161" t="s">
        <v>514</v>
      </c>
      <c r="R9" s="164" t="s">
        <v>515</v>
      </c>
    </row>
    <row r="10" spans="1:18" ht="57.6">
      <c r="B10" s="157" t="s">
        <v>516</v>
      </c>
      <c r="C10" s="178" t="s">
        <v>517</v>
      </c>
      <c r="D10" s="224"/>
      <c r="E10" s="159"/>
      <c r="F10" s="160" t="s">
        <v>518</v>
      </c>
      <c r="G10" s="157" t="s">
        <v>519</v>
      </c>
      <c r="I10" s="161" t="s">
        <v>520</v>
      </c>
      <c r="J10" s="179"/>
      <c r="K10" s="163" t="s">
        <v>521</v>
      </c>
      <c r="L10" s="177"/>
      <c r="M10" s="163" t="s">
        <v>522</v>
      </c>
      <c r="N10" s="175" t="s">
        <v>523</v>
      </c>
      <c r="O10" s="161" t="s">
        <v>524</v>
      </c>
      <c r="R10" s="164" t="s">
        <v>525</v>
      </c>
    </row>
    <row r="11" spans="1:18" ht="15" customHeight="1">
      <c r="B11" s="157" t="s">
        <v>526</v>
      </c>
      <c r="C11" s="180" t="s">
        <v>527</v>
      </c>
      <c r="D11" s="222" t="s">
        <v>528</v>
      </c>
      <c r="E11" s="159"/>
      <c r="F11" s="160" t="s">
        <v>529</v>
      </c>
      <c r="G11" s="157" t="s">
        <v>530</v>
      </c>
      <c r="I11" s="161" t="s">
        <v>531</v>
      </c>
      <c r="J11" s="181"/>
      <c r="K11" s="163" t="s">
        <v>532</v>
      </c>
      <c r="L11" s="177"/>
      <c r="M11" s="163" t="s">
        <v>533</v>
      </c>
      <c r="N11" s="175" t="s">
        <v>534</v>
      </c>
      <c r="R11" s="164" t="s">
        <v>535</v>
      </c>
    </row>
    <row r="12" spans="1:18" ht="158.4">
      <c r="B12" s="157" t="s">
        <v>536</v>
      </c>
      <c r="C12" s="182" t="s">
        <v>537</v>
      </c>
      <c r="D12" s="223"/>
      <c r="E12" s="159"/>
      <c r="F12" s="160" t="s">
        <v>538</v>
      </c>
      <c r="G12" s="157" t="s">
        <v>539</v>
      </c>
      <c r="I12" s="161" t="s">
        <v>23</v>
      </c>
      <c r="J12" s="183"/>
      <c r="K12" s="163" t="s">
        <v>540</v>
      </c>
      <c r="L12" s="177"/>
      <c r="M12" s="161" t="s">
        <v>380</v>
      </c>
      <c r="N12" s="168" t="s">
        <v>381</v>
      </c>
      <c r="R12" s="164" t="s">
        <v>541</v>
      </c>
    </row>
    <row r="13" spans="1:18" ht="24.75" customHeight="1">
      <c r="B13" s="157" t="s">
        <v>542</v>
      </c>
      <c r="C13" s="182" t="s">
        <v>543</v>
      </c>
      <c r="D13" s="225"/>
      <c r="E13" s="159"/>
      <c r="F13" s="160" t="s">
        <v>544</v>
      </c>
      <c r="G13" s="157" t="s">
        <v>545</v>
      </c>
      <c r="I13" s="161" t="s">
        <v>546</v>
      </c>
      <c r="K13" s="163" t="s">
        <v>547</v>
      </c>
      <c r="L13" s="177"/>
      <c r="M13" s="163" t="s">
        <v>548</v>
      </c>
      <c r="N13" s="175" t="s">
        <v>549</v>
      </c>
      <c r="R13" s="164" t="s">
        <v>550</v>
      </c>
    </row>
    <row r="14" spans="1:18" ht="115.2">
      <c r="B14" s="157" t="s">
        <v>551</v>
      </c>
      <c r="C14" s="180" t="s">
        <v>552</v>
      </c>
      <c r="D14" s="226" t="s">
        <v>11</v>
      </c>
      <c r="E14" s="159"/>
      <c r="F14" s="160" t="s">
        <v>553</v>
      </c>
      <c r="G14" s="157" t="s">
        <v>554</v>
      </c>
      <c r="I14" s="161" t="s">
        <v>555</v>
      </c>
      <c r="J14" s="181"/>
      <c r="K14" s="163" t="s">
        <v>556</v>
      </c>
      <c r="L14" s="177"/>
      <c r="M14" s="163" t="s">
        <v>557</v>
      </c>
      <c r="N14" s="175" t="s">
        <v>558</v>
      </c>
      <c r="R14" s="164" t="s">
        <v>559</v>
      </c>
    </row>
    <row r="15" spans="1:18" ht="129.6">
      <c r="B15" s="157" t="s">
        <v>560</v>
      </c>
      <c r="C15" s="180" t="s">
        <v>561</v>
      </c>
      <c r="D15" s="225"/>
      <c r="E15" s="159"/>
      <c r="F15" s="160" t="s">
        <v>562</v>
      </c>
      <c r="G15" s="157" t="s">
        <v>563</v>
      </c>
      <c r="I15" s="161" t="s">
        <v>564</v>
      </c>
      <c r="J15" s="181"/>
      <c r="K15" s="163" t="s">
        <v>378</v>
      </c>
      <c r="L15" s="177"/>
      <c r="M15" s="163" t="s">
        <v>565</v>
      </c>
      <c r="N15" s="175" t="s">
        <v>566</v>
      </c>
      <c r="R15" s="164" t="s">
        <v>567</v>
      </c>
    </row>
    <row r="16" spans="1:18" ht="86.4">
      <c r="B16" s="157" t="s">
        <v>568</v>
      </c>
      <c r="C16" s="185" t="s">
        <v>569</v>
      </c>
      <c r="D16" s="184" t="s">
        <v>570</v>
      </c>
      <c r="E16" s="159"/>
      <c r="F16" s="160" t="s">
        <v>16</v>
      </c>
      <c r="G16" s="157" t="s">
        <v>571</v>
      </c>
      <c r="I16" s="161" t="s">
        <v>572</v>
      </c>
      <c r="J16" s="183"/>
      <c r="K16" s="163" t="s">
        <v>573</v>
      </c>
      <c r="L16" s="177"/>
      <c r="M16" s="163" t="s">
        <v>574</v>
      </c>
      <c r="N16" s="175" t="s">
        <v>575</v>
      </c>
      <c r="R16" s="164" t="s">
        <v>576</v>
      </c>
    </row>
    <row r="17" spans="2:18" ht="129.6">
      <c r="B17" s="157" t="s">
        <v>577</v>
      </c>
      <c r="C17" s="169" t="s">
        <v>578</v>
      </c>
      <c r="D17" s="173" t="s">
        <v>579</v>
      </c>
      <c r="F17" s="160" t="s">
        <v>580</v>
      </c>
      <c r="G17" s="157" t="s">
        <v>581</v>
      </c>
      <c r="I17" s="161" t="s">
        <v>582</v>
      </c>
      <c r="K17" s="163" t="s">
        <v>583</v>
      </c>
      <c r="L17" s="177"/>
      <c r="M17" s="163" t="s">
        <v>584</v>
      </c>
      <c r="N17" s="175" t="s">
        <v>585</v>
      </c>
      <c r="R17" s="164" t="s">
        <v>586</v>
      </c>
    </row>
    <row r="18" spans="2:18" ht="100.8">
      <c r="B18" s="157" t="s">
        <v>587</v>
      </c>
      <c r="C18" s="176" t="s">
        <v>588</v>
      </c>
      <c r="D18" s="226" t="s">
        <v>589</v>
      </c>
      <c r="F18" s="160" t="s">
        <v>590</v>
      </c>
      <c r="G18" s="38" t="s">
        <v>591</v>
      </c>
      <c r="I18" s="161" t="s">
        <v>592</v>
      </c>
      <c r="K18" s="163" t="s">
        <v>593</v>
      </c>
      <c r="L18" s="177"/>
      <c r="M18" s="161" t="s">
        <v>594</v>
      </c>
      <c r="N18" s="175" t="s">
        <v>595</v>
      </c>
      <c r="R18" s="164" t="s">
        <v>596</v>
      </c>
    </row>
    <row r="19" spans="2:18" ht="15" customHeight="1">
      <c r="B19" s="157" t="s">
        <v>597</v>
      </c>
      <c r="C19" s="178" t="s">
        <v>598</v>
      </c>
      <c r="D19" s="225"/>
      <c r="F19" s="160" t="s">
        <v>599</v>
      </c>
      <c r="G19" s="157" t="s">
        <v>600</v>
      </c>
      <c r="I19" s="161" t="s">
        <v>601</v>
      </c>
      <c r="J19" s="1"/>
      <c r="K19" s="163" t="s">
        <v>602</v>
      </c>
      <c r="L19" s="177"/>
      <c r="M19" s="163" t="s">
        <v>603</v>
      </c>
      <c r="N19" s="172" t="s">
        <v>604</v>
      </c>
      <c r="R19" s="164" t="s">
        <v>605</v>
      </c>
    </row>
    <row r="20" spans="2:18" ht="129.6">
      <c r="B20" s="157" t="s">
        <v>606</v>
      </c>
      <c r="C20" s="186" t="s">
        <v>607</v>
      </c>
      <c r="D20" s="184" t="s">
        <v>608</v>
      </c>
      <c r="F20" s="160" t="s">
        <v>609</v>
      </c>
      <c r="G20" s="157" t="s">
        <v>610</v>
      </c>
      <c r="I20" s="161" t="s">
        <v>611</v>
      </c>
      <c r="J20" s="1"/>
      <c r="K20" s="163" t="s">
        <v>612</v>
      </c>
      <c r="L20" s="177"/>
      <c r="M20" s="163" t="s">
        <v>613</v>
      </c>
      <c r="N20" s="172" t="s">
        <v>614</v>
      </c>
      <c r="R20" s="164" t="s">
        <v>615</v>
      </c>
    </row>
    <row r="21" spans="2:18" ht="15.75" customHeight="1">
      <c r="B21" s="157" t="s">
        <v>616</v>
      </c>
      <c r="C21" s="186" t="s">
        <v>617</v>
      </c>
      <c r="D21" s="184" t="s">
        <v>618</v>
      </c>
      <c r="F21" s="160" t="s">
        <v>619</v>
      </c>
      <c r="G21" s="157" t="s">
        <v>620</v>
      </c>
      <c r="I21" s="161" t="s">
        <v>621</v>
      </c>
      <c r="K21" s="163" t="s">
        <v>622</v>
      </c>
      <c r="L21" s="177"/>
      <c r="M21" s="163" t="s">
        <v>623</v>
      </c>
      <c r="N21" s="172" t="s">
        <v>624</v>
      </c>
      <c r="R21" s="164" t="s">
        <v>625</v>
      </c>
    </row>
    <row r="22" spans="2:18" ht="15.75" customHeight="1">
      <c r="B22" s="157" t="s">
        <v>626</v>
      </c>
      <c r="C22" s="176" t="s">
        <v>627</v>
      </c>
      <c r="D22" s="219" t="s">
        <v>628</v>
      </c>
      <c r="F22" s="160" t="s">
        <v>629</v>
      </c>
      <c r="G22" s="157" t="s">
        <v>630</v>
      </c>
      <c r="I22" s="161" t="s">
        <v>631</v>
      </c>
      <c r="K22" s="163" t="s">
        <v>632</v>
      </c>
      <c r="L22" s="177"/>
      <c r="M22" s="161" t="s">
        <v>633</v>
      </c>
      <c r="N22" s="172" t="s">
        <v>634</v>
      </c>
      <c r="R22" s="164" t="s">
        <v>635</v>
      </c>
    </row>
    <row r="23" spans="2:18" ht="15.75" customHeight="1">
      <c r="B23" s="157" t="s">
        <v>636</v>
      </c>
      <c r="C23" s="178" t="s">
        <v>637</v>
      </c>
      <c r="D23" s="220"/>
      <c r="F23" s="160" t="s">
        <v>638</v>
      </c>
      <c r="G23" s="157" t="s">
        <v>639</v>
      </c>
      <c r="I23" s="161" t="s">
        <v>640</v>
      </c>
      <c r="K23" s="163" t="s">
        <v>641</v>
      </c>
      <c r="L23" s="177"/>
      <c r="M23" s="163" t="s">
        <v>642</v>
      </c>
      <c r="N23" s="168" t="s">
        <v>643</v>
      </c>
      <c r="R23" s="164" t="s">
        <v>644</v>
      </c>
    </row>
    <row r="24" spans="2:18" ht="15.75" customHeight="1">
      <c r="B24" s="157" t="s">
        <v>645</v>
      </c>
      <c r="C24" s="186" t="s">
        <v>646</v>
      </c>
      <c r="D24" s="187" t="s">
        <v>647</v>
      </c>
      <c r="F24" s="160" t="s">
        <v>648</v>
      </c>
      <c r="G24" s="157" t="s">
        <v>649</v>
      </c>
      <c r="I24" s="161" t="s">
        <v>650</v>
      </c>
      <c r="K24" s="163" t="s">
        <v>651</v>
      </c>
      <c r="L24" s="177"/>
      <c r="M24" s="181"/>
      <c r="N24" s="168" t="s">
        <v>652</v>
      </c>
      <c r="R24" s="164" t="s">
        <v>653</v>
      </c>
    </row>
    <row r="25" spans="2:18" ht="15.75" customHeight="1">
      <c r="B25" s="157" t="s">
        <v>654</v>
      </c>
      <c r="C25" s="176" t="s">
        <v>655</v>
      </c>
      <c r="D25" s="219" t="s">
        <v>656</v>
      </c>
      <c r="F25" s="160" t="s">
        <v>657</v>
      </c>
      <c r="G25" s="157" t="s">
        <v>658</v>
      </c>
      <c r="I25" s="161" t="s">
        <v>659</v>
      </c>
      <c r="K25" s="163" t="s">
        <v>660</v>
      </c>
      <c r="L25" s="177"/>
      <c r="M25" s="181"/>
      <c r="N25" s="168" t="s">
        <v>661</v>
      </c>
      <c r="R25" s="164" t="s">
        <v>662</v>
      </c>
    </row>
    <row r="26" spans="2:18" ht="21" customHeight="1">
      <c r="C26" s="165" t="s">
        <v>663</v>
      </c>
      <c r="D26" s="221"/>
      <c r="F26" s="160" t="s">
        <v>664</v>
      </c>
      <c r="G26" s="157" t="s">
        <v>665</v>
      </c>
      <c r="I26" s="161" t="s">
        <v>666</v>
      </c>
      <c r="K26" s="163" t="s">
        <v>667</v>
      </c>
      <c r="L26" s="177"/>
      <c r="M26" s="181"/>
      <c r="N26" s="168" t="s">
        <v>668</v>
      </c>
      <c r="R26" s="164" t="s">
        <v>669</v>
      </c>
    </row>
    <row r="27" spans="2:18" ht="15.75" customHeight="1">
      <c r="C27" s="165" t="s">
        <v>670</v>
      </c>
      <c r="D27" s="221"/>
      <c r="F27" s="160" t="s">
        <v>671</v>
      </c>
      <c r="G27" s="157" t="s">
        <v>672</v>
      </c>
      <c r="I27" s="161" t="s">
        <v>673</v>
      </c>
      <c r="K27" s="163" t="s">
        <v>674</v>
      </c>
      <c r="L27" s="177"/>
      <c r="M27" s="181"/>
      <c r="N27" s="168" t="s">
        <v>675</v>
      </c>
      <c r="R27" s="164" t="s">
        <v>98</v>
      </c>
    </row>
    <row r="28" spans="2:18" ht="15.75" customHeight="1">
      <c r="C28" s="178" t="s">
        <v>676</v>
      </c>
      <c r="D28" s="220"/>
      <c r="F28" s="188" t="s">
        <v>677</v>
      </c>
      <c r="G28" s="157" t="s">
        <v>678</v>
      </c>
      <c r="I28" s="161" t="s">
        <v>679</v>
      </c>
      <c r="K28" s="163" t="s">
        <v>680</v>
      </c>
      <c r="L28" s="177"/>
      <c r="M28" s="181"/>
      <c r="N28" s="168" t="s">
        <v>681</v>
      </c>
      <c r="R28" s="164" t="s">
        <v>682</v>
      </c>
    </row>
    <row r="29" spans="2:18" ht="15.75" customHeight="1">
      <c r="C29" s="176" t="s">
        <v>683</v>
      </c>
      <c r="D29" s="219" t="s">
        <v>684</v>
      </c>
      <c r="F29" s="160" t="s">
        <v>685</v>
      </c>
      <c r="G29" s="157" t="s">
        <v>686</v>
      </c>
      <c r="I29" s="161" t="s">
        <v>687</v>
      </c>
      <c r="K29" s="163" t="s">
        <v>688</v>
      </c>
      <c r="L29" s="177"/>
      <c r="M29" s="181"/>
      <c r="N29" s="168" t="s">
        <v>689</v>
      </c>
      <c r="R29" s="164" t="s">
        <v>690</v>
      </c>
    </row>
    <row r="30" spans="2:18" ht="15" customHeight="1">
      <c r="C30" s="165" t="s">
        <v>691</v>
      </c>
      <c r="D30" s="221"/>
      <c r="F30" s="160" t="s">
        <v>692</v>
      </c>
      <c r="G30" s="157" t="s">
        <v>693</v>
      </c>
      <c r="I30" s="161" t="s">
        <v>694</v>
      </c>
      <c r="L30" s="177"/>
      <c r="M30" s="181"/>
      <c r="N30" s="168" t="s">
        <v>695</v>
      </c>
      <c r="R30" s="164" t="s">
        <v>696</v>
      </c>
    </row>
    <row r="31" spans="2:18" ht="105" customHeight="1">
      <c r="C31" s="178" t="s">
        <v>697</v>
      </c>
      <c r="D31" s="220"/>
      <c r="G31" s="157" t="s">
        <v>698</v>
      </c>
      <c r="I31" s="161" t="s">
        <v>699</v>
      </c>
      <c r="L31" s="177"/>
      <c r="M31" s="181"/>
      <c r="N31" s="168" t="s">
        <v>700</v>
      </c>
      <c r="R31" s="164" t="s">
        <v>701</v>
      </c>
    </row>
    <row r="32" spans="2:18" ht="15.75" customHeight="1">
      <c r="C32" s="169" t="s">
        <v>702</v>
      </c>
      <c r="D32" s="189" t="s">
        <v>703</v>
      </c>
      <c r="G32" s="157" t="s">
        <v>704</v>
      </c>
      <c r="I32" s="161" t="s">
        <v>705</v>
      </c>
      <c r="L32" s="177"/>
      <c r="M32" s="181"/>
      <c r="N32" s="168" t="s">
        <v>706</v>
      </c>
      <c r="R32" s="164" t="s">
        <v>707</v>
      </c>
    </row>
    <row r="33" spans="7:18" ht="15.75" customHeight="1">
      <c r="G33" s="157" t="s">
        <v>708</v>
      </c>
      <c r="L33" s="177"/>
      <c r="M33" s="181"/>
      <c r="N33" s="168" t="s">
        <v>709</v>
      </c>
      <c r="R33" s="164" t="s">
        <v>710</v>
      </c>
    </row>
    <row r="34" spans="7:18" ht="15.75" customHeight="1">
      <c r="G34" s="157" t="s">
        <v>711</v>
      </c>
      <c r="L34" s="177"/>
      <c r="M34" s="183"/>
      <c r="N34" s="168" t="s">
        <v>712</v>
      </c>
      <c r="R34" s="164" t="s">
        <v>713</v>
      </c>
    </row>
    <row r="35" spans="7:18" ht="15.75" customHeight="1">
      <c r="G35" s="157" t="s">
        <v>714</v>
      </c>
      <c r="L35" s="177"/>
      <c r="N35" s="168" t="s">
        <v>715</v>
      </c>
      <c r="R35" s="164" t="s">
        <v>716</v>
      </c>
    </row>
    <row r="36" spans="7:18" ht="15" customHeight="1">
      <c r="G36" s="157" t="s">
        <v>717</v>
      </c>
      <c r="L36" s="177"/>
      <c r="N36" s="168" t="s">
        <v>718</v>
      </c>
      <c r="R36" s="164" t="s">
        <v>719</v>
      </c>
    </row>
    <row r="37" spans="7:18" ht="15.75" customHeight="1">
      <c r="G37" s="157" t="s">
        <v>720</v>
      </c>
      <c r="L37" s="177"/>
      <c r="N37" s="168" t="s">
        <v>721</v>
      </c>
      <c r="R37" s="164" t="s">
        <v>722</v>
      </c>
    </row>
    <row r="38" spans="7:18" ht="15.75" customHeight="1">
      <c r="G38" s="157" t="s">
        <v>723</v>
      </c>
      <c r="L38" s="177"/>
      <c r="N38" s="168" t="s">
        <v>724</v>
      </c>
      <c r="R38" s="164" t="s">
        <v>725</v>
      </c>
    </row>
    <row r="39" spans="7:18" ht="15.75" customHeight="1">
      <c r="G39" s="157" t="s">
        <v>726</v>
      </c>
      <c r="L39" s="177"/>
      <c r="N39" s="168" t="s">
        <v>727</v>
      </c>
      <c r="R39" s="164" t="s">
        <v>728</v>
      </c>
    </row>
    <row r="40" spans="7:18" ht="15" customHeight="1">
      <c r="G40" s="157" t="s">
        <v>729</v>
      </c>
      <c r="L40" s="177"/>
      <c r="N40" s="168" t="s">
        <v>730</v>
      </c>
      <c r="R40" s="164" t="s">
        <v>731</v>
      </c>
    </row>
    <row r="41" spans="7:18" ht="15.75" customHeight="1">
      <c r="G41" s="157" t="s">
        <v>732</v>
      </c>
      <c r="L41" s="177"/>
      <c r="N41" s="168" t="s">
        <v>733</v>
      </c>
      <c r="R41" s="164" t="s">
        <v>734</v>
      </c>
    </row>
    <row r="42" spans="7:18" ht="15" customHeight="1">
      <c r="G42" s="157" t="s">
        <v>735</v>
      </c>
      <c r="L42" s="177"/>
      <c r="N42" s="172" t="s">
        <v>736</v>
      </c>
      <c r="R42" s="164" t="s">
        <v>737</v>
      </c>
    </row>
    <row r="43" spans="7:18" ht="15.75" customHeight="1">
      <c r="G43" s="157" t="s">
        <v>738</v>
      </c>
      <c r="L43" s="177"/>
      <c r="N43" s="1" t="s">
        <v>739</v>
      </c>
      <c r="R43" s="164" t="s">
        <v>740</v>
      </c>
    </row>
    <row r="44" spans="7:18" ht="15.75" customHeight="1">
      <c r="G44" s="157" t="s">
        <v>741</v>
      </c>
      <c r="L44" s="177"/>
      <c r="N44" s="168" t="s">
        <v>742</v>
      </c>
      <c r="R44" s="164" t="s">
        <v>743</v>
      </c>
    </row>
    <row r="45" spans="7:18" ht="15.75" customHeight="1">
      <c r="G45" s="157" t="s">
        <v>744</v>
      </c>
      <c r="L45" s="177"/>
      <c r="N45" s="168" t="s">
        <v>745</v>
      </c>
      <c r="R45" s="164" t="s">
        <v>746</v>
      </c>
    </row>
    <row r="46" spans="7:18" ht="15" customHeight="1">
      <c r="G46" s="157" t="s">
        <v>747</v>
      </c>
      <c r="L46" s="177"/>
      <c r="N46" s="168" t="s">
        <v>748</v>
      </c>
      <c r="R46" s="164" t="s">
        <v>749</v>
      </c>
    </row>
    <row r="47" spans="7:18" ht="15.75" customHeight="1">
      <c r="G47" s="157" t="s">
        <v>750</v>
      </c>
      <c r="L47" s="177"/>
      <c r="N47" s="168" t="s">
        <v>751</v>
      </c>
      <c r="R47" s="164" t="s">
        <v>752</v>
      </c>
    </row>
    <row r="48" spans="7:18" ht="15" customHeight="1">
      <c r="G48" s="157" t="s">
        <v>753</v>
      </c>
      <c r="L48" s="177"/>
      <c r="N48" s="168" t="s">
        <v>754</v>
      </c>
      <c r="R48" s="164" t="s">
        <v>755</v>
      </c>
    </row>
    <row r="49" spans="7:18" ht="15.75" customHeight="1">
      <c r="G49" s="157" t="s">
        <v>756</v>
      </c>
      <c r="L49" s="177"/>
      <c r="N49" s="168" t="s">
        <v>757</v>
      </c>
      <c r="R49" s="164" t="s">
        <v>758</v>
      </c>
    </row>
    <row r="50" spans="7:18" ht="15" customHeight="1">
      <c r="G50" s="157" t="s">
        <v>759</v>
      </c>
      <c r="L50" s="177"/>
      <c r="N50" s="175" t="s">
        <v>760</v>
      </c>
      <c r="R50" s="164" t="s">
        <v>761</v>
      </c>
    </row>
    <row r="51" spans="7:18" ht="15.75" customHeight="1">
      <c r="G51" s="157" t="s">
        <v>762</v>
      </c>
      <c r="L51" s="177"/>
      <c r="N51" s="168" t="s">
        <v>763</v>
      </c>
      <c r="R51" s="164" t="s">
        <v>764</v>
      </c>
    </row>
    <row r="52" spans="7:18" ht="15.75" customHeight="1">
      <c r="G52" s="157" t="s">
        <v>765</v>
      </c>
      <c r="L52" s="177"/>
      <c r="N52" s="168" t="s">
        <v>766</v>
      </c>
      <c r="R52" s="164" t="s">
        <v>767</v>
      </c>
    </row>
    <row r="53" spans="7:18" ht="15" customHeight="1">
      <c r="G53" s="157" t="s">
        <v>768</v>
      </c>
      <c r="L53" s="177"/>
      <c r="N53" s="175" t="s">
        <v>769</v>
      </c>
      <c r="R53" s="164" t="s">
        <v>770</v>
      </c>
    </row>
    <row r="54" spans="7:18" ht="15.75" customHeight="1">
      <c r="G54" s="157" t="s">
        <v>771</v>
      </c>
      <c r="L54" s="177"/>
      <c r="N54" s="168" t="s">
        <v>772</v>
      </c>
      <c r="R54" s="164" t="s">
        <v>773</v>
      </c>
    </row>
    <row r="55" spans="7:18" ht="15" customHeight="1">
      <c r="G55" s="157" t="s">
        <v>774</v>
      </c>
      <c r="L55" s="177"/>
      <c r="N55" s="168" t="s">
        <v>775</v>
      </c>
      <c r="R55" s="164" t="s">
        <v>776</v>
      </c>
    </row>
    <row r="56" spans="7:18" ht="15.75" customHeight="1">
      <c r="G56" s="157" t="s">
        <v>777</v>
      </c>
      <c r="L56" s="177"/>
      <c r="N56" s="168" t="s">
        <v>778</v>
      </c>
      <c r="R56" s="164" t="s">
        <v>779</v>
      </c>
    </row>
    <row r="57" spans="7:18" ht="15.75" customHeight="1">
      <c r="G57" s="157" t="s">
        <v>780</v>
      </c>
      <c r="L57" s="177"/>
      <c r="N57" s="168" t="s">
        <v>781</v>
      </c>
      <c r="R57" s="164" t="s">
        <v>782</v>
      </c>
    </row>
    <row r="58" spans="7:18" ht="15" customHeight="1">
      <c r="G58" s="157" t="s">
        <v>783</v>
      </c>
      <c r="L58" s="177"/>
      <c r="N58" s="168" t="s">
        <v>784</v>
      </c>
      <c r="R58" s="164" t="s">
        <v>785</v>
      </c>
    </row>
    <row r="59" spans="7:18" ht="15.75" customHeight="1">
      <c r="G59" s="157" t="s">
        <v>786</v>
      </c>
      <c r="L59" s="177"/>
      <c r="N59" s="168" t="s">
        <v>787</v>
      </c>
      <c r="R59" s="164" t="s">
        <v>788</v>
      </c>
    </row>
    <row r="60" spans="7:18" ht="15" customHeight="1">
      <c r="G60" s="157" t="s">
        <v>789</v>
      </c>
      <c r="L60" s="177"/>
      <c r="N60" s="168" t="s">
        <v>790</v>
      </c>
      <c r="R60" s="164" t="s">
        <v>791</v>
      </c>
    </row>
    <row r="61" spans="7:18" ht="15.75" customHeight="1">
      <c r="G61" s="157" t="s">
        <v>792</v>
      </c>
      <c r="L61" s="177"/>
      <c r="N61" s="168" t="s">
        <v>793</v>
      </c>
      <c r="R61" s="164" t="s">
        <v>794</v>
      </c>
    </row>
    <row r="62" spans="7:18" ht="15" customHeight="1">
      <c r="G62" s="157" t="s">
        <v>795</v>
      </c>
      <c r="L62" s="177"/>
      <c r="N62" s="168" t="s">
        <v>796</v>
      </c>
      <c r="R62" s="164" t="s">
        <v>797</v>
      </c>
    </row>
    <row r="63" spans="7:18" ht="15.75" customHeight="1">
      <c r="G63" s="157" t="s">
        <v>798</v>
      </c>
      <c r="L63" s="177"/>
      <c r="N63" s="168" t="s">
        <v>799</v>
      </c>
      <c r="R63" s="164" t="s">
        <v>800</v>
      </c>
    </row>
    <row r="64" spans="7:18" ht="15.75" customHeight="1">
      <c r="G64" s="157" t="s">
        <v>801</v>
      </c>
      <c r="L64" s="177"/>
      <c r="N64" s="168" t="s">
        <v>802</v>
      </c>
      <c r="R64" s="164" t="s">
        <v>803</v>
      </c>
    </row>
    <row r="65" spans="7:18" ht="15.75" customHeight="1">
      <c r="G65" s="157" t="s">
        <v>804</v>
      </c>
      <c r="L65" s="177"/>
      <c r="N65" s="168" t="s">
        <v>805</v>
      </c>
      <c r="R65" s="164" t="s">
        <v>806</v>
      </c>
    </row>
    <row r="66" spans="7:18" ht="15" customHeight="1">
      <c r="G66" s="157" t="s">
        <v>807</v>
      </c>
      <c r="L66" s="177"/>
      <c r="N66" s="168" t="s">
        <v>808</v>
      </c>
      <c r="R66" s="164" t="s">
        <v>809</v>
      </c>
    </row>
    <row r="67" spans="7:18" ht="15.75" customHeight="1">
      <c r="G67" s="157" t="s">
        <v>810</v>
      </c>
      <c r="L67" s="177"/>
      <c r="N67" s="168" t="s">
        <v>811</v>
      </c>
      <c r="R67" s="164" t="s">
        <v>812</v>
      </c>
    </row>
    <row r="68" spans="7:18" ht="15.75" customHeight="1">
      <c r="G68" s="157" t="s">
        <v>18</v>
      </c>
      <c r="L68" s="177"/>
      <c r="N68" s="168" t="s">
        <v>813</v>
      </c>
      <c r="R68" s="164" t="s">
        <v>814</v>
      </c>
    </row>
    <row r="69" spans="7:18" ht="15.75" customHeight="1">
      <c r="G69" s="157" t="s">
        <v>815</v>
      </c>
      <c r="L69" s="177"/>
      <c r="N69" s="168" t="s">
        <v>816</v>
      </c>
      <c r="R69" s="164" t="s">
        <v>817</v>
      </c>
    </row>
    <row r="70" spans="7:18" ht="15" customHeight="1">
      <c r="G70" s="38" t="s">
        <v>818</v>
      </c>
      <c r="L70" s="177"/>
      <c r="N70" s="168" t="s">
        <v>819</v>
      </c>
      <c r="R70" s="164" t="s">
        <v>820</v>
      </c>
    </row>
    <row r="71" spans="7:18" ht="15.75" customHeight="1">
      <c r="G71" s="157" t="s">
        <v>821</v>
      </c>
      <c r="L71" s="177"/>
      <c r="N71" s="168" t="s">
        <v>822</v>
      </c>
      <c r="R71" s="164" t="s">
        <v>823</v>
      </c>
    </row>
    <row r="72" spans="7:18" ht="15.75" customHeight="1">
      <c r="G72" s="157" t="s">
        <v>824</v>
      </c>
      <c r="L72" s="177"/>
      <c r="N72" s="168" t="s">
        <v>825</v>
      </c>
      <c r="R72" s="164" t="s">
        <v>826</v>
      </c>
    </row>
    <row r="73" spans="7:18" ht="15.75" customHeight="1">
      <c r="G73" s="157" t="s">
        <v>827</v>
      </c>
      <c r="L73" s="177"/>
      <c r="N73" s="168" t="s">
        <v>828</v>
      </c>
      <c r="R73" s="164" t="s">
        <v>829</v>
      </c>
    </row>
    <row r="74" spans="7:18" ht="15.75" customHeight="1">
      <c r="G74" s="157" t="s">
        <v>830</v>
      </c>
      <c r="L74" s="177"/>
      <c r="N74" s="168" t="s">
        <v>831</v>
      </c>
      <c r="R74" s="164" t="s">
        <v>832</v>
      </c>
    </row>
    <row r="75" spans="7:18" ht="15.75" customHeight="1">
      <c r="G75" s="157" t="s">
        <v>833</v>
      </c>
      <c r="L75" s="177"/>
      <c r="N75" s="168" t="s">
        <v>834</v>
      </c>
      <c r="R75" s="164" t="s">
        <v>835</v>
      </c>
    </row>
    <row r="76" spans="7:18" ht="15.75" customHeight="1">
      <c r="G76" s="157" t="s">
        <v>836</v>
      </c>
      <c r="L76" s="177"/>
      <c r="N76" s="168" t="s">
        <v>837</v>
      </c>
      <c r="R76" s="164" t="s">
        <v>838</v>
      </c>
    </row>
    <row r="77" spans="7:18" ht="15.75" customHeight="1">
      <c r="G77" s="157" t="s">
        <v>839</v>
      </c>
      <c r="L77" s="177"/>
      <c r="N77" s="168" t="s">
        <v>840</v>
      </c>
      <c r="R77" s="164" t="s">
        <v>841</v>
      </c>
    </row>
    <row r="78" spans="7:18" ht="15.75" customHeight="1">
      <c r="G78" s="157" t="s">
        <v>842</v>
      </c>
      <c r="L78" s="177"/>
      <c r="N78" s="168" t="s">
        <v>843</v>
      </c>
      <c r="R78" s="164" t="s">
        <v>844</v>
      </c>
    </row>
    <row r="79" spans="7:18" ht="15.75" customHeight="1">
      <c r="G79" s="157" t="s">
        <v>845</v>
      </c>
      <c r="L79" s="177"/>
      <c r="N79" s="168" t="s">
        <v>846</v>
      </c>
      <c r="R79" s="164" t="s">
        <v>847</v>
      </c>
    </row>
    <row r="80" spans="7:18" ht="15" customHeight="1">
      <c r="G80" s="157" t="s">
        <v>848</v>
      </c>
      <c r="L80" s="177"/>
      <c r="N80" s="168" t="s">
        <v>849</v>
      </c>
      <c r="R80" s="164" t="s">
        <v>850</v>
      </c>
    </row>
    <row r="81" spans="7:18" ht="15.75" customHeight="1">
      <c r="G81" s="157" t="s">
        <v>851</v>
      </c>
      <c r="L81" s="177"/>
      <c r="N81" s="175" t="s">
        <v>852</v>
      </c>
      <c r="R81" s="164" t="s">
        <v>853</v>
      </c>
    </row>
    <row r="82" spans="7:18" ht="15.75" customHeight="1">
      <c r="G82" s="157" t="s">
        <v>854</v>
      </c>
      <c r="L82" s="177"/>
      <c r="N82" s="168" t="s">
        <v>855</v>
      </c>
      <c r="R82" s="164" t="s">
        <v>856</v>
      </c>
    </row>
    <row r="83" spans="7:18" ht="15" customHeight="1">
      <c r="G83" s="157" t="s">
        <v>857</v>
      </c>
      <c r="L83" s="177"/>
      <c r="N83" s="168" t="s">
        <v>858</v>
      </c>
      <c r="R83" s="164" t="s">
        <v>859</v>
      </c>
    </row>
    <row r="84" spans="7:18" ht="15.75" customHeight="1">
      <c r="G84" s="157" t="s">
        <v>860</v>
      </c>
      <c r="L84" s="177"/>
      <c r="N84" s="168" t="s">
        <v>861</v>
      </c>
      <c r="R84" s="164" t="s">
        <v>862</v>
      </c>
    </row>
    <row r="85" spans="7:18" ht="15.75" customHeight="1">
      <c r="G85" s="157" t="s">
        <v>863</v>
      </c>
      <c r="L85" s="177"/>
      <c r="N85" s="168" t="s">
        <v>864</v>
      </c>
      <c r="R85" s="164" t="s">
        <v>865</v>
      </c>
    </row>
    <row r="86" spans="7:18" ht="15.75" customHeight="1">
      <c r="G86" s="157" t="s">
        <v>866</v>
      </c>
      <c r="L86" s="177"/>
      <c r="N86" s="168" t="s">
        <v>867</v>
      </c>
      <c r="R86" s="164" t="s">
        <v>868</v>
      </c>
    </row>
    <row r="87" spans="7:18" ht="15.75" customHeight="1">
      <c r="G87" s="38" t="s">
        <v>869</v>
      </c>
      <c r="L87" s="177"/>
      <c r="N87" s="172" t="s">
        <v>870</v>
      </c>
      <c r="R87" s="164" t="s">
        <v>871</v>
      </c>
    </row>
    <row r="88" spans="7:18" ht="15" customHeight="1">
      <c r="G88" s="157" t="s">
        <v>872</v>
      </c>
      <c r="L88" s="177"/>
      <c r="N88" s="190" t="s">
        <v>873</v>
      </c>
      <c r="R88" s="164" t="s">
        <v>294</v>
      </c>
    </row>
    <row r="89" spans="7:18" ht="15.75" customHeight="1">
      <c r="G89" s="157" t="s">
        <v>874</v>
      </c>
      <c r="L89" s="177"/>
      <c r="N89" s="172" t="s">
        <v>875</v>
      </c>
      <c r="R89" s="164" t="s">
        <v>876</v>
      </c>
    </row>
    <row r="90" spans="7:18" ht="15.75" customHeight="1">
      <c r="G90" s="157" t="s">
        <v>877</v>
      </c>
      <c r="L90" s="177"/>
      <c r="N90" s="168" t="s">
        <v>878</v>
      </c>
      <c r="R90" s="164" t="s">
        <v>879</v>
      </c>
    </row>
    <row r="91" spans="7:18" ht="15" customHeight="1">
      <c r="G91" s="157" t="s">
        <v>880</v>
      </c>
      <c r="L91" s="191"/>
      <c r="N91" s="1" t="s">
        <v>881</v>
      </c>
      <c r="R91" s="164" t="s">
        <v>882</v>
      </c>
    </row>
    <row r="92" spans="7:18" ht="15.75" customHeight="1">
      <c r="G92" s="157" t="s">
        <v>883</v>
      </c>
      <c r="N92" s="168" t="s">
        <v>884</v>
      </c>
      <c r="R92" s="164" t="s">
        <v>885</v>
      </c>
    </row>
    <row r="93" spans="7:18" ht="15.75" customHeight="1">
      <c r="G93" s="157" t="s">
        <v>886</v>
      </c>
      <c r="L93" s="177"/>
      <c r="N93" s="172" t="s">
        <v>887</v>
      </c>
      <c r="R93" s="164" t="s">
        <v>888</v>
      </c>
    </row>
    <row r="94" spans="7:18" ht="15.75" customHeight="1">
      <c r="G94" s="38" t="s">
        <v>889</v>
      </c>
      <c r="L94" s="177"/>
      <c r="N94" s="172" t="s">
        <v>890</v>
      </c>
      <c r="R94" s="164" t="s">
        <v>891</v>
      </c>
    </row>
    <row r="95" spans="7:18" ht="15" customHeight="1">
      <c r="G95" s="157" t="s">
        <v>892</v>
      </c>
      <c r="L95" s="177"/>
      <c r="R95" s="164" t="s">
        <v>893</v>
      </c>
    </row>
    <row r="96" spans="7:18" ht="15.75" customHeight="1">
      <c r="G96" s="157" t="s">
        <v>894</v>
      </c>
      <c r="L96" s="177"/>
      <c r="R96" s="164" t="s">
        <v>895</v>
      </c>
    </row>
    <row r="97" spans="7:18" ht="15.75" customHeight="1">
      <c r="G97" s="157" t="s">
        <v>896</v>
      </c>
      <c r="L97" s="177"/>
      <c r="R97" s="164" t="s">
        <v>897</v>
      </c>
    </row>
    <row r="98" spans="7:18" ht="15" customHeight="1">
      <c r="G98" s="157" t="s">
        <v>898</v>
      </c>
      <c r="L98" s="177"/>
      <c r="R98" s="164" t="s">
        <v>899</v>
      </c>
    </row>
    <row r="99" spans="7:18" ht="15.75" customHeight="1">
      <c r="G99" s="157" t="s">
        <v>900</v>
      </c>
      <c r="L99" s="177"/>
      <c r="R99" s="164" t="s">
        <v>901</v>
      </c>
    </row>
    <row r="100" spans="7:18" ht="15.75" customHeight="1">
      <c r="G100" s="157" t="s">
        <v>902</v>
      </c>
      <c r="L100" s="177"/>
      <c r="R100" s="192"/>
    </row>
    <row r="101" spans="7:18" ht="15" customHeight="1">
      <c r="G101" s="157" t="s">
        <v>903</v>
      </c>
      <c r="L101" s="177"/>
    </row>
    <row r="102" spans="7:18" ht="15.75" customHeight="1">
      <c r="G102" s="157" t="s">
        <v>904</v>
      </c>
      <c r="L102" s="177"/>
    </row>
    <row r="103" spans="7:18" ht="15.75" customHeight="1">
      <c r="G103" s="157" t="s">
        <v>905</v>
      </c>
      <c r="L103" s="177"/>
    </row>
    <row r="104" spans="7:18" ht="15" customHeight="1">
      <c r="G104" s="157" t="s">
        <v>906</v>
      </c>
      <c r="L104" s="177"/>
    </row>
    <row r="105" spans="7:18" ht="15.75" customHeight="1">
      <c r="G105" s="157" t="s">
        <v>907</v>
      </c>
      <c r="L105" s="177"/>
    </row>
    <row r="106" spans="7:18" ht="15.75" customHeight="1">
      <c r="G106" s="157" t="s">
        <v>908</v>
      </c>
      <c r="L106" s="177"/>
    </row>
    <row r="107" spans="7:18" ht="15" customHeight="1">
      <c r="G107" s="157" t="s">
        <v>909</v>
      </c>
      <c r="L107" s="177"/>
    </row>
    <row r="108" spans="7:18" ht="15.75" customHeight="1">
      <c r="G108" s="157" t="s">
        <v>910</v>
      </c>
      <c r="L108" s="177"/>
    </row>
    <row r="109" spans="7:18" ht="15.75" customHeight="1">
      <c r="G109" s="157" t="s">
        <v>911</v>
      </c>
      <c r="L109" s="177"/>
    </row>
    <row r="110" spans="7:18" ht="15.75" customHeight="1">
      <c r="G110" s="157" t="s">
        <v>912</v>
      </c>
      <c r="L110" s="177"/>
    </row>
    <row r="111" spans="7:18" ht="15" customHeight="1">
      <c r="G111" s="157" t="s">
        <v>913</v>
      </c>
      <c r="L111" s="177"/>
    </row>
    <row r="112" spans="7:18" ht="15.75" customHeight="1">
      <c r="G112" s="38" t="s">
        <v>914</v>
      </c>
      <c r="L112" s="177"/>
    </row>
    <row r="113" spans="7:12" ht="15" customHeight="1">
      <c r="G113" s="38" t="s">
        <v>915</v>
      </c>
      <c r="L113" s="177"/>
    </row>
    <row r="114" spans="7:12" ht="15.75" customHeight="1">
      <c r="L114" s="177"/>
    </row>
    <row r="115" spans="7:12" ht="15.75" customHeight="1">
      <c r="L115" s="177"/>
    </row>
    <row r="116" spans="7:12" ht="15" customHeight="1">
      <c r="L116" s="177"/>
    </row>
    <row r="117" spans="7:12" ht="15.75" customHeight="1">
      <c r="L117" s="177"/>
    </row>
    <row r="118" spans="7:12" ht="15.75" customHeight="1">
      <c r="L118" s="177"/>
    </row>
    <row r="119" spans="7:12" ht="15.75" customHeight="1">
      <c r="L119" s="177"/>
    </row>
    <row r="120" spans="7:12" ht="15.75" customHeight="1">
      <c r="L120" s="177"/>
    </row>
    <row r="121" spans="7:12" ht="15.75" customHeight="1">
      <c r="L121" s="177"/>
    </row>
    <row r="122" spans="7:12" ht="15" customHeight="1">
      <c r="L122" s="177"/>
    </row>
    <row r="123" spans="7:12" ht="15.75" customHeight="1">
      <c r="L123" s="177"/>
    </row>
    <row r="124" spans="7:12" ht="15" customHeight="1">
      <c r="L124" s="177"/>
    </row>
    <row r="125" spans="7:12" ht="15.75" customHeight="1">
      <c r="L125" s="177"/>
    </row>
    <row r="126" spans="7:12" ht="15" customHeight="1">
      <c r="L126" s="177"/>
    </row>
    <row r="127" spans="7:12" ht="15.75" customHeight="1">
      <c r="L127" s="177"/>
    </row>
    <row r="128" spans="7:12" ht="15.75" customHeight="1">
      <c r="L128" s="177"/>
    </row>
    <row r="129" spans="12:12" ht="15.75" customHeight="1">
      <c r="L129" s="177"/>
    </row>
    <row r="130" spans="12:12" ht="15" customHeight="1">
      <c r="L130" s="177"/>
    </row>
    <row r="131" spans="12:12" ht="15.75" customHeight="1">
      <c r="L131" s="177"/>
    </row>
    <row r="132" spans="12:12" ht="15.75" customHeight="1">
      <c r="L132" s="177"/>
    </row>
    <row r="133" spans="12:12" ht="15" customHeight="1">
      <c r="L133" s="177"/>
    </row>
    <row r="134" spans="12:12" ht="15.75" customHeight="1">
      <c r="L134" s="177"/>
    </row>
    <row r="135" spans="12:12" ht="15.75" customHeight="1">
      <c r="L135" s="177"/>
    </row>
    <row r="136" spans="12:12" ht="15" customHeight="1">
      <c r="L136" s="177"/>
    </row>
    <row r="137" spans="12:12" ht="15.75" customHeight="1">
      <c r="L137" s="177"/>
    </row>
    <row r="138" spans="12:12" ht="15" customHeight="1">
      <c r="L138" s="177"/>
    </row>
    <row r="139" spans="12:12" ht="15.75" customHeight="1">
      <c r="L139" s="177"/>
    </row>
    <row r="140" spans="12:12" ht="15.75" customHeight="1">
      <c r="L140" s="177"/>
    </row>
    <row r="141" spans="12:12" ht="15" customHeight="1">
      <c r="L141" s="177"/>
    </row>
    <row r="142" spans="12:12" ht="15.75" customHeight="1">
      <c r="L142" s="177"/>
    </row>
    <row r="143" spans="12:12" ht="15.75" customHeight="1">
      <c r="L143" s="177"/>
    </row>
    <row r="144" spans="12:12" ht="15.75" customHeight="1">
      <c r="L144" s="177"/>
    </row>
    <row r="145" spans="12:12" ht="15.75" customHeight="1">
      <c r="L145" s="177"/>
    </row>
    <row r="146" spans="12:12" ht="15" customHeight="1">
      <c r="L146" s="191"/>
    </row>
    <row r="147" spans="12:12" ht="15.75" customHeight="1"/>
    <row r="149" spans="12:12" ht="15.75" customHeight="1"/>
    <row r="151" spans="12:12" ht="15.75" customHeight="1"/>
    <row r="152" spans="12:12" ht="15.75" customHeight="1"/>
    <row r="154" spans="12:12" ht="15.75" customHeight="1"/>
    <row r="155" spans="12:12" ht="15.75" customHeight="1"/>
    <row r="156" spans="12:12" ht="15.75" customHeight="1"/>
    <row r="157" spans="12:12" ht="15.75" customHeight="1"/>
    <row r="159" spans="12:12" ht="15.75" customHeight="1"/>
    <row r="160" spans="12:12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5" ht="15.75" customHeight="1"/>
    <row r="176" ht="15.75" customHeight="1"/>
    <row r="177" ht="15.75" customHeight="1"/>
    <row r="179" ht="15.75" customHeight="1"/>
    <row r="181" ht="15.75" customHeight="1"/>
    <row r="182" ht="15.75" customHeight="1"/>
    <row r="183" ht="15.75" customHeight="1"/>
    <row r="184" ht="15.75" customHeight="1"/>
    <row r="186" ht="15.75" customHeight="1"/>
    <row r="187" ht="15.75" customHeight="1"/>
    <row r="189" ht="15.75" customHeight="1"/>
    <row r="190" ht="15.75" customHeight="1"/>
    <row r="191" ht="15.75" customHeight="1"/>
    <row r="192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9" ht="15.75" customHeight="1"/>
    <row r="220" ht="15.75" customHeight="1"/>
    <row r="222" ht="15.75" customHeight="1"/>
    <row r="223" ht="15.75" customHeight="1"/>
    <row r="225" ht="15.75" customHeight="1"/>
    <row r="227" ht="15.75" customHeight="1"/>
    <row r="228" ht="15.75" customHeight="1"/>
    <row r="230" ht="15.75" customHeight="1"/>
    <row r="231" ht="15.75" customHeight="1"/>
    <row r="233" ht="15.75" customHeight="1"/>
    <row r="235" ht="15.75" customHeight="1"/>
    <row r="237" ht="15.75" customHeight="1"/>
    <row r="239" ht="15.75" customHeight="1"/>
    <row r="240" ht="15.75" customHeight="1"/>
    <row r="242" ht="15.75" customHeight="1"/>
    <row r="243" ht="15.75" customHeight="1"/>
    <row r="244" ht="15.75" customHeight="1"/>
    <row r="246" ht="15.75" customHeight="1"/>
    <row r="248" ht="15.75" customHeight="1"/>
    <row r="250" ht="15.75" customHeight="1"/>
    <row r="251" ht="15.75" customHeight="1"/>
    <row r="253" ht="15.75" customHeight="1"/>
    <row r="254" ht="15.75" customHeight="1"/>
    <row r="255" ht="15.75" customHeight="1"/>
    <row r="257" ht="15.75" customHeight="1"/>
    <row r="259" ht="15.75" customHeight="1"/>
    <row r="260" ht="15.75" customHeight="1"/>
    <row r="261" ht="15.75" customHeight="1"/>
    <row r="263" ht="15.75" customHeight="1"/>
    <row r="265" ht="15.75" customHeight="1"/>
    <row r="266" ht="15.75" customHeight="1"/>
    <row r="268" ht="15.75" customHeight="1"/>
    <row r="269" ht="15.75" customHeight="1"/>
    <row r="271" ht="15.75" customHeight="1"/>
    <row r="272" ht="15.75" customHeight="1"/>
    <row r="273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MIR</vt:lpstr>
      <vt:lpstr>FIN PROPÓSITO</vt:lpstr>
      <vt:lpstr>Estático</vt:lpstr>
      <vt:lpstr>Copia de MIR 1</vt:lpstr>
      <vt:lpstr>Copia de MIR</vt:lpstr>
      <vt:lpstr>Subida</vt:lpstr>
      <vt:lpstr>finproposito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Miguel Escalante Vazquez</cp:lastModifiedBy>
  <dcterms:modified xsi:type="dcterms:W3CDTF">2023-07-28T21:16:43Z</dcterms:modified>
</cp:coreProperties>
</file>