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\3ER. TRIMESTRE\"/>
    </mc:Choice>
  </mc:AlternateContent>
  <bookViews>
    <workbookView xWindow="0" yWindow="0" windowWidth="20490" windowHeight="7755"/>
  </bookViews>
  <sheets>
    <sheet name="MIR DIFGDL" sheetId="3" r:id="rId1"/>
    <sheet name="FIN PROPÓSITO" sheetId="5" state="hidden" r:id="rId2"/>
    <sheet name="Estático" sheetId="6" state="hidden" r:id="rId3"/>
    <sheet name="Porfinporproposito" sheetId="7" state="hidden" r:id="rId4"/>
    <sheet name="Hoja 3" sheetId="8" state="hidden" r:id="rId5"/>
    <sheet name="FIN" sheetId="9" state="hidden" r:id="rId6"/>
    <sheet name="PROPÓSITO" sheetId="10" state="hidden" r:id="rId7"/>
    <sheet name="Hoja3" sheetId="11" state="hidden" r:id="rId8"/>
  </sheets>
  <calcPr calcId="152511"/>
</workbook>
</file>

<file path=xl/calcChain.xml><?xml version="1.0" encoding="utf-8"?>
<calcChain xmlns="http://schemas.openxmlformats.org/spreadsheetml/2006/main">
  <c r="O34" i="6" l="1"/>
  <c r="O33" i="6"/>
  <c r="F5" i="10"/>
  <c r="F1" i="10"/>
  <c r="E3" i="9"/>
  <c r="A17" i="8"/>
  <c r="F11" i="8"/>
  <c r="F6" i="8"/>
  <c r="E1" i="8"/>
  <c r="J17" i="7"/>
  <c r="B15" i="7"/>
  <c r="F12" i="7"/>
  <c r="J9" i="7"/>
  <c r="B7" i="7"/>
  <c r="F4" i="7"/>
  <c r="AD49" i="6"/>
  <c r="AB47" i="6"/>
  <c r="Z45" i="6"/>
  <c r="AD41" i="6"/>
  <c r="AB39" i="6"/>
  <c r="Z37" i="6"/>
  <c r="F7" i="10"/>
  <c r="E3" i="10"/>
  <c r="D5" i="9"/>
  <c r="D1" i="9"/>
  <c r="B14" i="8"/>
  <c r="B9" i="8"/>
  <c r="F2" i="8"/>
  <c r="E18" i="7"/>
  <c r="I15" i="7"/>
  <c r="M12" i="7"/>
  <c r="E10" i="7"/>
  <c r="I7" i="7"/>
  <c r="M4" i="7"/>
  <c r="E2" i="7"/>
  <c r="T48" i="6"/>
  <c r="Y45" i="6"/>
  <c r="V42" i="6"/>
  <c r="T40" i="6"/>
  <c r="Y37" i="6"/>
  <c r="D6" i="10"/>
  <c r="D2" i="10"/>
  <c r="C4" i="9"/>
  <c r="A18" i="8"/>
  <c r="F12" i="8"/>
  <c r="F7" i="8"/>
  <c r="E2" i="8"/>
  <c r="D18" i="7"/>
  <c r="H15" i="7"/>
  <c r="L12" i="7"/>
  <c r="D10" i="7"/>
  <c r="H7" i="7"/>
  <c r="L4" i="7"/>
  <c r="D2" i="7"/>
  <c r="S48" i="6"/>
  <c r="W44" i="6"/>
  <c r="U42" i="6"/>
  <c r="S40" i="6"/>
  <c r="W36" i="6"/>
  <c r="B14" i="5"/>
  <c r="C1" i="5"/>
  <c r="D7" i="10"/>
  <c r="C3" i="10"/>
  <c r="B5" i="9"/>
  <c r="B1" i="9"/>
  <c r="E12" i="8"/>
  <c r="E7" i="8"/>
  <c r="D2" i="8"/>
  <c r="C18" i="7"/>
  <c r="G15" i="7"/>
  <c r="K12" i="7"/>
  <c r="C10" i="7"/>
  <c r="G7" i="7"/>
  <c r="K4" i="7"/>
  <c r="C2" i="7"/>
  <c r="Y47" i="6"/>
  <c r="V44" i="6"/>
  <c r="T42" i="6"/>
  <c r="Y39" i="6"/>
  <c r="V36" i="6"/>
  <c r="A14" i="5"/>
  <c r="B1" i="5"/>
  <c r="B6" i="10"/>
  <c r="B2" i="10"/>
  <c r="A4" i="9"/>
  <c r="E17" i="8"/>
  <c r="D12" i="8"/>
  <c r="D7" i="8"/>
  <c r="A1" i="8"/>
  <c r="F17" i="7"/>
  <c r="J14" i="7"/>
  <c r="B12" i="7"/>
  <c r="F9" i="7"/>
  <c r="J6" i="7"/>
  <c r="B4" i="7"/>
  <c r="Z49" i="6"/>
  <c r="AD45" i="6"/>
  <c r="AB43" i="6"/>
  <c r="Z41" i="6"/>
  <c r="AD37" i="6"/>
  <c r="AB35" i="6"/>
  <c r="D13" i="5"/>
  <c r="A1" i="5"/>
  <c r="A4" i="10"/>
  <c r="F18" i="8"/>
  <c r="E13" i="8"/>
  <c r="D8" i="8"/>
  <c r="D3" i="8"/>
  <c r="I18" i="7"/>
  <c r="M15" i="7"/>
  <c r="E13" i="7"/>
  <c r="I10" i="7"/>
  <c r="M7" i="7"/>
  <c r="E5" i="7"/>
  <c r="I2" i="7"/>
  <c r="AD46" i="6"/>
  <c r="AB44" i="6"/>
  <c r="Z42" i="6"/>
  <c r="AD38" i="6"/>
  <c r="AB36" i="6"/>
  <c r="C17" i="5"/>
  <c r="D6" i="5"/>
  <c r="A7" i="10"/>
  <c r="G3" i="9"/>
  <c r="C17" i="8"/>
  <c r="B12" i="8"/>
  <c r="F5" i="8"/>
  <c r="L19" i="7"/>
  <c r="D17" i="7"/>
  <c r="H14" i="7"/>
  <c r="L11" i="7"/>
  <c r="D9" i="7"/>
  <c r="H6" i="7"/>
  <c r="L3" i="7"/>
  <c r="W48" i="6"/>
  <c r="U46" i="6"/>
  <c r="S44" i="6"/>
  <c r="W40" i="6"/>
  <c r="U38" i="6"/>
  <c r="S36" i="6"/>
  <c r="G4" i="10"/>
  <c r="F6" i="9"/>
  <c r="F2" i="9"/>
  <c r="F15" i="8"/>
  <c r="F10" i="8"/>
  <c r="E5" i="8"/>
  <c r="K19" i="7"/>
  <c r="C17" i="7"/>
  <c r="G14" i="7"/>
  <c r="K11" i="7"/>
  <c r="C9" i="7"/>
  <c r="G6" i="7"/>
  <c r="K3" i="7"/>
  <c r="AD48" i="6"/>
  <c r="AB46" i="6"/>
  <c r="Z44" i="6"/>
  <c r="AD40" i="6"/>
  <c r="AB38" i="6"/>
  <c r="Z36" i="6"/>
  <c r="D1" i="5"/>
  <c r="B17" i="5"/>
  <c r="A13" i="5"/>
  <c r="A6" i="5"/>
  <c r="B3" i="5"/>
  <c r="C2" i="5"/>
  <c r="F4" i="10"/>
  <c r="E6" i="9"/>
  <c r="E2" i="9"/>
  <c r="E15" i="8"/>
  <c r="E10" i="8"/>
  <c r="D5" i="8"/>
  <c r="J19" i="7"/>
  <c r="B17" i="7"/>
  <c r="F14" i="7"/>
  <c r="J11" i="7"/>
  <c r="B9" i="7"/>
  <c r="F6" i="7"/>
  <c r="J3" i="7"/>
  <c r="V49" i="6"/>
  <c r="T47" i="6"/>
  <c r="Y44" i="6"/>
  <c r="V41" i="6"/>
  <c r="T39" i="6"/>
  <c r="Y36" i="6"/>
  <c r="E6" i="10"/>
  <c r="E2" i="10"/>
  <c r="D4" i="9"/>
  <c r="B18" i="8"/>
  <c r="A13" i="8"/>
  <c r="E6" i="8"/>
  <c r="D1" i="8"/>
  <c r="I17" i="7"/>
  <c r="M14" i="7"/>
  <c r="E12" i="7"/>
  <c r="I9" i="7"/>
  <c r="M6" i="7"/>
  <c r="E4" i="7"/>
  <c r="AC49" i="6"/>
  <c r="AA47" i="6"/>
  <c r="X44" i="6"/>
  <c r="AC41" i="6"/>
  <c r="AA39" i="6"/>
  <c r="X36" i="6"/>
  <c r="D5" i="10"/>
  <c r="D1" i="10"/>
  <c r="C3" i="9"/>
  <c r="E16" i="8"/>
  <c r="D11" i="8"/>
  <c r="D6" i="8"/>
  <c r="C1" i="8"/>
  <c r="H17" i="7"/>
  <c r="L14" i="7"/>
  <c r="D12" i="7"/>
  <c r="H9" i="7"/>
  <c r="L6" i="7"/>
  <c r="D4" i="7"/>
  <c r="AB49" i="6"/>
  <c r="Z47" i="6"/>
  <c r="AD43" i="6"/>
  <c r="AB41" i="6"/>
  <c r="Z39" i="6"/>
  <c r="AD35" i="6"/>
  <c r="B12" i="5"/>
  <c r="C6" i="10"/>
  <c r="C2" i="10"/>
  <c r="B4" i="9"/>
  <c r="F17" i="8"/>
  <c r="C11" i="8"/>
  <c r="C6" i="8"/>
  <c r="B1" i="8"/>
  <c r="G17" i="7"/>
  <c r="K14" i="7"/>
  <c r="C12" i="7"/>
  <c r="G9" i="7"/>
  <c r="K6" i="7"/>
  <c r="C4" i="7"/>
  <c r="AA49" i="6"/>
  <c r="X46" i="6"/>
  <c r="AC43" i="6"/>
  <c r="AA41" i="6"/>
  <c r="X38" i="6"/>
  <c r="AC35" i="6"/>
  <c r="A12" i="5"/>
  <c r="B5" i="10"/>
  <c r="B1" i="10"/>
  <c r="A3" i="9"/>
  <c r="C16" i="8"/>
  <c r="B11" i="8"/>
  <c r="B6" i="8"/>
  <c r="F19" i="7"/>
  <c r="J16" i="7"/>
  <c r="B14" i="7"/>
  <c r="F11" i="7"/>
  <c r="J8" i="7"/>
  <c r="B6" i="7"/>
  <c r="F3" i="7"/>
  <c r="Y48" i="6"/>
  <c r="V45" i="6"/>
  <c r="T43" i="6"/>
  <c r="Y40" i="6"/>
  <c r="V37" i="6"/>
  <c r="T35" i="6"/>
  <c r="D11" i="5"/>
  <c r="B7" i="10"/>
  <c r="A3" i="10"/>
  <c r="D17" i="8"/>
  <c r="C12" i="8"/>
  <c r="C7" i="8"/>
  <c r="B2" i="8"/>
  <c r="M17" i="7"/>
  <c r="E15" i="7"/>
  <c r="I12" i="7"/>
  <c r="M9" i="7"/>
  <c r="E7" i="7"/>
  <c r="I4" i="7"/>
  <c r="Y49" i="6"/>
  <c r="V46" i="6"/>
  <c r="T44" i="6"/>
  <c r="Y41" i="6"/>
  <c r="V38" i="6"/>
  <c r="T36" i="6"/>
  <c r="C15" i="5"/>
  <c r="B5" i="5"/>
  <c r="G6" i="9"/>
  <c r="G2" i="9"/>
  <c r="A16" i="8"/>
  <c r="E9" i="8"/>
  <c r="E4" i="8"/>
  <c r="D19" i="7"/>
  <c r="H16" i="7"/>
  <c r="L13" i="7"/>
  <c r="D11" i="7"/>
  <c r="H8" i="7"/>
  <c r="L5" i="7"/>
  <c r="D3" i="7"/>
  <c r="AD47" i="6"/>
  <c r="AB45" i="6"/>
  <c r="Z43" i="6"/>
  <c r="AD39" i="6"/>
  <c r="AB37" i="6"/>
  <c r="Z35" i="6"/>
  <c r="G3" i="10"/>
  <c r="F5" i="9"/>
  <c r="F1" i="9"/>
  <c r="D14" i="8"/>
  <c r="D9" i="8"/>
  <c r="D4" i="8"/>
  <c r="C19" i="7"/>
  <c r="G16" i="7"/>
  <c r="K13" i="7"/>
  <c r="C11" i="7"/>
  <c r="G8" i="7"/>
  <c r="K5" i="7"/>
  <c r="C3" i="7"/>
  <c r="V48" i="6"/>
  <c r="T46" i="6"/>
  <c r="Y43" i="6"/>
  <c r="V40" i="6"/>
  <c r="T38" i="6"/>
  <c r="Y35" i="6"/>
  <c r="B13" i="5"/>
  <c r="B6" i="5"/>
  <c r="C3" i="5"/>
  <c r="B15" i="5"/>
  <c r="A15" i="5"/>
  <c r="G7" i="10"/>
  <c r="F3" i="10"/>
  <c r="E5" i="9"/>
  <c r="E1" i="9"/>
  <c r="C14" i="8"/>
  <c r="C9" i="8"/>
  <c r="C4" i="8"/>
  <c r="B19" i="7"/>
  <c r="F16" i="7"/>
  <c r="J13" i="7"/>
  <c r="B11" i="7"/>
  <c r="F8" i="7"/>
  <c r="J5" i="7"/>
  <c r="B3" i="7"/>
  <c r="AC48" i="6"/>
  <c r="AA46" i="6"/>
  <c r="X43" i="6"/>
  <c r="AC40" i="6"/>
  <c r="AA38" i="6"/>
  <c r="X35" i="6"/>
  <c r="E5" i="10"/>
  <c r="E1" i="10"/>
  <c r="D3" i="9"/>
  <c r="F16" i="8"/>
  <c r="E11" i="8"/>
  <c r="C5" i="8"/>
  <c r="I19" i="7"/>
  <c r="M16" i="7"/>
  <c r="E14" i="7"/>
  <c r="I11" i="7"/>
  <c r="M8" i="7"/>
  <c r="E6" i="7"/>
  <c r="I3" i="7"/>
  <c r="U49" i="6"/>
  <c r="S47" i="6"/>
  <c r="W43" i="6"/>
  <c r="U41" i="6"/>
  <c r="S39" i="6"/>
  <c r="W35" i="6"/>
  <c r="D4" i="10"/>
  <c r="C6" i="9"/>
  <c r="C2" i="9"/>
  <c r="C15" i="8"/>
  <c r="C10" i="8"/>
  <c r="B5" i="8"/>
  <c r="H19" i="7"/>
  <c r="L16" i="7"/>
  <c r="D14" i="7"/>
  <c r="H11" i="7"/>
  <c r="L8" i="7"/>
  <c r="D6" i="7"/>
  <c r="H3" i="7"/>
  <c r="T49" i="6"/>
  <c r="Y46" i="6"/>
  <c r="V43" i="6"/>
  <c r="T41" i="6"/>
  <c r="Y38" i="6"/>
  <c r="V35" i="6"/>
  <c r="C4" i="5"/>
  <c r="C5" i="10"/>
  <c r="C1" i="10"/>
  <c r="B3" i="9"/>
  <c r="D16" i="8"/>
  <c r="B10" i="8"/>
  <c r="A5" i="8"/>
  <c r="G19" i="7"/>
  <c r="K16" i="7"/>
  <c r="C14" i="7"/>
  <c r="G11" i="7"/>
  <c r="K8" i="7"/>
  <c r="C6" i="7"/>
  <c r="G3" i="7"/>
  <c r="S49" i="6"/>
  <c r="W45" i="6"/>
  <c r="U43" i="6"/>
  <c r="S41" i="6"/>
  <c r="W37" i="6"/>
  <c r="U35" i="6"/>
  <c r="D5" i="5"/>
  <c r="B4" i="10"/>
  <c r="A6" i="9"/>
  <c r="A2" i="9"/>
  <c r="A15" i="8"/>
  <c r="A10" i="8"/>
  <c r="E3" i="8"/>
  <c r="J18" i="7"/>
  <c r="B16" i="7"/>
  <c r="F13" i="7"/>
  <c r="J10" i="7"/>
  <c r="B8" i="7"/>
  <c r="F5" i="7"/>
  <c r="J2" i="7"/>
  <c r="X47" i="6"/>
  <c r="AC44" i="6"/>
  <c r="AA42" i="6"/>
  <c r="X39" i="6"/>
  <c r="AC36" i="6"/>
  <c r="D17" i="5"/>
  <c r="C5" i="5"/>
  <c r="A6" i="10"/>
  <c r="A2" i="10"/>
  <c r="B16" i="8"/>
  <c r="A11" i="8"/>
  <c r="A6" i="8"/>
  <c r="M19" i="7"/>
  <c r="E17" i="7"/>
  <c r="I14" i="7"/>
  <c r="M11" i="7"/>
  <c r="E9" i="7"/>
  <c r="I6" i="7"/>
  <c r="M3" i="7"/>
  <c r="X48" i="6"/>
  <c r="AC45" i="6"/>
  <c r="AA43" i="6"/>
  <c r="X40" i="6"/>
  <c r="AC37" i="6"/>
  <c r="AA35" i="6"/>
  <c r="C13" i="5"/>
  <c r="D2" i="5"/>
  <c r="G5" i="9"/>
  <c r="G1" i="9"/>
  <c r="E14" i="8"/>
  <c r="C8" i="8"/>
  <c r="C3" i="8"/>
  <c r="H18" i="7"/>
  <c r="L15" i="7"/>
  <c r="D13" i="7"/>
  <c r="H10" i="7"/>
  <c r="L7" i="7"/>
  <c r="D5" i="7"/>
  <c r="H2" i="7"/>
  <c r="V47" i="6"/>
  <c r="T45" i="6"/>
  <c r="Y42" i="6"/>
  <c r="V39" i="6"/>
  <c r="T37" i="6"/>
  <c r="G6" i="10"/>
  <c r="G2" i="10"/>
  <c r="F4" i="9"/>
  <c r="D18" i="8"/>
  <c r="C13" i="8"/>
  <c r="B8" i="8"/>
  <c r="B3" i="8"/>
  <c r="G18" i="7"/>
  <c r="K15" i="7"/>
  <c r="C13" i="7"/>
  <c r="G10" i="7"/>
  <c r="K7" i="7"/>
  <c r="C5" i="7"/>
  <c r="G2" i="7"/>
  <c r="AC47" i="6"/>
  <c r="AA45" i="6"/>
  <c r="X42" i="6"/>
  <c r="AC39" i="6"/>
  <c r="AA37" i="6"/>
  <c r="D14" i="5"/>
  <c r="C14" i="5"/>
  <c r="C6" i="5"/>
  <c r="D3" i="5"/>
  <c r="D16" i="5"/>
  <c r="C16" i="5"/>
  <c r="B11" i="5"/>
  <c r="A11" i="5"/>
  <c r="F6" i="10"/>
  <c r="F2" i="10"/>
  <c r="E4" i="9"/>
  <c r="C18" i="8"/>
  <c r="B13" i="8"/>
  <c r="A8" i="8"/>
  <c r="A3" i="8"/>
  <c r="F18" i="7"/>
  <c r="J15" i="7"/>
  <c r="B13" i="7"/>
  <c r="F10" i="7"/>
  <c r="J7" i="7"/>
  <c r="B5" i="7"/>
  <c r="F2" i="7"/>
  <c r="U48" i="6"/>
  <c r="S46" i="6"/>
  <c r="W42" i="6"/>
  <c r="U40" i="6"/>
  <c r="S38" i="6"/>
  <c r="E4" i="10"/>
  <c r="D6" i="9"/>
  <c r="D2" i="9"/>
  <c r="D15" i="8"/>
  <c r="D10" i="8"/>
  <c r="B4" i="8"/>
  <c r="M18" i="7"/>
  <c r="E16" i="7"/>
  <c r="I13" i="7"/>
  <c r="M10" i="7"/>
  <c r="E8" i="7"/>
  <c r="I5" i="7"/>
  <c r="M2" i="7"/>
  <c r="AB48" i="6"/>
  <c r="Z46" i="6"/>
  <c r="AD42" i="6"/>
  <c r="AB40" i="6"/>
  <c r="Z38" i="6"/>
  <c r="E7" i="10"/>
  <c r="D3" i="10"/>
  <c r="C5" i="9"/>
  <c r="C1" i="9"/>
  <c r="A14" i="8"/>
  <c r="A9" i="8"/>
  <c r="A4" i="8"/>
  <c r="L18" i="7"/>
  <c r="D16" i="7"/>
  <c r="H13" i="7"/>
  <c r="L10" i="7"/>
  <c r="D8" i="7"/>
  <c r="H5" i="7"/>
  <c r="L2" i="7"/>
  <c r="AA48" i="6"/>
  <c r="X45" i="6"/>
  <c r="AC42" i="6"/>
  <c r="AA40" i="6"/>
  <c r="X37" i="6"/>
  <c r="B16" i="5"/>
  <c r="A3" i="5"/>
  <c r="C4" i="10"/>
  <c r="B6" i="9"/>
  <c r="B2" i="9"/>
  <c r="B15" i="8"/>
  <c r="F8" i="8"/>
  <c r="F3" i="8"/>
  <c r="K18" i="7"/>
  <c r="C16" i="7"/>
  <c r="G13" i="7"/>
  <c r="K10" i="7"/>
  <c r="C8" i="7"/>
  <c r="G5" i="7"/>
  <c r="K2" i="7"/>
  <c r="Z48" i="6"/>
  <c r="AD44" i="6"/>
  <c r="AB42" i="6"/>
  <c r="Z40" i="6"/>
  <c r="AD36" i="6"/>
  <c r="A16" i="5"/>
  <c r="B4" i="5"/>
  <c r="C7" i="10"/>
  <c r="B3" i="10"/>
  <c r="A5" i="9"/>
  <c r="A1" i="9"/>
  <c r="F13" i="8"/>
  <c r="E8" i="8"/>
  <c r="C2" i="8"/>
  <c r="B18" i="7"/>
  <c r="F15" i="7"/>
  <c r="J12" i="7"/>
  <c r="B10" i="7"/>
  <c r="F7" i="7"/>
  <c r="J4" i="7"/>
  <c r="B2" i="7"/>
  <c r="W46" i="6"/>
  <c r="U44" i="6"/>
  <c r="S42" i="6"/>
  <c r="W38" i="6"/>
  <c r="U36" i="6"/>
  <c r="D15" i="5"/>
  <c r="A4" i="5"/>
  <c r="A5" i="10"/>
  <c r="A1" i="10"/>
  <c r="F14" i="8"/>
  <c r="F9" i="8"/>
  <c r="F4" i="8"/>
  <c r="E19" i="7"/>
  <c r="I16" i="7"/>
  <c r="M13" i="7"/>
  <c r="E11" i="7"/>
  <c r="I8" i="7"/>
  <c r="M5" i="7"/>
  <c r="E3" i="7"/>
  <c r="W47" i="6"/>
  <c r="U45" i="6"/>
  <c r="S43" i="6"/>
  <c r="W39" i="6"/>
  <c r="U37" i="6"/>
  <c r="S35" i="6"/>
  <c r="C11" i="5"/>
  <c r="G4" i="9"/>
  <c r="E18" i="8"/>
  <c r="D13" i="8"/>
  <c r="B7" i="8"/>
  <c r="A2" i="8"/>
  <c r="L17" i="7"/>
  <c r="D15" i="7"/>
  <c r="H12" i="7"/>
  <c r="L9" i="7"/>
  <c r="D7" i="7"/>
  <c r="H4" i="7"/>
  <c r="X49" i="6"/>
  <c r="AC46" i="6"/>
  <c r="AA44" i="6"/>
  <c r="X41" i="6"/>
  <c r="AC38" i="6"/>
  <c r="AA36" i="6"/>
  <c r="G5" i="10"/>
  <c r="G1" i="10"/>
  <c r="F3" i="9"/>
  <c r="B17" i="8"/>
  <c r="A12" i="8"/>
  <c r="A7" i="8"/>
  <c r="F1" i="8"/>
  <c r="K17" i="7"/>
  <c r="C15" i="7"/>
  <c r="G12" i="7"/>
  <c r="K9" i="7"/>
  <c r="C7" i="7"/>
  <c r="G4" i="7"/>
  <c r="W49" i="6"/>
  <c r="U47" i="6"/>
  <c r="S45" i="6"/>
  <c r="W41" i="6"/>
  <c r="U39" i="6"/>
  <c r="S37" i="6"/>
  <c r="A2" i="5"/>
  <c r="D4" i="5"/>
  <c r="A17" i="5"/>
  <c r="D12" i="5"/>
  <c r="C12" i="5"/>
  <c r="A5" i="5"/>
  <c r="B2" i="5"/>
  <c r="C19" i="5" l="1"/>
  <c r="D19" i="5"/>
  <c r="F4" i="5"/>
  <c r="AE37" i="6"/>
  <c r="AG37" i="6" s="1"/>
  <c r="AE45" i="6"/>
  <c r="H13" i="8"/>
  <c r="AE35" i="6"/>
  <c r="AF35" i="6" s="1"/>
  <c r="AE43" i="6"/>
  <c r="AE42" i="6"/>
  <c r="H10" i="8"/>
  <c r="I4" i="10"/>
  <c r="AE38" i="6"/>
  <c r="AG38" i="6" s="1"/>
  <c r="AE46" i="6"/>
  <c r="I4" i="9"/>
  <c r="F3" i="5"/>
  <c r="E6" i="5"/>
  <c r="F2" i="5"/>
  <c r="E5" i="5"/>
  <c r="F5" i="5"/>
  <c r="AE41" i="6"/>
  <c r="AG41" i="6" s="1"/>
  <c r="AE49" i="6"/>
  <c r="E4" i="5"/>
  <c r="AE39" i="6"/>
  <c r="AG39" i="6" s="1"/>
  <c r="AE47" i="6"/>
  <c r="AG47" i="6" s="1"/>
  <c r="I5" i="10"/>
  <c r="I5" i="9"/>
  <c r="E3" i="5"/>
  <c r="H4" i="8"/>
  <c r="I2" i="10"/>
  <c r="I2" i="9"/>
  <c r="E2" i="5"/>
  <c r="E8" i="5" s="1"/>
  <c r="G8" i="5" s="1"/>
  <c r="AE36" i="6"/>
  <c r="AG36" i="6" s="1"/>
  <c r="AE44" i="6"/>
  <c r="AG44" i="6" s="1"/>
  <c r="F6" i="5"/>
  <c r="H7" i="8"/>
  <c r="AE40" i="6"/>
  <c r="AG40" i="6" s="1"/>
  <c r="AE48" i="6"/>
  <c r="AG48" i="6" s="1"/>
  <c r="I3" i="10"/>
  <c r="I3" i="9"/>
  <c r="AG46" i="6"/>
  <c r="AG45" i="6"/>
  <c r="AG42" i="6"/>
  <c r="AG43" i="6"/>
  <c r="AF44" i="6"/>
  <c r="AG49" i="6"/>
  <c r="AF36" i="6"/>
  <c r="AF46" i="6"/>
  <c r="AF45" i="6"/>
  <c r="AF49" i="6"/>
  <c r="AF47" i="6"/>
  <c r="AF42" i="6"/>
  <c r="AF43" i="6"/>
  <c r="AF37" i="6"/>
  <c r="AF40" i="6"/>
  <c r="AF39" i="6"/>
  <c r="F8" i="5" l="1"/>
  <c r="AG35" i="6"/>
  <c r="AF38" i="6"/>
  <c r="AF41" i="6"/>
  <c r="J1" i="10"/>
  <c r="J1" i="9"/>
  <c r="AE34" i="6"/>
  <c r="AE33" i="6"/>
  <c r="AF48" i="6"/>
</calcChain>
</file>

<file path=xl/comments1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color theme="1"/>
            <rFont val="Calibri"/>
            <scheme val="minor"/>
          </rPr>
          <t>@irving.castillo@difgdl.gob.mx
_Asignado a Irving Dario Castillo Cisneros_
	-Jorge Flores Uribe</t>
        </r>
      </text>
    </comment>
  </commentList>
</comments>
</file>

<file path=xl/sharedStrings.xml><?xml version="1.0" encoding="utf-8"?>
<sst xmlns="http://schemas.openxmlformats.org/spreadsheetml/2006/main" count="1217" uniqueCount="773">
  <si>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</si>
  <si>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</si>
  <si>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</si>
  <si>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</si>
  <si>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</si>
  <si>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</si>
  <si>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</si>
  <si>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</si>
  <si>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</si>
  <si>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</si>
  <si>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</si>
  <si>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</si>
  <si>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</si>
  <si>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</si>
  <si>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</si>
  <si>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</si>
  <si>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</si>
  <si>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</si>
  <si>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</si>
  <si>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</si>
  <si>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</si>
  <si>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</si>
  <si>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</si>
  <si>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</si>
  <si>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</si>
  <si>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</si>
  <si>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</si>
  <si>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</si>
  <si>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</si>
  <si>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</si>
  <si>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</si>
  <si>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</si>
  <si>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</si>
  <si>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</si>
  <si>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</si>
  <si>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</si>
  <si>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</si>
  <si>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</si>
  <si>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</si>
  <si>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</si>
  <si>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Mes</t>
  </si>
  <si>
    <t>Octubre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</si>
  <si>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</si>
  <si>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</si>
  <si>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</si>
  <si>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</si>
  <si>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</si>
  <si>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</si>
  <si>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</si>
  <si>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</si>
  <si>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</si>
  <si>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</si>
  <si>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</si>
  <si>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</si>
  <si>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</si>
  <si>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</si>
  <si>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</si>
  <si>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</si>
  <si>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</si>
  <si>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</si>
  <si>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</si>
  <si>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</si>
  <si>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</si>
  <si>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</si>
  <si>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</si>
  <si>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</si>
  <si>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</si>
  <si>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</si>
  <si>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</si>
  <si>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</si>
  <si>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</si>
  <si>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</t>
  </si>
  <si>
    <t>Meta alcanzada</t>
  </si>
  <si>
    <t>Suma fin/propósito</t>
  </si>
  <si>
    <t>FIN</t>
  </si>
  <si>
    <t>Las personas adultas mayores, personas con discapacidad o con alguna condición de vulnerabilidad, reciben atención integral para su desarrollo pleno en el municipio de Guadalajara durante el 2023</t>
  </si>
  <si>
    <t>Porcentaje de personas adultas mayores, con discapacidad y con alguna condición de vulnerabilidad que recibieron atención en los servicios del eje Guadalajara sin Barreras en 2023</t>
  </si>
  <si>
    <t>Mide el porcentaje de personas adultos mayores, con discapacidad y con alguna condición de vulnerabilidad que recibieron atención en los servicios del eje Guadalajara Sin Barreras respecto de la meta planteada para el 2023</t>
  </si>
  <si>
    <t>Eficacia</t>
  </si>
  <si>
    <t xml:space="preserve">Estratégico </t>
  </si>
  <si>
    <t>Número de personas atendidas en los programas de CEAMIVIDA,, DIPAM, CAIPED y CADI / Número de personas programadas por atender en CEAMIVIDA, DIPAM, CAIPED y CADI*100</t>
  </si>
  <si>
    <t>Número de personas atendidas en los programas de CEAMIVIDA, DIPAM, CAIPED y CADI</t>
  </si>
  <si>
    <t>Número de personas programadas por atender en CEAMIVIDA, DIPAM, CAIPED y CADI</t>
  </si>
  <si>
    <t xml:space="preserve">Anual </t>
  </si>
  <si>
    <t>Porcentaje</t>
  </si>
  <si>
    <t>No disponible</t>
  </si>
  <si>
    <t>V1: Padrón de beneficiarios y reportes de avances mensuales de de los programas del eje de Guadalajara sin Barreras del Sistema DIF Guadalajara / V2: Planes de trabajo de los programas del eje de Guadalajara sin Barreras del Sistema DIF Guadalajara</t>
  </si>
  <si>
    <t xml:space="preserve">Las usuarias y usuarios de los programas del eje de Guadalajara sin barreras del Sistema DIF Guadalajara logran mejoras en su bienestar físico y condiciones de inserción social </t>
  </si>
  <si>
    <t>PROPÓSITO</t>
  </si>
  <si>
    <t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2023</t>
  </si>
  <si>
    <t>Porcentaje de cobertura de servicios de bienestar físico e inclusión para personas adultas mayores o que viven con alguna discapacidad en el municipio de Guadalajara en 2023</t>
  </si>
  <si>
    <t>Mide el porcentaje de cobertura de servicios de bienestar físico e inclusión para personas adultas mayores o que viven con alguna discapacidad en el municipio de Guadalajara respecto de la meta planteada para el 2023</t>
  </si>
  <si>
    <t>Número de servicios brindados en el eje de Guadalajara Sin Barreras/ número de servicios meta del eje Sin Barreras 2022*100</t>
  </si>
  <si>
    <t>Número de servicios brindados en el eje de Guadalajara Sin Barreras</t>
  </si>
  <si>
    <t xml:space="preserve"> número de servicios meta del eje Sin Barreras 2022</t>
  </si>
  <si>
    <t>V1: Padrón de beneficiarios y registro de avances de los programas del eje de Guadalajara sin Barreras del Sistema DIF Guadalajara /V2: Planes de trabajo de los programas del eje de Guadalajara sin Barreras del Sistema DIF Guadalajara</t>
  </si>
  <si>
    <t>La comunidad de Guadalajara pone los medios necesarios para que las personas adultas mayores o con discapacidad asistan a los centros.</t>
  </si>
  <si>
    <t>08. Discapacitados</t>
  </si>
  <si>
    <t>COMPONENTE 1</t>
  </si>
  <si>
    <t>C1. Servicios de atención integral a personas con discapacidad intelectual y sus familias brindados en CEAMIVIDA</t>
  </si>
  <si>
    <t>Promedio de personas atendidas y sus familias en talleres recreativos, formativos, deportivos, consultas médicas y psicológicas impartidas en el programa de CEAMIVIDA en 2023</t>
  </si>
  <si>
    <t>Mide el promedio de personas atendidas y sus familias en talleres recreativos, formativos, deportivos, consultas médicas y psicológicas impartidas en el programa de CEAMIVIDA en 2023</t>
  </si>
  <si>
    <t>(Número de personas atendidas en talleres recreativos, formativos, deportivos, consultas médicas y psicológicas impartidas en el programa de CEAMIVIDA durante el 2023)/4</t>
  </si>
  <si>
    <t>Número de personas atendidas en talleres recreativos, formativos, deportivos, consultas médicas y psicológicas impartidas en el programa de CEAMIVIDA durante el 2023</t>
  </si>
  <si>
    <t>Trimestral</t>
  </si>
  <si>
    <t>Promedio</t>
  </si>
  <si>
    <t>Expediente, listas de asistencia</t>
  </si>
  <si>
    <t>Los beneficiarios de CEAMIVIDA cuentan con el mínimo estado de salud para poder asistir al CEAMIVIDA.</t>
  </si>
  <si>
    <t>ACTIVIDAD 1.1</t>
  </si>
  <si>
    <t>A1C1. Atención psicológica o médica para personas con discapacidad intelectual  y sus familias brindadas en CEAMIVIDA</t>
  </si>
  <si>
    <t>Porcentaje de consultas psicológicas o médicas para personas con discapacidad intelectual brindadas en CEAMIVIDA en 2023</t>
  </si>
  <si>
    <t>Mide el porcentaje de consultas psicológicas o médicas para personas con discapacidad intelectual brindadas en CEAMIVIDA en 2023</t>
  </si>
  <si>
    <t>Gestión</t>
  </si>
  <si>
    <t>((Número de consultas psicológicas o médicas para personas con discapacidad intelectual  y sus familias brindadas  en CEAMIVIDA durante el 2023 )/( Número de consultas psicológicas o médicas para personas con discapacidad intelectual  y sus familias programadas en CEAMIVIDA para el 2023))*100</t>
  </si>
  <si>
    <t xml:space="preserve">Número de consultas psicológicas o médicas para personas con discapacidad intelectual  y sus familias brindadas  en CEAMIVIDA durante el 2023 </t>
  </si>
  <si>
    <t>Número de consultas psicológicas o médicas para personas con discapacidad intelectual  y sus familias programadas en CEAMIVIDA para el 2023</t>
  </si>
  <si>
    <t>Mensual</t>
  </si>
  <si>
    <t>Bitácora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</si>
  <si>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</si>
  <si>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ACTIVIDAD 1.2</t>
  </si>
  <si>
    <t>A2C1. Talleres especializados para personas con discapacidad  y sus familias intelectual brindados en CEAMIVIDA</t>
  </si>
  <si>
    <t>Porcentaje de sesiones de talleres recreativos, formativos y deportivos para personas con discapacidad intelectual implementados en CEAMIVIDA en 2023</t>
  </si>
  <si>
    <t>Mide el porcentaje de sesiones de talleres recreativos, formativos y deportivos para personas con discapacidad intelectual implementados en CEAMIVIDA en 2023</t>
  </si>
  <si>
    <t>((Número de sesiones de talleres recreativos, formativos y deportivos para personas con discapacidad intelectual  y sus familias implementados en CEAMIVIDA  durante el 2023)/ (Número de sesiones de talleres recreativos, formativos y deportivos para personas con discapacidad intelectual  y sus familias programados en CEAMIVIDA para el 2023))*100</t>
  </si>
  <si>
    <t>Número de sesiones de talleres recreativos, formativos y deportivos para personas con discapacidad intelectual  y sus familias implementados en CEAMIVIDA  durante el 2023</t>
  </si>
  <si>
    <t>Número de sesiones de talleres recreativos, formativos y deportivos para personas con discapacidad intelectual  y sus familias programados en CEAMIVIDA para el 2023</t>
  </si>
  <si>
    <t>Listas de asistencia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</si>
  <si>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</si>
  <si>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</si>
  <si>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C2. Servicios de atención integral a personas con discapacidad intelectual y Trastorno del Espectro Autismo brindados en CADI</t>
  </si>
  <si>
    <t>Promedio de personas atendidas en terapia especializada y que reciben terapias complementarias en CADI en el 2023</t>
  </si>
  <si>
    <t>Mide el promedio de personas atendidas en terapia especializada durante el transcurso del año 2023</t>
  </si>
  <si>
    <t>(Número de personas atendidas en terapia especializada para DI, TEA, durante el 2023)/ 4</t>
  </si>
  <si>
    <t>Número de personas atendidas en terapia especializada para DI, TEA, durante el 2023</t>
  </si>
  <si>
    <t>Los pacientes cuentan con los mínimos requisitos de salud para poder asistir a terapias a CADI,</t>
  </si>
  <si>
    <t>ACTIVIDAD 2.1</t>
  </si>
  <si>
    <t>A1C2. Sesiones especializadas y complementarias para personas con discapacidad intelectual o trastorno del espectro autista en CADI</t>
  </si>
  <si>
    <t>Porcentaje de sesiones de terapia especializada y complementarias para personas con discapacidad intelectual o trastorno del espectro autista, brindadas en el CADI en 2023</t>
  </si>
  <si>
    <t>Mide el porcentaje logrado de sesiones de terapia especializada y complementaria para personas con DI o TEA planteadas como meta anual del 2023</t>
  </si>
  <si>
    <t>Número de sesiones de terapia especializada individual para discapacidad intelectual o trastorno del espectro autista, lenguaje y estimulación cognitiva durante el 2023/ Número de sesiones de terapia especializada individual y discapacidad intelectual o trastorno del espectro autista, lenguaje y estimulación cognitiva programadas para el 2023*100</t>
  </si>
  <si>
    <t>Número de sesiones de terapia especializada individual para discapacidad intelectual o trastorno del espectro autista, lenguaje y estimulación cognitiva durante el 2023</t>
  </si>
  <si>
    <t>Número de sesiones de terapia especializada individual y discapacidad intelectual o trastorno del espectro autista, lenguaje y estimulación cognitiva programadas para el 2023</t>
  </si>
  <si>
    <t>Expedientes</t>
  </si>
  <si>
    <t xml:space="preserve">Cuidadores de las personas con TEA y de DI acuden a las instalaciones con los pacientes del centro. </t>
  </si>
  <si>
    <t>COMPONENTE 3</t>
  </si>
  <si>
    <t>Número de apoyos, servicios y actividades de promoción dirigidas a la inclusión y garantía de derechos de personas con discapacidad realizadas en 2023</t>
  </si>
  <si>
    <t>Porcentaje de apoyos, servicios y actividades realizadas y dirigidas a personas con discapacidad, en 2023</t>
  </si>
  <si>
    <t>Mide el porcentaje de apoyos, servicios y actividades realizadas y dirigidas a personas con discapacidad en 2023</t>
  </si>
  <si>
    <t>(Número de apoyos, servicios y actividades realizados en 2023 /Número de apoyos, servicios y actividades programados para el 2023)*100</t>
  </si>
  <si>
    <t>Número de apoyos, servicios y actividades realizados en 2023</t>
  </si>
  <si>
    <t>Número de apoyos, servicios y actividades programados para el 2023</t>
  </si>
  <si>
    <t>Listas de asistencia, padrón de beneficiarios</t>
  </si>
  <si>
    <t>Los cuidadores de las personas con discapacidad tienen acceso a la información sobre los servicios y actividades de promoción a través de canales de comunicación accesibles y adecuados a sus necesidades</t>
  </si>
  <si>
    <t>ACTIVIDAD 3.1</t>
  </si>
  <si>
    <t>Otorgar medicamentos a personas adultas con discapacidad intelectual institucionalizadas para la garantía de sus derechos durante el 2023.</t>
  </si>
  <si>
    <t>Promedio de personas adultas con discapacidad intelectual institucionalizadas que reciben de manera oportuna medicamentos para la garantía de sus derechos durante el 2023</t>
  </si>
  <si>
    <t>Mide el Promedio de personas adultas con discapacidad intelectual institucionalizadas que reciben de manera oportuna medicamentos para la garantía de sus derechos durante el 2023</t>
  </si>
  <si>
    <t>(Número de personas con discapacidad institucionalizados que reciben medicamentos durante el 2023/ 4)</t>
  </si>
  <si>
    <t>Número de personas con discapacidad institucionalizados que reciben medicamentos durante el 2023</t>
  </si>
  <si>
    <t>Existen y están disponibilidad los medicamentos necesarios, en el mercado farmacéutico local y/o internacional,</t>
  </si>
  <si>
    <t>ACTIVIDAD 3.2</t>
  </si>
  <si>
    <t>Otorgar apoyo de vivienda temporal a personas con discapacidad intelectual o mental institucionalizados para la garantía de sus derechos durante el 2023.</t>
  </si>
  <si>
    <t>Porcentaje de personas con discapacidad intelectual o mental institucionalizados que recibieron apoyo de vivienda temporal para la garantía de sus derechos durante el 2023</t>
  </si>
  <si>
    <t>Mide el Porcentaje de personas con discapacidad intelectual o mental institucionalizados que recibieron apoyo de vivienda temporal para la garantía de sus derechos en 2023</t>
  </si>
  <si>
    <t>(Número de personas institucionalizados con discapacidad intelectual o mental que recibieron apoyo de vivienda temporal durante el 2023/ Número de personas  institucionalizados con discapacidad intelectual o mental programadas para el 2023)*100</t>
  </si>
  <si>
    <t>Número de personas institucionalizados con discapacidad intelectual o mental que recibieron apoyo de vivienda temporal durante el 2023</t>
  </si>
  <si>
    <t>Número de personas  institucionalizados con discapacidad intelectual o mental programadas para el 2023</t>
  </si>
  <si>
    <t>Padrón de beneficiarios</t>
  </si>
  <si>
    <t>Exist eun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</si>
  <si>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</si>
  <si>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 durante el 2023.</t>
  </si>
  <si>
    <t>Porcentaje de talleres brindados durante el 2023</t>
  </si>
  <si>
    <t>Mide el Porcentaje de talleres brindados durante el 2023</t>
  </si>
  <si>
    <t>(Número de talleres impartidos durante el 2023/Número de talleres establecidos como meta para el 2023)*100</t>
  </si>
  <si>
    <t>Número de talleres impartidos durante el 2023</t>
  </si>
  <si>
    <t>Número de talleres establecidos como meta para el 2023</t>
  </si>
  <si>
    <t>Listas de asistencia y evidencia fotográfica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</si>
  <si>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</si>
  <si>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</si>
  <si>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</si>
  <si>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>Asistencias de personas adultas mayores a capacitaciones y talleres de envejecimiento activo en 2023</t>
  </si>
  <si>
    <t>Promedio de asistencias de personas adultas mayores a capacitación y taller de envejecimiento activo, durante el 2023</t>
  </si>
  <si>
    <t>Mide el promedio de asistencias de personas adultas mayores a capacitación y taller de envejecimiento activo durante el 2023</t>
  </si>
  <si>
    <t>Número de asistencias a una capacitación o taller durante el 2023/4</t>
  </si>
  <si>
    <t>Número de asistencias a una capacitación o taller durante el 2023</t>
  </si>
  <si>
    <t>Lista de asistencia</t>
  </si>
  <si>
    <t>Las personas adultas mayores tienen acceso y disponibilidad para asistir a las capacitaciones y talleres ofrecidos por el DIF, tales como transporte y cuidados necesarios para asistir a dichas actividades</t>
  </si>
  <si>
    <t>ACTIVIDAD 4.1</t>
  </si>
  <si>
    <t>Encuentros intergeneracionales realizados en el Programa DIPAM en 2023</t>
  </si>
  <si>
    <t>Porcentaje de encuentros intergeneracionales llevados a cabo en 2023</t>
  </si>
  <si>
    <t>Mide el porcentaje de encuentros intergeneracionales llevados a cabo en 2023</t>
  </si>
  <si>
    <t>(Número de encuentros intergeneracionales llevados a cabo en 2023/ número de encuentros intergeneracionales programados para el 2023)*100</t>
  </si>
  <si>
    <t>Número de encuentros intergeneracionales llevados a cabo en 2023</t>
  </si>
  <si>
    <t>Número de encuentros intergeneracionales programados para el 2023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</si>
  <si>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</si>
  <si>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</si>
  <si>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Raciones alimenticias entregadas en el comedor de DIPAM en 2023</t>
  </si>
  <si>
    <t>Porcentaje de cumplimiento en la entrega de raciones alimenticias entregadas en el comedor de DIPAM en 2023</t>
  </si>
  <si>
    <t>Mide el porcentaje de cumplimiento en la entrega de raciones alimenticias en el comedor de DIPAM, durante el 2023</t>
  </si>
  <si>
    <t>(Número de raciones alimentarias entregadas en DIPAM en 2023/ número de raciones alimentarias programadas como meta para el 2023)*100</t>
  </si>
  <si>
    <t>Número de raciones alimentarias entregadas en DIPAM en 2023</t>
  </si>
  <si>
    <t>Número de raciones alimentarias programadas como meta para el 2023</t>
  </si>
  <si>
    <t xml:space="preserve"> La oferta de alimentos en el mercado local es suficiente y nutritiva para cubrir la demanda de alimentos del programa de asistencia social.</t>
  </si>
  <si>
    <t>COMPONENTE 5</t>
  </si>
  <si>
    <t>C5.  Servicios de terapia física, atención psicológica y consulta médica de rehabilitación y de traumatología y ortopedia brindados en el CAIPED en 2023</t>
  </si>
  <si>
    <t>Porcentaje de personas con discapacidad temporal o permanente y población en general atendidos en servicios de terapia física y de lenguaje, consulta médica en rehabilitación, consulta de podología, consulta en traumatología/ortopedia, y psicología en 2023</t>
  </si>
  <si>
    <t>Mide el porcentaje de servicios brindados a las personas con discapacidad temporal o permanente y población en general atendidos en servicios de terapia física y de lenguaje, consulta médica en rehabilitación, consulta de podología, consulta en traumatología/ortopedia, y psicología en 2023</t>
  </si>
  <si>
    <t>(Número de personas atendidas en el Centro CAIPED durante el 2023/ número de personas programadas para el 2023)*100</t>
  </si>
  <si>
    <t>Número de personas atendidas en el Centro CAIPED, durante 2023</t>
  </si>
  <si>
    <t>Número de personas programadas para el 2023</t>
  </si>
  <si>
    <t>Padrón de beneficiarios o listas de asistencia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</si>
  <si>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</si>
  <si>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</si>
  <si>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Sesiones de terapia física brindadas en el Centro CAIPED en 2023</t>
  </si>
  <si>
    <t>Porcentaje de sesiones de terapia física a personas con discapacidad permanente o temporal y población en general en 2023</t>
  </si>
  <si>
    <t>Mide el porcentaje de sesiones de terapia física a personas con discapacidad permanente o temporal y población en general en 2023</t>
  </si>
  <si>
    <t>(Número de sesiones de terapia física brindadas en el centro CAIPED en 2023/ número de sesiones programadas para el  2023)*100</t>
  </si>
  <si>
    <t>Número de sesiones de terapia física brindadas en el centro CAIPED, dadas durante 2023</t>
  </si>
  <si>
    <t>Número de sesiones programadas para el 2023</t>
  </si>
  <si>
    <t>Los pacientes que requieren servicios de terapia física en el CAIPED tienen acceso y disponibilidad para asistir regularmente a las sesiones programadas.</t>
  </si>
  <si>
    <t>ACTIVIDAD 5.2</t>
  </si>
  <si>
    <t>Sesiones de consulta médica brindadas en el Centro CAIPED en 2023</t>
  </si>
  <si>
    <t>Porcentaje de sesiones de consulta médica en rehabilitación y traumatología/ortopedia a personas con discapacidad permanente o temporal y población en general en 2023</t>
  </si>
  <si>
    <t>Mide el porcentaje de sesiones de consulta médica en rehabilitación y traumatología/ortopedia a personas con discapacidad permanente o temporal y población en general en 2023</t>
  </si>
  <si>
    <t>(Número de sesiones de consulta médica en rehabilitación y traumatología-ortopedia brindadas en el centro CAIPED, en el 2023/ número de sesiones programadas para el 2023)*100</t>
  </si>
  <si>
    <t xml:space="preserve">Número de sesiones de consulta médica en rehabilitación y traumatología, dadas durante 2023
</t>
  </si>
  <si>
    <t>La población objetivo cuenta con acceso a los servicios de salud y transporte público para acudir al centro CAIPED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</si>
  <si>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</si>
  <si>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</si>
  <si>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</si>
  <si>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</si>
  <si>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</si>
  <si>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</si>
  <si>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</si>
  <si>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</si>
  <si>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</si>
  <si>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</si>
  <si>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</si>
  <si>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</si>
  <si>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</si>
  <si>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</si>
  <si>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</si>
  <si>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</si>
  <si>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</si>
  <si>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</si>
  <si>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</si>
  <si>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META</t>
  </si>
  <si>
    <t>ALCANCE</t>
  </si>
  <si>
    <t>(Número de personas atendidas en talleres recreativos, formativos, deportivos, consultas médicas y psicológicas impartidas en el programa de CEAMIVIDA durante el 2023)/12</t>
  </si>
  <si>
    <t>(Número de personas atendidas en terapia especializada para DI, TEA, durante el 2023)/ 12</t>
  </si>
  <si>
    <t>(Número de personas con discapacidad institucionalizados que reciben medicamentos durante el 2023/ 12)</t>
  </si>
  <si>
    <t>Porcentaje de personas con discapacidad intelectual o mental institucionalizados que recibieron apoyo de vivienda temporal para la garantía de sus derechos en 2023</t>
  </si>
  <si>
    <t>Número de asistencias a una capacitación o taller durante el 2023/12</t>
  </si>
  <si>
    <t>sUBIDA</t>
  </si>
  <si>
    <t>Sin comentarios.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</si>
  <si>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</si>
  <si>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</si>
  <si>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</si>
  <si>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</si>
  <si>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</si>
  <si>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</si>
  <si>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</si>
  <si>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</si>
  <si>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</si>
  <si>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</si>
  <si>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</si>
  <si>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</si>
  <si>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</si>
  <si>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</si>
  <si>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</si>
  <si>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</si>
  <si>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</si>
  <si>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</si>
  <si>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</si>
  <si>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</si>
  <si>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</si>
  <si>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</si>
  <si>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</si>
  <si>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</si>
  <si>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1. Territorio y Medio Ambiente Sustentable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</si>
  <si>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</si>
  <si>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</si>
  <si>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</si>
  <si>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</si>
  <si>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</si>
  <si>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</si>
  <si>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</si>
  <si>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</si>
  <si>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</si>
  <si>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</si>
  <si>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</si>
  <si>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</si>
  <si>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</si>
  <si>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2. Economía Próspera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</si>
  <si>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</si>
  <si>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</si>
  <si>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</si>
  <si>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</si>
  <si>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</si>
  <si>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</si>
  <si>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</si>
  <si>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</si>
  <si>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</si>
  <si>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</si>
  <si>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</si>
  <si>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</si>
  <si>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</si>
  <si>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3. Equidad de Oportunidades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</si>
  <si>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</si>
  <si>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</si>
  <si>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</si>
  <si>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</si>
  <si>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</si>
  <si>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</si>
  <si>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</si>
  <si>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</si>
  <si>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</si>
  <si>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</si>
  <si>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</si>
  <si>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</si>
  <si>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</si>
  <si>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</si>
  <si>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</si>
  <si>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4. Educacion de Calidad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</si>
  <si>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</si>
  <si>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</si>
  <si>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</si>
  <si>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</si>
  <si>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</si>
  <si>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</si>
  <si>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</si>
  <si>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</si>
  <si>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</si>
  <si>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</si>
  <si>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</si>
  <si>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</si>
  <si>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</si>
  <si>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5. Estado de Derecho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</si>
  <si>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</si>
  <si>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</si>
  <si>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</si>
  <si>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</si>
  <si>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</si>
  <si>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</si>
  <si>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</si>
  <si>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</si>
  <si>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</si>
  <si>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</si>
  <si>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</si>
  <si>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</si>
  <si>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Transversal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</si>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</sst>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9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1"/>
      <color rgb="FF000000"/>
      <name val="Calibri"/>
      <scheme val="minor"/>
    </font>
    <font>
      <b/>
      <sz val="10"/>
      <color rgb="FF000000"/>
      <name val="Arial"/>
    </font>
    <font>
      <b/>
      <sz val="10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2"/>
      <color theme="1"/>
      <name val="&quot;Noto Sans Symbols&quot;"/>
    </font>
    <font>
      <b/>
      <sz val="12"/>
      <color rgb="FF000000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Calibri"/>
      <scheme val="minor"/>
    </font>
    <font>
      <sz val="12"/>
      <color rgb="FF000000"/>
      <name val="Noto Sans Symbols"/>
    </font>
    <font>
      <sz val="11"/>
      <color rgb="FF000000"/>
      <name val="Roboto"/>
    </font>
    <font>
      <sz val="9"/>
      <color rgb="FF000000"/>
      <name val="&quot;Google Sans Mono&quot;"/>
    </font>
    <font>
      <sz val="11"/>
      <color theme="1"/>
      <name val="Arial"/>
    </font>
    <font>
      <sz val="11"/>
      <color rgb="FF000000"/>
      <name val="Arial"/>
    </font>
    <font>
      <sz val="11"/>
      <color rgb="FFFF0000"/>
      <name val="Arial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3" fillId="2" borderId="8" xfId="0" applyFont="1" applyFill="1" applyBorder="1"/>
    <xf numFmtId="0" fontId="5" fillId="2" borderId="8" xfId="0" applyFont="1" applyFill="1" applyBorder="1"/>
    <xf numFmtId="4" fontId="3" fillId="2" borderId="8" xfId="0" applyNumberFormat="1" applyFont="1" applyFill="1" applyBorder="1"/>
    <xf numFmtId="4" fontId="6" fillId="0" borderId="0" xfId="0" applyNumberFormat="1" applyFont="1"/>
    <xf numFmtId="0" fontId="7" fillId="2" borderId="8" xfId="0" applyFont="1" applyFill="1" applyBorder="1"/>
    <xf numFmtId="0" fontId="8" fillId="2" borderId="0" xfId="0" applyFont="1" applyFill="1"/>
    <xf numFmtId="0" fontId="9" fillId="2" borderId="8" xfId="0" applyFont="1" applyFill="1" applyBorder="1"/>
    <xf numFmtId="4" fontId="9" fillId="2" borderId="8" xfId="0" applyNumberFormat="1" applyFont="1" applyFill="1" applyBorder="1"/>
    <xf numFmtId="0" fontId="3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8" fillId="5" borderId="0" xfId="0" applyFont="1" applyFill="1"/>
    <xf numFmtId="0" fontId="9" fillId="5" borderId="8" xfId="0" applyFont="1" applyFill="1" applyBorder="1"/>
    <xf numFmtId="0" fontId="12" fillId="0" borderId="0" xfId="0" applyFont="1"/>
    <xf numFmtId="0" fontId="13" fillId="3" borderId="0" xfId="0" applyFont="1" applyFill="1" applyAlignment="1">
      <alignment horizontal="center" vertical="center" textRotation="90" wrapText="1"/>
    </xf>
    <xf numFmtId="0" fontId="15" fillId="3" borderId="0" xfId="0" applyFont="1" applyFill="1" applyAlignment="1">
      <alignment horizontal="center" vertical="center" textRotation="90" wrapText="1"/>
    </xf>
    <xf numFmtId="0" fontId="11" fillId="2" borderId="16" xfId="0" applyFont="1" applyFill="1" applyBorder="1" applyAlignment="1">
      <alignment horizontal="left" vertical="center"/>
    </xf>
    <xf numFmtId="4" fontId="9" fillId="6" borderId="5" xfId="0" applyNumberFormat="1" applyFont="1" applyFill="1" applyBorder="1" applyAlignment="1"/>
    <xf numFmtId="4" fontId="3" fillId="6" borderId="6" xfId="0" applyNumberFormat="1" applyFont="1" applyFill="1" applyBorder="1" applyAlignment="1"/>
    <xf numFmtId="4" fontId="3" fillId="6" borderId="7" xfId="0" applyNumberFormat="1" applyFont="1" applyFill="1" applyBorder="1" applyAlignment="1"/>
    <xf numFmtId="0" fontId="9" fillId="2" borderId="16" xfId="0" applyFont="1" applyFill="1" applyBorder="1"/>
    <xf numFmtId="4" fontId="9" fillId="2" borderId="8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18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/>
    <xf numFmtId="0" fontId="3" fillId="0" borderId="13" xfId="0" applyFont="1" applyBorder="1"/>
    <xf numFmtId="0" fontId="22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" fillId="0" borderId="0" xfId="0" applyFont="1" applyAlignment="1"/>
    <xf numFmtId="0" fontId="9" fillId="3" borderId="1" xfId="0" applyFont="1" applyFill="1" applyBorder="1" applyAlignment="1"/>
    <xf numFmtId="0" fontId="20" fillId="6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6" borderId="0" xfId="0" applyFont="1" applyFill="1"/>
    <xf numFmtId="0" fontId="3" fillId="6" borderId="1" xfId="0" applyFont="1" applyFill="1" applyBorder="1" applyAlignment="1"/>
    <xf numFmtId="0" fontId="10" fillId="4" borderId="1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9" fillId="2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20" fillId="0" borderId="20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9" fillId="2" borderId="8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23" fillId="6" borderId="0" xfId="0" applyNumberFormat="1" applyFont="1" applyFill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0" fillId="4" borderId="2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1" xfId="0" applyFont="1" applyBorder="1"/>
    <xf numFmtId="10" fontId="20" fillId="0" borderId="1" xfId="0" applyNumberFormat="1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/>
    <xf numFmtId="0" fontId="6" fillId="0" borderId="19" xfId="0" applyFont="1" applyBorder="1"/>
    <xf numFmtId="0" fontId="6" fillId="0" borderId="5" xfId="0" applyFont="1" applyBorder="1"/>
    <xf numFmtId="0" fontId="6" fillId="0" borderId="6" xfId="0" applyFont="1" applyBorder="1"/>
    <xf numFmtId="4" fontId="6" fillId="0" borderId="6" xfId="0" applyNumberFormat="1" applyFont="1" applyBorder="1"/>
    <xf numFmtId="0" fontId="21" fillId="8" borderId="0" xfId="0" applyFont="1" applyFill="1"/>
    <xf numFmtId="0" fontId="6" fillId="0" borderId="0" xfId="0" applyFont="1" applyAlignment="1"/>
    <xf numFmtId="0" fontId="6" fillId="0" borderId="7" xfId="0" applyFont="1" applyBorder="1"/>
    <xf numFmtId="4" fontId="6" fillId="8" borderId="0" xfId="0" applyNumberFormat="1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1" fillId="0" borderId="0" xfId="0" applyFont="1"/>
    <xf numFmtId="0" fontId="1" fillId="0" borderId="1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31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" fontId="17" fillId="6" borderId="11" xfId="0" applyNumberFormat="1" applyFont="1" applyFill="1" applyBorder="1" applyAlignment="1"/>
    <xf numFmtId="4" fontId="17" fillId="6" borderId="5" xfId="0" applyNumberFormat="1" applyFont="1" applyFill="1" applyBorder="1" applyAlignment="1"/>
    <xf numFmtId="0" fontId="4" fillId="0" borderId="6" xfId="0" applyFont="1" applyBorder="1"/>
    <xf numFmtId="0" fontId="4" fillId="0" borderId="7" xfId="0" applyFont="1" applyBorder="1"/>
    <xf numFmtId="8" fontId="9" fillId="0" borderId="12" xfId="0" applyNumberFormat="1" applyFont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10" fillId="7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4" fillId="3" borderId="14" xfId="0" applyFont="1" applyFill="1" applyBorder="1" applyAlignment="1">
      <alignment horizontal="center" vertical="center" textRotation="90" wrapText="1"/>
    </xf>
    <xf numFmtId="0" fontId="4" fillId="0" borderId="15" xfId="0" applyFont="1" applyBorder="1"/>
    <xf numFmtId="0" fontId="16" fillId="3" borderId="14" xfId="0" applyFont="1" applyFill="1" applyBorder="1" applyAlignment="1">
      <alignment horizontal="center" vertical="center" textRotation="90" wrapText="1"/>
    </xf>
    <xf numFmtId="0" fontId="4" fillId="0" borderId="17" xfId="0" applyFont="1" applyBorder="1"/>
    <xf numFmtId="0" fontId="7" fillId="2" borderId="9" xfId="0" applyFont="1" applyFill="1" applyBorder="1" applyAlignment="1">
      <alignment horizontal="center"/>
    </xf>
    <xf numFmtId="0" fontId="4" fillId="0" borderId="10" xfId="0" applyFont="1" applyBorder="1"/>
    <xf numFmtId="0" fontId="10" fillId="0" borderId="11" xfId="0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0" fontId="4" fillId="0" borderId="25" xfId="0" applyFont="1" applyBorder="1"/>
    <xf numFmtId="0" fontId="3" fillId="0" borderId="37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34" xfId="0" applyFont="1" applyBorder="1"/>
    <xf numFmtId="0" fontId="3" fillId="0" borderId="27" xfId="0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30" xfId="0" applyFont="1" applyBorder="1"/>
    <xf numFmtId="0" fontId="4" fillId="0" borderId="35" xfId="0" applyFont="1" applyBorder="1"/>
    <xf numFmtId="0" fontId="3" fillId="0" borderId="27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Porfinporproposit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B2:M19">
  <tableColumns count="12">
    <tableColumn id="1" name="RESUMEN NARRATIVO"/>
    <tableColumn id="2" name="OBJETIVOS DE RESULTADO"/>
    <tableColumn id="3" name="NOMBRE DEL INDICADOR"/>
    <tableColumn id="4" name="MÉTODO DE CÁLCULO"/>
    <tableColumn id="5" name="DEFINICIÓN"/>
    <tableColumn id="6" name="TIPO"/>
    <tableColumn id="7" name="DIMENSIÓN"/>
    <tableColumn id="8" name="UNIDAD DE MEDIDA"/>
    <tableColumn id="9" name="LINEA BASE"/>
    <tableColumn id="10" name="META PROGRAMADA"/>
    <tableColumn id="11" name="FUENTES DE INFORMACIÓN Y MEDIOS DE VERIFICACIÓN"/>
    <tableColumn id="12" name="SUPUESTOS"/>
  </tableColumns>
  <tableStyleInfo name="Porfinporproposit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4"/>
  <sheetViews>
    <sheetView tabSelected="1" zoomScale="50" zoomScaleNormal="50" workbookViewId="0">
      <selection activeCell="D25" sqref="D25:H25"/>
    </sheetView>
  </sheetViews>
  <sheetFormatPr baseColWidth="10" defaultColWidth="14.42578125" defaultRowHeight="15" customHeight="1"/>
  <cols>
    <col min="1" max="1" width="18.7109375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6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2"/>
      <c r="B1" s="3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5"/>
      <c r="Q1" s="3"/>
      <c r="R1" s="3"/>
    </row>
    <row r="2" spans="1:18" ht="15.75">
      <c r="A2" s="2"/>
      <c r="B2" s="3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5"/>
      <c r="Q2" s="3"/>
      <c r="R2" s="3"/>
    </row>
    <row r="3" spans="1:18" ht="15.75">
      <c r="A3" s="2"/>
      <c r="B3" s="3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5"/>
      <c r="Q3" s="3"/>
      <c r="R3" s="3"/>
    </row>
    <row r="4" spans="1:18" ht="15.75">
      <c r="A4" s="2"/>
      <c r="B4" s="3"/>
      <c r="C4" s="3"/>
      <c r="D4" s="180" t="s">
        <v>0</v>
      </c>
      <c r="E4" s="181"/>
      <c r="F4" s="181"/>
      <c r="G4" s="181"/>
      <c r="H4" s="181"/>
      <c r="I4" s="3"/>
      <c r="J4" s="5"/>
      <c r="K4" s="5"/>
      <c r="L4" s="3"/>
      <c r="M4" s="3"/>
      <c r="N4" s="5"/>
      <c r="O4" s="5"/>
      <c r="P4" s="5"/>
      <c r="Q4" s="3"/>
      <c r="R4" s="3"/>
    </row>
    <row r="5" spans="1:18" ht="15.75">
      <c r="A5" s="2"/>
      <c r="B5" s="3"/>
      <c r="C5" s="3"/>
      <c r="D5" s="180" t="s">
        <v>1</v>
      </c>
      <c r="E5" s="181"/>
      <c r="F5" s="181"/>
      <c r="G5" s="181"/>
      <c r="H5" s="181"/>
      <c r="I5" s="3"/>
      <c r="J5" s="5"/>
      <c r="K5" s="5"/>
      <c r="L5" s="3"/>
      <c r="M5" s="3"/>
      <c r="N5" s="5"/>
      <c r="O5" s="5"/>
      <c r="P5" s="5"/>
      <c r="Q5" s="3"/>
      <c r="R5" s="3"/>
    </row>
    <row r="6" spans="1:18" ht="15.75">
      <c r="A6" s="2"/>
      <c r="B6" s="3"/>
      <c r="C6" s="3"/>
      <c r="D6" s="180" t="s">
        <v>2</v>
      </c>
      <c r="E6" s="181"/>
      <c r="F6" s="181"/>
      <c r="G6" s="181"/>
      <c r="H6" s="181"/>
      <c r="I6" s="3"/>
      <c r="J6" s="5"/>
      <c r="K6" s="5"/>
      <c r="L6" s="3"/>
      <c r="M6" s="3"/>
      <c r="N6" s="5"/>
      <c r="O6" s="5"/>
      <c r="P6" s="5"/>
      <c r="Q6" s="3"/>
      <c r="R6" s="3"/>
    </row>
    <row r="7" spans="1:18" ht="15.75">
      <c r="A7" s="2"/>
      <c r="B7" s="3"/>
      <c r="C7" s="3"/>
      <c r="D7" s="180"/>
      <c r="E7" s="181"/>
      <c r="F7" s="181"/>
      <c r="G7" s="181"/>
      <c r="H7" s="181"/>
      <c r="I7" s="3"/>
      <c r="J7" s="5"/>
      <c r="K7" s="5"/>
      <c r="L7" s="3"/>
      <c r="M7" s="3"/>
      <c r="N7" s="5"/>
      <c r="O7" s="5"/>
      <c r="P7" s="5"/>
      <c r="Q7" s="3"/>
      <c r="R7" s="3"/>
    </row>
    <row r="8" spans="1:18" ht="15.75">
      <c r="A8" s="2"/>
      <c r="B8" s="3"/>
      <c r="C8" s="3"/>
      <c r="D8" s="7"/>
      <c r="E8" s="7"/>
      <c r="F8" s="7"/>
      <c r="G8" s="7"/>
      <c r="H8" s="7"/>
      <c r="I8" s="3"/>
      <c r="J8" s="5"/>
      <c r="K8" s="5"/>
      <c r="L8" s="3"/>
      <c r="M8" s="3"/>
      <c r="N8" s="5"/>
      <c r="O8" s="5"/>
      <c r="P8" s="5"/>
      <c r="Q8" s="3"/>
      <c r="R8" s="3"/>
    </row>
    <row r="9" spans="1:18" ht="15.75">
      <c r="A9" s="2"/>
      <c r="B9" s="3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5"/>
      <c r="Q9" s="3"/>
      <c r="R9" s="3"/>
    </row>
    <row r="10" spans="1:18" ht="15.75">
      <c r="A10" s="2"/>
      <c r="B10" s="3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5"/>
      <c r="Q10" s="3"/>
      <c r="R10" s="3"/>
    </row>
    <row r="11" spans="1:18" ht="15.75">
      <c r="A11" s="2"/>
      <c r="B11" s="3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5"/>
      <c r="Q11" s="3"/>
      <c r="R11" s="3"/>
    </row>
    <row r="12" spans="1:18" ht="15.75">
      <c r="A12" s="8"/>
      <c r="B12" s="9"/>
      <c r="C12" s="9"/>
      <c r="D12" s="9"/>
      <c r="E12" s="9"/>
      <c r="F12" s="9"/>
      <c r="G12" s="9"/>
      <c r="H12" s="9"/>
      <c r="I12" s="9"/>
      <c r="J12" s="10"/>
      <c r="K12" s="10"/>
      <c r="L12" s="9"/>
      <c r="M12" s="9"/>
      <c r="N12" s="10"/>
      <c r="O12" s="10"/>
      <c r="P12" s="10"/>
      <c r="Q12" s="9"/>
      <c r="R12" s="9"/>
    </row>
    <row r="13" spans="1:18" ht="15.75">
      <c r="A13" s="8"/>
      <c r="B13" s="9"/>
      <c r="C13" s="12" t="s">
        <v>3</v>
      </c>
      <c r="D13" s="182" t="s">
        <v>4</v>
      </c>
      <c r="E13" s="160"/>
      <c r="F13" s="160"/>
      <c r="G13" s="160"/>
      <c r="H13" s="161"/>
      <c r="I13" s="13"/>
      <c r="J13" s="10"/>
      <c r="K13" s="10"/>
      <c r="L13" s="9"/>
      <c r="M13" s="9"/>
      <c r="N13" s="10"/>
      <c r="O13" s="10"/>
      <c r="P13" s="10"/>
      <c r="Q13" s="9"/>
      <c r="R13" s="9"/>
    </row>
    <row r="14" spans="1:18" ht="15.75">
      <c r="A14" s="8"/>
      <c r="B14" s="9"/>
      <c r="C14" s="12" t="s">
        <v>5</v>
      </c>
      <c r="D14" s="175" t="s">
        <v>6</v>
      </c>
      <c r="E14" s="160"/>
      <c r="F14" s="160"/>
      <c r="G14" s="160"/>
      <c r="H14" s="161"/>
      <c r="I14" s="14" t="s">
        <v>7</v>
      </c>
      <c r="J14" s="10"/>
      <c r="K14" s="10"/>
      <c r="L14" s="9"/>
      <c r="M14" s="9"/>
      <c r="N14" s="10"/>
      <c r="O14" s="10"/>
      <c r="P14" s="10"/>
      <c r="Q14" s="9"/>
      <c r="R14" s="9"/>
    </row>
    <row r="15" spans="1:18" ht="15.75">
      <c r="A15" s="8"/>
      <c r="B15" s="9"/>
      <c r="C15" s="12" t="s">
        <v>8</v>
      </c>
      <c r="D15" s="175" t="s">
        <v>9</v>
      </c>
      <c r="E15" s="160"/>
      <c r="F15" s="160"/>
      <c r="G15" s="160"/>
      <c r="H15" s="161"/>
      <c r="I15" s="14" t="s">
        <v>7</v>
      </c>
      <c r="J15" s="10"/>
      <c r="K15" s="10"/>
      <c r="L15" s="9"/>
      <c r="M15" s="9"/>
      <c r="N15" s="10"/>
      <c r="O15" s="10"/>
      <c r="P15" s="10"/>
      <c r="Q15" s="9"/>
      <c r="R15" s="9"/>
    </row>
    <row r="16" spans="1:18" ht="15.75">
      <c r="A16" s="8"/>
      <c r="B16" s="9"/>
      <c r="C16" s="12" t="s">
        <v>10</v>
      </c>
      <c r="D16" s="175" t="s">
        <v>11</v>
      </c>
      <c r="E16" s="160"/>
      <c r="F16" s="160"/>
      <c r="G16" s="160"/>
      <c r="H16" s="161"/>
      <c r="I16" s="13"/>
      <c r="J16" s="10"/>
      <c r="K16" s="10"/>
      <c r="L16" s="9"/>
      <c r="M16" s="9"/>
      <c r="N16" s="10"/>
      <c r="O16" s="10"/>
      <c r="P16" s="10"/>
      <c r="Q16" s="9"/>
      <c r="R16" s="9"/>
    </row>
    <row r="17" spans="1:18" ht="15.75">
      <c r="A17" s="8"/>
      <c r="B17" s="9"/>
      <c r="C17" s="12" t="s">
        <v>12</v>
      </c>
      <c r="D17" s="175" t="s">
        <v>13</v>
      </c>
      <c r="E17" s="160"/>
      <c r="F17" s="160"/>
      <c r="G17" s="160"/>
      <c r="H17" s="161"/>
      <c r="I17" s="14" t="s">
        <v>7</v>
      </c>
      <c r="J17" s="10"/>
      <c r="K17" s="10"/>
      <c r="L17" s="9"/>
      <c r="M17" s="9"/>
      <c r="N17" s="10"/>
      <c r="O17" s="10"/>
      <c r="P17" s="10"/>
      <c r="Q17" s="9"/>
      <c r="R17" s="9"/>
    </row>
    <row r="18" spans="1:18" ht="15.75">
      <c r="A18" s="15"/>
      <c r="B18" s="16"/>
      <c r="C18" s="12" t="s">
        <v>14</v>
      </c>
      <c r="D18" s="175" t="s">
        <v>15</v>
      </c>
      <c r="E18" s="160"/>
      <c r="F18" s="160"/>
      <c r="G18" s="160"/>
      <c r="H18" s="161"/>
      <c r="I18" s="14" t="s">
        <v>7</v>
      </c>
      <c r="J18" s="10"/>
      <c r="K18" s="10"/>
      <c r="L18" s="9"/>
      <c r="M18" s="9"/>
      <c r="N18" s="10"/>
      <c r="O18" s="10"/>
      <c r="P18" s="10"/>
      <c r="Q18" s="9"/>
      <c r="R18" s="9"/>
    </row>
    <row r="19" spans="1:18" ht="15.75" hidden="1">
      <c r="A19" s="17"/>
      <c r="B19" s="18"/>
      <c r="C19" s="12" t="s">
        <v>16</v>
      </c>
      <c r="D19" s="175"/>
      <c r="E19" s="160"/>
      <c r="F19" s="160"/>
      <c r="G19" s="160"/>
      <c r="H19" s="161"/>
      <c r="I19" s="13"/>
      <c r="J19" s="10"/>
      <c r="K19" s="10"/>
      <c r="L19" s="9"/>
      <c r="M19" s="9"/>
      <c r="N19" s="10"/>
      <c r="O19" s="10"/>
      <c r="P19" s="10"/>
      <c r="Q19" s="9"/>
      <c r="R19" s="9"/>
    </row>
    <row r="20" spans="1:18" ht="15.75">
      <c r="A20" s="19"/>
      <c r="C20" s="12" t="s">
        <v>16</v>
      </c>
      <c r="D20" s="175" t="s">
        <v>17</v>
      </c>
      <c r="E20" s="160"/>
      <c r="F20" s="160"/>
      <c r="G20" s="160"/>
      <c r="H20" s="161"/>
      <c r="I20" s="14" t="s">
        <v>7</v>
      </c>
      <c r="J20" s="10"/>
      <c r="K20" s="10"/>
      <c r="L20" s="9"/>
      <c r="M20" s="9"/>
      <c r="N20" s="10"/>
      <c r="O20" s="10"/>
      <c r="P20" s="10"/>
      <c r="Q20" s="9"/>
      <c r="R20" s="9"/>
    </row>
    <row r="21" spans="1:18" ht="15.75">
      <c r="A21" s="20"/>
      <c r="B21" s="176" t="s">
        <v>18</v>
      </c>
      <c r="C21" s="12" t="s">
        <v>19</v>
      </c>
      <c r="D21" s="175" t="s">
        <v>20</v>
      </c>
      <c r="E21" s="160"/>
      <c r="F21" s="160"/>
      <c r="G21" s="160"/>
      <c r="H21" s="161"/>
      <c r="I21" s="14" t="s">
        <v>7</v>
      </c>
      <c r="K21" s="10"/>
      <c r="L21" s="9"/>
      <c r="M21" s="9"/>
      <c r="N21" s="10"/>
      <c r="O21" s="10"/>
      <c r="P21" s="10"/>
      <c r="Q21" s="9"/>
      <c r="R21" s="9"/>
    </row>
    <row r="22" spans="1:18" ht="15.75">
      <c r="A22" s="20"/>
      <c r="B22" s="177"/>
      <c r="C22" s="12" t="s">
        <v>21</v>
      </c>
      <c r="D22" s="175" t="s">
        <v>22</v>
      </c>
      <c r="E22" s="160"/>
      <c r="F22" s="160"/>
      <c r="G22" s="160"/>
      <c r="H22" s="161"/>
      <c r="I22" s="14" t="s">
        <v>7</v>
      </c>
      <c r="J22" s="10"/>
      <c r="K22" s="10"/>
      <c r="L22" s="9"/>
      <c r="M22" s="9"/>
      <c r="N22" s="10"/>
      <c r="O22" s="10"/>
      <c r="P22" s="10"/>
      <c r="Q22" s="9"/>
      <c r="R22" s="9"/>
    </row>
    <row r="23" spans="1:18" ht="15.75">
      <c r="A23" s="21"/>
      <c r="B23" s="178" t="s">
        <v>23</v>
      </c>
      <c r="C23" s="12" t="s">
        <v>24</v>
      </c>
      <c r="D23" s="164" t="s">
        <v>25</v>
      </c>
      <c r="E23" s="160"/>
      <c r="F23" s="160"/>
      <c r="G23" s="160"/>
      <c r="H23" s="161"/>
      <c r="I23" s="22" t="s">
        <v>7</v>
      </c>
      <c r="J23" s="10"/>
      <c r="K23" s="10"/>
      <c r="L23" s="9"/>
      <c r="M23" s="9"/>
      <c r="N23" s="10"/>
      <c r="O23" s="10"/>
      <c r="P23" s="10"/>
      <c r="Q23" s="9"/>
      <c r="R23" s="9"/>
    </row>
    <row r="24" spans="1:18" ht="31.5">
      <c r="A24" s="21"/>
      <c r="B24" s="179"/>
      <c r="C24" s="12" t="s">
        <v>26</v>
      </c>
      <c r="D24" s="165" t="s">
        <v>27</v>
      </c>
      <c r="E24" s="166"/>
      <c r="F24" s="166"/>
      <c r="G24" s="166"/>
      <c r="H24" s="167"/>
      <c r="I24" s="22" t="s">
        <v>7</v>
      </c>
      <c r="J24" s="10"/>
      <c r="K24" s="10"/>
      <c r="L24" s="9"/>
      <c r="M24" s="9"/>
      <c r="N24" s="10"/>
      <c r="O24" s="10"/>
      <c r="P24" s="10"/>
      <c r="Q24" s="9"/>
      <c r="R24" s="9"/>
    </row>
    <row r="25" spans="1:18" ht="15.75">
      <c r="A25" s="21"/>
      <c r="B25" s="178" t="s">
        <v>28</v>
      </c>
      <c r="C25" s="12" t="s">
        <v>29</v>
      </c>
      <c r="D25" s="165" t="s">
        <v>30</v>
      </c>
      <c r="E25" s="166"/>
      <c r="F25" s="166"/>
      <c r="G25" s="166"/>
      <c r="H25" s="167"/>
      <c r="I25" s="22" t="s">
        <v>7</v>
      </c>
      <c r="J25" s="10"/>
      <c r="K25" s="10"/>
      <c r="L25" s="9"/>
      <c r="M25" s="9"/>
      <c r="N25" s="10"/>
      <c r="O25" s="10"/>
      <c r="P25" s="10"/>
      <c r="Q25" s="9"/>
      <c r="R25" s="9"/>
    </row>
    <row r="26" spans="1:18" ht="15.75">
      <c r="A26" s="21"/>
      <c r="B26" s="177"/>
      <c r="C26" s="12" t="s">
        <v>31</v>
      </c>
      <c r="D26" s="23" t="s">
        <v>32</v>
      </c>
      <c r="E26" s="24"/>
      <c r="F26" s="24"/>
      <c r="G26" s="24"/>
      <c r="H26" s="25"/>
      <c r="I26" s="22" t="s">
        <v>7</v>
      </c>
      <c r="J26" s="10"/>
      <c r="K26" s="10"/>
      <c r="L26" s="9"/>
      <c r="M26" s="9"/>
      <c r="N26" s="10"/>
      <c r="O26" s="10"/>
      <c r="P26" s="10"/>
      <c r="Q26" s="9"/>
      <c r="R26" s="9"/>
    </row>
    <row r="27" spans="1:18" ht="15.75">
      <c r="A27" s="21"/>
      <c r="B27" s="177"/>
      <c r="C27" s="12" t="s">
        <v>33</v>
      </c>
      <c r="D27" s="165" t="s">
        <v>34</v>
      </c>
      <c r="E27" s="166"/>
      <c r="F27" s="166"/>
      <c r="G27" s="166"/>
      <c r="H27" s="167"/>
      <c r="I27" s="22" t="s">
        <v>7</v>
      </c>
      <c r="J27" s="10"/>
      <c r="K27" s="10"/>
      <c r="L27" s="9"/>
      <c r="M27" s="9"/>
      <c r="N27" s="10"/>
      <c r="O27" s="10"/>
      <c r="P27" s="10"/>
      <c r="Q27" s="9"/>
      <c r="R27" s="9"/>
    </row>
    <row r="28" spans="1:18" ht="15.75">
      <c r="A28" s="21"/>
      <c r="B28" s="177"/>
      <c r="C28" s="12" t="s">
        <v>35</v>
      </c>
      <c r="D28" s="165" t="s">
        <v>36</v>
      </c>
      <c r="E28" s="166"/>
      <c r="F28" s="166"/>
      <c r="G28" s="166"/>
      <c r="H28" s="167"/>
      <c r="I28" s="26"/>
      <c r="J28" s="10"/>
      <c r="K28" s="10"/>
      <c r="L28" s="9"/>
      <c r="M28" s="9"/>
      <c r="N28" s="10"/>
      <c r="O28" s="27"/>
      <c r="P28" s="27"/>
      <c r="Q28" s="9"/>
      <c r="R28" s="9"/>
    </row>
    <row r="29" spans="1:18" ht="31.5">
      <c r="A29" s="15"/>
      <c r="B29" s="16"/>
      <c r="C29" s="12" t="s">
        <v>37</v>
      </c>
      <c r="D29" s="168" t="s">
        <v>38</v>
      </c>
      <c r="E29" s="160"/>
      <c r="F29" s="160"/>
      <c r="G29" s="160"/>
      <c r="H29" s="160"/>
      <c r="I29" s="9"/>
      <c r="J29" s="10"/>
      <c r="K29" s="10"/>
      <c r="L29" s="9"/>
      <c r="M29" s="9"/>
      <c r="N29" s="10"/>
      <c r="O29" s="27"/>
      <c r="P29" s="27"/>
      <c r="Q29" s="9"/>
      <c r="R29" s="9"/>
    </row>
    <row r="30" spans="1:18" ht="15.75">
      <c r="A30" s="15"/>
      <c r="B30" s="16"/>
      <c r="C30" s="28" t="s">
        <v>39</v>
      </c>
      <c r="D30" s="169"/>
      <c r="E30" s="160"/>
      <c r="F30" s="160"/>
      <c r="G30" s="160"/>
      <c r="H30" s="161"/>
      <c r="I30" s="13"/>
      <c r="J30" s="10"/>
      <c r="K30" s="10"/>
      <c r="L30" s="9"/>
      <c r="M30" s="9"/>
      <c r="N30" s="10"/>
      <c r="O30" s="10"/>
      <c r="P30" s="10"/>
      <c r="Q30" s="9"/>
      <c r="R30" s="9"/>
    </row>
    <row r="31" spans="1:18" ht="15.75">
      <c r="A31" s="8"/>
      <c r="B31" s="29"/>
      <c r="C31" s="29"/>
      <c r="D31" s="30"/>
      <c r="E31" s="30"/>
      <c r="F31" s="30"/>
      <c r="G31" s="30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ht="63">
      <c r="A32" s="33"/>
      <c r="B32" s="34" t="s">
        <v>42</v>
      </c>
      <c r="C32" s="35" t="s">
        <v>43</v>
      </c>
      <c r="D32" s="28" t="s">
        <v>44</v>
      </c>
      <c r="E32" s="28" t="s">
        <v>45</v>
      </c>
      <c r="F32" s="28" t="s">
        <v>46</v>
      </c>
      <c r="G32" s="28" t="s">
        <v>47</v>
      </c>
      <c r="H32" s="28" t="s">
        <v>48</v>
      </c>
      <c r="I32" s="28" t="s">
        <v>49</v>
      </c>
      <c r="J32" s="36" t="s">
        <v>50</v>
      </c>
      <c r="K32" s="36" t="s">
        <v>51</v>
      </c>
      <c r="L32" s="28" t="s">
        <v>52</v>
      </c>
      <c r="M32" s="28" t="s">
        <v>53</v>
      </c>
      <c r="N32" s="36" t="s">
        <v>54</v>
      </c>
      <c r="O32" s="36" t="s">
        <v>55</v>
      </c>
      <c r="P32" s="36" t="s">
        <v>772</v>
      </c>
      <c r="Q32" s="28" t="s">
        <v>57</v>
      </c>
      <c r="R32" s="28" t="s">
        <v>58</v>
      </c>
    </row>
    <row r="33" spans="1:18" ht="199.5">
      <c r="A33" s="8"/>
      <c r="B33" s="9"/>
      <c r="C33" s="12" t="s">
        <v>74</v>
      </c>
      <c r="D33" s="40" t="s">
        <v>75</v>
      </c>
      <c r="E33" s="41" t="s">
        <v>76</v>
      </c>
      <c r="F33" s="40" t="s">
        <v>77</v>
      </c>
      <c r="G33" s="41" t="s">
        <v>78</v>
      </c>
      <c r="H33" s="41" t="s">
        <v>79</v>
      </c>
      <c r="I33" s="40" t="s">
        <v>80</v>
      </c>
      <c r="J33" s="42" t="s">
        <v>81</v>
      </c>
      <c r="K33" s="43" t="s">
        <v>82</v>
      </c>
      <c r="L33" s="41" t="s">
        <v>83</v>
      </c>
      <c r="M33" s="41" t="s">
        <v>84</v>
      </c>
      <c r="N33" s="44" t="s">
        <v>85</v>
      </c>
      <c r="O33" s="45">
        <v>10216</v>
      </c>
      <c r="P33" s="91">
        <v>1.0230999999999999</v>
      </c>
      <c r="Q33" s="41" t="s">
        <v>86</v>
      </c>
      <c r="R33" s="40" t="s">
        <v>87</v>
      </c>
    </row>
    <row r="34" spans="1:18" ht="242.25">
      <c r="A34" s="49"/>
      <c r="B34" s="50" t="s">
        <v>7</v>
      </c>
      <c r="C34" s="12" t="s">
        <v>88</v>
      </c>
      <c r="D34" s="40" t="s">
        <v>89</v>
      </c>
      <c r="E34" s="40" t="s">
        <v>90</v>
      </c>
      <c r="F34" s="40" t="s">
        <v>91</v>
      </c>
      <c r="G34" s="41" t="s">
        <v>78</v>
      </c>
      <c r="H34" s="41" t="s">
        <v>79</v>
      </c>
      <c r="I34" s="41" t="s">
        <v>92</v>
      </c>
      <c r="J34" s="42" t="s">
        <v>93</v>
      </c>
      <c r="K34" s="42" t="s">
        <v>94</v>
      </c>
      <c r="L34" s="41" t="s">
        <v>83</v>
      </c>
      <c r="M34" s="41" t="s">
        <v>84</v>
      </c>
      <c r="N34" s="44" t="s">
        <v>85</v>
      </c>
      <c r="O34" s="51">
        <v>36800</v>
      </c>
      <c r="P34" s="91">
        <v>0.87929999999999997</v>
      </c>
      <c r="Q34" s="41" t="s">
        <v>95</v>
      </c>
      <c r="R34" s="52" t="s">
        <v>96</v>
      </c>
    </row>
    <row r="35" spans="1:18" ht="185.25">
      <c r="A35" s="53" t="s">
        <v>74</v>
      </c>
      <c r="B35" s="54" t="s">
        <v>97</v>
      </c>
      <c r="C35" s="28" t="s">
        <v>98</v>
      </c>
      <c r="D35" s="40" t="s">
        <v>99</v>
      </c>
      <c r="E35" s="40" t="s">
        <v>100</v>
      </c>
      <c r="F35" s="40" t="s">
        <v>101</v>
      </c>
      <c r="G35" s="40" t="s">
        <v>78</v>
      </c>
      <c r="H35" s="40" t="s">
        <v>79</v>
      </c>
      <c r="I35" s="55" t="s">
        <v>102</v>
      </c>
      <c r="J35" s="55" t="s">
        <v>103</v>
      </c>
      <c r="K35" s="55">
        <v>4</v>
      </c>
      <c r="L35" s="56" t="s">
        <v>104</v>
      </c>
      <c r="M35" s="40" t="s">
        <v>105</v>
      </c>
      <c r="N35" s="40" t="s">
        <v>85</v>
      </c>
      <c r="O35" s="57">
        <v>372</v>
      </c>
      <c r="P35" s="40">
        <v>327</v>
      </c>
      <c r="Q35" s="58" t="s">
        <v>106</v>
      </c>
      <c r="R35" s="40" t="s">
        <v>107</v>
      </c>
    </row>
    <row r="36" spans="1:18" ht="242.25">
      <c r="A36" s="53" t="s">
        <v>88</v>
      </c>
      <c r="B36" s="60"/>
      <c r="C36" s="61" t="s">
        <v>108</v>
      </c>
      <c r="D36" s="40" t="s">
        <v>109</v>
      </c>
      <c r="E36" s="40" t="s">
        <v>110</v>
      </c>
      <c r="F36" s="40" t="s">
        <v>111</v>
      </c>
      <c r="G36" s="40" t="s">
        <v>78</v>
      </c>
      <c r="H36" s="40" t="s">
        <v>112</v>
      </c>
      <c r="I36" s="62" t="s">
        <v>113</v>
      </c>
      <c r="J36" s="62" t="s">
        <v>114</v>
      </c>
      <c r="K36" s="62" t="s">
        <v>115</v>
      </c>
      <c r="L36" s="56" t="s">
        <v>116</v>
      </c>
      <c r="M36" s="40" t="s">
        <v>84</v>
      </c>
      <c r="N36" s="40" t="s">
        <v>85</v>
      </c>
      <c r="O36" s="57">
        <v>810</v>
      </c>
      <c r="P36" s="92">
        <v>0.97799999999999998</v>
      </c>
      <c r="Q36" s="40" t="s">
        <v>117</v>
      </c>
      <c r="R36" s="40" t="s">
        <v>118</v>
      </c>
    </row>
    <row r="37" spans="1:18" ht="270.75">
      <c r="A37" s="64"/>
      <c r="B37" s="65"/>
      <c r="C37" s="61" t="s">
        <v>119</v>
      </c>
      <c r="D37" s="40" t="s">
        <v>120</v>
      </c>
      <c r="E37" s="40" t="s">
        <v>121</v>
      </c>
      <c r="F37" s="40" t="s">
        <v>122</v>
      </c>
      <c r="G37" s="40" t="s">
        <v>78</v>
      </c>
      <c r="H37" s="40" t="s">
        <v>112</v>
      </c>
      <c r="I37" s="62" t="s">
        <v>123</v>
      </c>
      <c r="J37" s="62" t="s">
        <v>124</v>
      </c>
      <c r="K37" s="62" t="s">
        <v>125</v>
      </c>
      <c r="L37" s="56" t="s">
        <v>116</v>
      </c>
      <c r="M37" s="40" t="s">
        <v>84</v>
      </c>
      <c r="N37" s="40" t="s">
        <v>85</v>
      </c>
      <c r="O37" s="57">
        <v>990</v>
      </c>
      <c r="P37" s="92">
        <v>0.84699999999999998</v>
      </c>
      <c r="Q37" s="41" t="s">
        <v>126</v>
      </c>
      <c r="R37" s="40" t="s">
        <v>127</v>
      </c>
    </row>
    <row r="38" spans="1:18" ht="114">
      <c r="A38" s="53" t="s">
        <v>74</v>
      </c>
      <c r="B38" s="66" t="s">
        <v>97</v>
      </c>
      <c r="C38" s="28" t="s">
        <v>128</v>
      </c>
      <c r="D38" s="40" t="s">
        <v>129</v>
      </c>
      <c r="E38" s="40" t="s">
        <v>130</v>
      </c>
      <c r="F38" s="40" t="s">
        <v>131</v>
      </c>
      <c r="G38" s="40" t="s">
        <v>78</v>
      </c>
      <c r="H38" s="40" t="s">
        <v>79</v>
      </c>
      <c r="I38" s="67" t="s">
        <v>132</v>
      </c>
      <c r="J38" s="67" t="s">
        <v>133</v>
      </c>
      <c r="K38" s="67">
        <v>4</v>
      </c>
      <c r="L38" s="56" t="s">
        <v>104</v>
      </c>
      <c r="M38" s="40" t="s">
        <v>105</v>
      </c>
      <c r="N38" s="68" t="s">
        <v>85</v>
      </c>
      <c r="O38" s="57">
        <v>450</v>
      </c>
      <c r="P38" s="93">
        <v>357.5</v>
      </c>
      <c r="Q38" s="41" t="s">
        <v>106</v>
      </c>
      <c r="R38" s="40" t="s">
        <v>134</v>
      </c>
    </row>
    <row r="39" spans="1:18" ht="335.25" customHeight="1">
      <c r="A39" s="69" t="s">
        <v>88</v>
      </c>
      <c r="B39" s="70"/>
      <c r="C39" s="61" t="s">
        <v>135</v>
      </c>
      <c r="D39" s="71" t="s">
        <v>136</v>
      </c>
      <c r="E39" s="40" t="s">
        <v>137</v>
      </c>
      <c r="F39" s="40" t="s">
        <v>138</v>
      </c>
      <c r="G39" s="40" t="s">
        <v>78</v>
      </c>
      <c r="H39" s="40" t="s">
        <v>112</v>
      </c>
      <c r="I39" s="67" t="s">
        <v>139</v>
      </c>
      <c r="J39" s="67" t="s">
        <v>140</v>
      </c>
      <c r="K39" s="67" t="s">
        <v>141</v>
      </c>
      <c r="L39" s="56" t="s">
        <v>116</v>
      </c>
      <c r="M39" s="40" t="s">
        <v>84</v>
      </c>
      <c r="N39" s="68" t="s">
        <v>85</v>
      </c>
      <c r="O39" s="72">
        <v>5600</v>
      </c>
      <c r="P39" s="94">
        <v>1.077</v>
      </c>
      <c r="Q39" s="58" t="s">
        <v>142</v>
      </c>
      <c r="R39" s="40" t="s">
        <v>143</v>
      </c>
    </row>
    <row r="40" spans="1:18" ht="185.25">
      <c r="A40" s="53" t="s">
        <v>88</v>
      </c>
      <c r="B40" s="66" t="s">
        <v>97</v>
      </c>
      <c r="C40" s="28" t="s">
        <v>144</v>
      </c>
      <c r="D40" s="40" t="s">
        <v>145</v>
      </c>
      <c r="E40" s="40" t="s">
        <v>146</v>
      </c>
      <c r="F40" s="40" t="s">
        <v>147</v>
      </c>
      <c r="G40" s="40" t="s">
        <v>78</v>
      </c>
      <c r="H40" s="40" t="s">
        <v>79</v>
      </c>
      <c r="I40" s="67" t="s">
        <v>148</v>
      </c>
      <c r="J40" s="67" t="s">
        <v>149</v>
      </c>
      <c r="K40" s="67" t="s">
        <v>150</v>
      </c>
      <c r="L40" s="56" t="s">
        <v>116</v>
      </c>
      <c r="M40" s="40" t="s">
        <v>84</v>
      </c>
      <c r="N40" s="68" t="s">
        <v>85</v>
      </c>
      <c r="O40" s="42">
        <v>470</v>
      </c>
      <c r="P40" s="92">
        <v>1.145</v>
      </c>
      <c r="Q40" s="41" t="s">
        <v>151</v>
      </c>
      <c r="R40" s="40" t="s">
        <v>152</v>
      </c>
    </row>
    <row r="41" spans="1:18" ht="171">
      <c r="A41" s="53" t="s">
        <v>74</v>
      </c>
      <c r="B41" s="70"/>
      <c r="C41" s="12" t="s">
        <v>153</v>
      </c>
      <c r="D41" s="74" t="s">
        <v>154</v>
      </c>
      <c r="E41" s="74" t="s">
        <v>155</v>
      </c>
      <c r="F41" s="40" t="s">
        <v>156</v>
      </c>
      <c r="G41" s="40" t="s">
        <v>78</v>
      </c>
      <c r="H41" s="40" t="s">
        <v>112</v>
      </c>
      <c r="I41" s="67" t="s">
        <v>157</v>
      </c>
      <c r="J41" s="67" t="s">
        <v>158</v>
      </c>
      <c r="K41" s="67">
        <v>4</v>
      </c>
      <c r="L41" s="56" t="s">
        <v>104</v>
      </c>
      <c r="M41" s="40" t="s">
        <v>105</v>
      </c>
      <c r="N41" s="57" t="s">
        <v>85</v>
      </c>
      <c r="O41" s="57">
        <v>66</v>
      </c>
      <c r="P41" s="93">
        <v>50.3</v>
      </c>
      <c r="Q41" s="41" t="s">
        <v>151</v>
      </c>
      <c r="R41" s="40" t="s">
        <v>159</v>
      </c>
    </row>
    <row r="42" spans="1:18" ht="156.75">
      <c r="A42" s="64"/>
      <c r="B42" s="70"/>
      <c r="C42" s="61" t="s">
        <v>160</v>
      </c>
      <c r="D42" s="40" t="s">
        <v>161</v>
      </c>
      <c r="E42" s="56" t="s">
        <v>162</v>
      </c>
      <c r="F42" s="40" t="s">
        <v>163</v>
      </c>
      <c r="G42" s="40" t="s">
        <v>78</v>
      </c>
      <c r="H42" s="56" t="s">
        <v>112</v>
      </c>
      <c r="I42" s="67" t="s">
        <v>164</v>
      </c>
      <c r="J42" s="67" t="s">
        <v>165</v>
      </c>
      <c r="K42" s="67" t="s">
        <v>166</v>
      </c>
      <c r="L42" s="56" t="s">
        <v>116</v>
      </c>
      <c r="M42" s="56" t="s">
        <v>84</v>
      </c>
      <c r="N42" s="75" t="s">
        <v>85</v>
      </c>
      <c r="O42" s="76">
        <v>15</v>
      </c>
      <c r="P42" s="95">
        <v>1.333</v>
      </c>
      <c r="Q42" s="78" t="s">
        <v>167</v>
      </c>
      <c r="R42" s="56" t="s">
        <v>168</v>
      </c>
    </row>
    <row r="43" spans="1:18" ht="228">
      <c r="A43" s="64"/>
      <c r="B43" s="70"/>
      <c r="C43" s="61" t="s">
        <v>169</v>
      </c>
      <c r="D43" s="40" t="s">
        <v>170</v>
      </c>
      <c r="E43" s="56" t="s">
        <v>171</v>
      </c>
      <c r="F43" s="40" t="s">
        <v>172</v>
      </c>
      <c r="G43" s="40" t="s">
        <v>78</v>
      </c>
      <c r="H43" s="56" t="s">
        <v>112</v>
      </c>
      <c r="I43" s="67" t="s">
        <v>173</v>
      </c>
      <c r="J43" s="67" t="s">
        <v>174</v>
      </c>
      <c r="K43" s="67" t="s">
        <v>175</v>
      </c>
      <c r="L43" s="56" t="s">
        <v>116</v>
      </c>
      <c r="M43" s="56" t="s">
        <v>84</v>
      </c>
      <c r="N43" s="75" t="s">
        <v>85</v>
      </c>
      <c r="O43" s="76">
        <v>25</v>
      </c>
      <c r="P43" s="96">
        <v>2.36</v>
      </c>
      <c r="Q43" s="78" t="s">
        <v>176</v>
      </c>
      <c r="R43" s="56" t="s">
        <v>177</v>
      </c>
    </row>
    <row r="44" spans="1:18" ht="185.25">
      <c r="A44" s="53" t="s">
        <v>74</v>
      </c>
      <c r="B44" s="66" t="s">
        <v>178</v>
      </c>
      <c r="C44" s="28" t="s">
        <v>179</v>
      </c>
      <c r="D44" s="40" t="s">
        <v>180</v>
      </c>
      <c r="E44" s="40" t="s">
        <v>181</v>
      </c>
      <c r="F44" s="40" t="s">
        <v>182</v>
      </c>
      <c r="G44" s="40" t="s">
        <v>78</v>
      </c>
      <c r="H44" s="56" t="s">
        <v>79</v>
      </c>
      <c r="I44" s="67" t="s">
        <v>183</v>
      </c>
      <c r="J44" s="67" t="s">
        <v>184</v>
      </c>
      <c r="K44" s="67">
        <v>4</v>
      </c>
      <c r="L44" s="56" t="s">
        <v>116</v>
      </c>
      <c r="M44" s="40" t="s">
        <v>105</v>
      </c>
      <c r="N44" s="40">
        <v>1853</v>
      </c>
      <c r="O44" s="57">
        <v>6000</v>
      </c>
      <c r="P44" s="93">
        <v>5504.5</v>
      </c>
      <c r="Q44" s="41" t="s">
        <v>185</v>
      </c>
      <c r="R44" s="40" t="s">
        <v>186</v>
      </c>
    </row>
    <row r="45" spans="1:18" ht="213.75">
      <c r="A45" s="64"/>
      <c r="B45" s="79"/>
      <c r="C45" s="12" t="s">
        <v>187</v>
      </c>
      <c r="D45" s="40" t="s">
        <v>188</v>
      </c>
      <c r="E45" s="40" t="s">
        <v>189</v>
      </c>
      <c r="F45" s="40" t="s">
        <v>190</v>
      </c>
      <c r="G45" s="40" t="s">
        <v>78</v>
      </c>
      <c r="H45" s="40" t="s">
        <v>112</v>
      </c>
      <c r="I45" s="67" t="s">
        <v>191</v>
      </c>
      <c r="J45" s="67" t="s">
        <v>192</v>
      </c>
      <c r="K45" s="67" t="s">
        <v>193</v>
      </c>
      <c r="L45" s="56" t="s">
        <v>116</v>
      </c>
      <c r="M45" s="40" t="s">
        <v>84</v>
      </c>
      <c r="N45" s="58">
        <v>22</v>
      </c>
      <c r="O45" s="42">
        <v>22</v>
      </c>
      <c r="P45" s="92">
        <v>0.86399999999999999</v>
      </c>
      <c r="Q45" s="58" t="s">
        <v>185</v>
      </c>
      <c r="R45" s="40" t="s">
        <v>194</v>
      </c>
    </row>
    <row r="46" spans="1:18" ht="128.25">
      <c r="A46" s="53" t="s">
        <v>88</v>
      </c>
      <c r="B46" s="65"/>
      <c r="C46" s="61" t="s">
        <v>195</v>
      </c>
      <c r="D46" s="40" t="s">
        <v>196</v>
      </c>
      <c r="E46" s="40" t="s">
        <v>197</v>
      </c>
      <c r="F46" s="40" t="s">
        <v>198</v>
      </c>
      <c r="G46" s="40" t="s">
        <v>78</v>
      </c>
      <c r="H46" s="40" t="s">
        <v>112</v>
      </c>
      <c r="I46" s="67" t="s">
        <v>199</v>
      </c>
      <c r="J46" s="67" t="s">
        <v>200</v>
      </c>
      <c r="K46" s="67" t="s">
        <v>201</v>
      </c>
      <c r="L46" s="56" t="s">
        <v>116</v>
      </c>
      <c r="M46" s="40" t="s">
        <v>84</v>
      </c>
      <c r="N46" s="75" t="s">
        <v>85</v>
      </c>
      <c r="O46" s="42">
        <v>22000</v>
      </c>
      <c r="P46" s="92">
        <v>0.78400000000000003</v>
      </c>
      <c r="Q46" s="58" t="s">
        <v>126</v>
      </c>
      <c r="R46" s="40" t="s">
        <v>202</v>
      </c>
    </row>
    <row r="47" spans="1:18" ht="285">
      <c r="A47" s="53" t="s">
        <v>74</v>
      </c>
      <c r="B47" s="66" t="s">
        <v>97</v>
      </c>
      <c r="C47" s="28" t="s">
        <v>203</v>
      </c>
      <c r="D47" s="40" t="s">
        <v>204</v>
      </c>
      <c r="E47" s="40" t="s">
        <v>205</v>
      </c>
      <c r="F47" s="40" t="s">
        <v>206</v>
      </c>
      <c r="G47" s="40" t="s">
        <v>78</v>
      </c>
      <c r="H47" s="40" t="s">
        <v>79</v>
      </c>
      <c r="I47" s="67" t="s">
        <v>207</v>
      </c>
      <c r="J47" s="67" t="s">
        <v>208</v>
      </c>
      <c r="K47" s="67" t="s">
        <v>209</v>
      </c>
      <c r="L47" s="56" t="s">
        <v>116</v>
      </c>
      <c r="M47" s="40" t="s">
        <v>84</v>
      </c>
      <c r="N47" s="75" t="s">
        <v>85</v>
      </c>
      <c r="O47" s="42">
        <v>7920</v>
      </c>
      <c r="P47" s="97">
        <v>0.97</v>
      </c>
      <c r="Q47" s="41" t="s">
        <v>210</v>
      </c>
      <c r="R47" s="40" t="s">
        <v>211</v>
      </c>
    </row>
    <row r="48" spans="1:18" ht="142.5">
      <c r="A48" s="53" t="s">
        <v>88</v>
      </c>
      <c r="B48" s="79"/>
      <c r="C48" s="12" t="s">
        <v>212</v>
      </c>
      <c r="D48" s="74" t="s">
        <v>213</v>
      </c>
      <c r="E48" s="40" t="s">
        <v>214</v>
      </c>
      <c r="F48" s="40" t="s">
        <v>215</v>
      </c>
      <c r="G48" s="40" t="s">
        <v>78</v>
      </c>
      <c r="H48" s="40" t="s">
        <v>112</v>
      </c>
      <c r="I48" s="67" t="s">
        <v>216</v>
      </c>
      <c r="J48" s="67" t="s">
        <v>217</v>
      </c>
      <c r="K48" s="67" t="s">
        <v>218</v>
      </c>
      <c r="L48" s="56" t="s">
        <v>116</v>
      </c>
      <c r="M48" s="40" t="s">
        <v>84</v>
      </c>
      <c r="N48" s="75" t="s">
        <v>85</v>
      </c>
      <c r="O48" s="42">
        <v>7250</v>
      </c>
      <c r="P48" s="91">
        <v>0.91400000000000003</v>
      </c>
      <c r="Q48" s="58" t="s">
        <v>210</v>
      </c>
      <c r="R48" s="40" t="s">
        <v>219</v>
      </c>
    </row>
    <row r="49" spans="1:18" ht="156.75">
      <c r="A49" s="53" t="s">
        <v>88</v>
      </c>
      <c r="C49" s="61" t="s">
        <v>220</v>
      </c>
      <c r="D49" s="74" t="s">
        <v>221</v>
      </c>
      <c r="E49" s="40" t="s">
        <v>222</v>
      </c>
      <c r="F49" s="40" t="s">
        <v>223</v>
      </c>
      <c r="G49" s="40" t="s">
        <v>78</v>
      </c>
      <c r="H49" s="40" t="s">
        <v>112</v>
      </c>
      <c r="I49" s="67" t="s">
        <v>224</v>
      </c>
      <c r="J49" s="67" t="s">
        <v>225</v>
      </c>
      <c r="K49" s="67" t="s">
        <v>218</v>
      </c>
      <c r="L49" s="56" t="s">
        <v>116</v>
      </c>
      <c r="M49" s="40" t="s">
        <v>84</v>
      </c>
      <c r="N49" s="75" t="s">
        <v>85</v>
      </c>
      <c r="O49" s="42">
        <v>670</v>
      </c>
      <c r="P49" s="91">
        <v>1.6850000000000001</v>
      </c>
      <c r="Q49" s="58" t="s">
        <v>210</v>
      </c>
      <c r="R49" s="40" t="s">
        <v>226</v>
      </c>
    </row>
    <row r="50" spans="1:18" ht="15.75">
      <c r="A50" s="19"/>
      <c r="C50" s="80"/>
      <c r="D50" s="81"/>
      <c r="E50" s="82"/>
      <c r="F50" s="82"/>
      <c r="G50" s="83"/>
      <c r="H50" s="83"/>
      <c r="I50" s="82"/>
      <c r="J50" s="84"/>
      <c r="K50" s="84"/>
      <c r="L50" s="83"/>
      <c r="M50" s="83"/>
      <c r="N50" s="85"/>
      <c r="O50" s="82"/>
      <c r="P50" s="85"/>
      <c r="Q50" s="82"/>
      <c r="R50" s="83"/>
    </row>
    <row r="51" spans="1:18" ht="15.75">
      <c r="A51" s="19"/>
      <c r="D51" s="86"/>
      <c r="E51" s="86"/>
      <c r="F51" s="86"/>
      <c r="G51" s="86"/>
      <c r="H51" s="86"/>
    </row>
    <row r="52" spans="1:18" ht="15.75">
      <c r="A52" s="19"/>
      <c r="D52" s="86"/>
      <c r="E52" s="86"/>
      <c r="F52" s="86"/>
      <c r="G52" s="86"/>
      <c r="H52" s="86"/>
    </row>
    <row r="53" spans="1:18" ht="15.75">
      <c r="A53" s="19"/>
      <c r="D53" s="86"/>
      <c r="E53" s="86"/>
      <c r="F53" s="86"/>
      <c r="G53" s="86"/>
      <c r="H53" s="86"/>
    </row>
    <row r="54" spans="1:18" ht="15.75">
      <c r="A54" s="19"/>
      <c r="D54" s="86"/>
      <c r="E54" s="86"/>
      <c r="F54" s="86"/>
      <c r="G54" s="86"/>
      <c r="H54" s="86"/>
    </row>
    <row r="55" spans="1:18" ht="15.75">
      <c r="A55" s="19"/>
      <c r="D55" s="86"/>
      <c r="E55" s="86"/>
      <c r="F55" s="86"/>
      <c r="G55" s="86"/>
      <c r="H55" s="86"/>
    </row>
    <row r="56" spans="1:18" ht="15.75">
      <c r="A56" s="19"/>
      <c r="D56" s="86"/>
      <c r="E56" s="86"/>
      <c r="F56" s="86"/>
      <c r="G56" s="86"/>
      <c r="H56" s="86"/>
    </row>
    <row r="57" spans="1:18" ht="15.75">
      <c r="A57" s="19"/>
      <c r="D57" s="86"/>
      <c r="E57" s="86"/>
      <c r="F57" s="86"/>
      <c r="G57" s="86"/>
      <c r="H57" s="86"/>
    </row>
    <row r="58" spans="1:18" ht="15.75">
      <c r="A58" s="19"/>
      <c r="D58" s="86"/>
      <c r="E58" s="86"/>
      <c r="F58" s="86"/>
      <c r="G58" s="86"/>
      <c r="H58" s="86"/>
    </row>
    <row r="59" spans="1:18" ht="15.75">
      <c r="A59" s="19"/>
      <c r="D59" s="86"/>
      <c r="E59" s="86"/>
      <c r="F59" s="86"/>
      <c r="G59" s="86"/>
      <c r="H59" s="86"/>
    </row>
    <row r="60" spans="1:18" ht="15.75">
      <c r="A60" s="19"/>
      <c r="D60" s="86"/>
      <c r="E60" s="86"/>
      <c r="F60" s="86"/>
      <c r="G60" s="86"/>
      <c r="H60" s="86"/>
    </row>
    <row r="61" spans="1:18" ht="15.75">
      <c r="A61" s="19"/>
      <c r="D61" s="86"/>
      <c r="E61" s="86"/>
      <c r="F61" s="86"/>
      <c r="G61" s="86"/>
      <c r="H61" s="86"/>
    </row>
    <row r="62" spans="1:18" ht="15.75">
      <c r="A62" s="19"/>
      <c r="D62" s="86"/>
      <c r="E62" s="86"/>
      <c r="F62" s="86"/>
      <c r="G62" s="86"/>
      <c r="H62" s="86"/>
    </row>
    <row r="63" spans="1:18" ht="15.75">
      <c r="A63" s="19"/>
      <c r="D63" s="86"/>
      <c r="E63" s="86"/>
      <c r="F63" s="86"/>
      <c r="G63" s="86"/>
      <c r="H63" s="86"/>
    </row>
    <row r="64" spans="1:18" ht="15.75">
      <c r="A64" s="19"/>
      <c r="D64" s="86"/>
      <c r="E64" s="86"/>
      <c r="F64" s="86"/>
      <c r="G64" s="86"/>
      <c r="H64" s="86"/>
    </row>
    <row r="65" spans="1:8" ht="15.75">
      <c r="A65" s="19"/>
      <c r="D65" s="86"/>
      <c r="E65" s="86"/>
      <c r="F65" s="86"/>
      <c r="G65" s="86"/>
      <c r="H65" s="86"/>
    </row>
    <row r="66" spans="1:8" ht="15.75">
      <c r="A66" s="19"/>
      <c r="D66" s="86"/>
      <c r="E66" s="86"/>
      <c r="F66" s="86"/>
      <c r="G66" s="86"/>
      <c r="H66" s="86"/>
    </row>
    <row r="67" spans="1:8" ht="15.75">
      <c r="A67" s="19"/>
      <c r="D67" s="86"/>
      <c r="E67" s="86"/>
      <c r="F67" s="86"/>
      <c r="G67" s="86"/>
      <c r="H67" s="86"/>
    </row>
    <row r="68" spans="1:8" ht="15.75">
      <c r="A68" s="19"/>
      <c r="D68" s="86"/>
      <c r="E68" s="86"/>
      <c r="F68" s="86"/>
      <c r="G68" s="86"/>
      <c r="H68" s="86"/>
    </row>
    <row r="69" spans="1:8" ht="15.75">
      <c r="A69" s="19"/>
      <c r="D69" s="86"/>
      <c r="E69" s="86"/>
      <c r="F69" s="86"/>
      <c r="G69" s="86"/>
      <c r="H69" s="86"/>
    </row>
    <row r="70" spans="1:8" ht="15.75">
      <c r="A70" s="19"/>
      <c r="D70" s="86"/>
      <c r="E70" s="86"/>
      <c r="F70" s="86"/>
      <c r="G70" s="86"/>
      <c r="H70" s="86"/>
    </row>
    <row r="71" spans="1:8" ht="15.75">
      <c r="A71" s="19"/>
      <c r="D71" s="86"/>
      <c r="E71" s="86"/>
      <c r="F71" s="86"/>
      <c r="G71" s="86"/>
      <c r="H71" s="86"/>
    </row>
    <row r="72" spans="1:8" ht="15.75">
      <c r="A72" s="19"/>
      <c r="D72" s="86"/>
      <c r="E72" s="86"/>
      <c r="F72" s="86"/>
      <c r="G72" s="86"/>
      <c r="H72" s="86"/>
    </row>
    <row r="73" spans="1:8" ht="15.75">
      <c r="A73" s="19"/>
      <c r="D73" s="86"/>
      <c r="E73" s="86"/>
      <c r="F73" s="86"/>
      <c r="G73" s="86"/>
      <c r="H73" s="86"/>
    </row>
    <row r="74" spans="1:8" ht="15.75">
      <c r="A74" s="19"/>
      <c r="D74" s="86"/>
      <c r="E74" s="86"/>
      <c r="F74" s="86"/>
      <c r="G74" s="86"/>
      <c r="H74" s="86"/>
    </row>
    <row r="75" spans="1:8" ht="15.75">
      <c r="A75" s="19"/>
      <c r="D75" s="86"/>
      <c r="E75" s="86"/>
      <c r="F75" s="86"/>
      <c r="G75" s="86"/>
      <c r="H75" s="86"/>
    </row>
    <row r="76" spans="1:8" ht="15.75">
      <c r="A76" s="19"/>
      <c r="D76" s="86"/>
      <c r="E76" s="86"/>
      <c r="F76" s="86"/>
      <c r="G76" s="86"/>
      <c r="H76" s="86"/>
    </row>
    <row r="77" spans="1:8" ht="15.75">
      <c r="A77" s="19"/>
      <c r="D77" s="86"/>
      <c r="E77" s="86"/>
      <c r="F77" s="86"/>
      <c r="G77" s="86"/>
      <c r="H77" s="86"/>
    </row>
    <row r="78" spans="1:8" ht="15.75">
      <c r="A78" s="19"/>
      <c r="D78" s="86"/>
      <c r="E78" s="86"/>
      <c r="F78" s="86"/>
      <c r="G78" s="86"/>
      <c r="H78" s="86"/>
    </row>
    <row r="79" spans="1:8" ht="15.75">
      <c r="A79" s="19"/>
      <c r="D79" s="86"/>
      <c r="E79" s="86"/>
      <c r="F79" s="86"/>
      <c r="G79" s="86"/>
      <c r="H79" s="86"/>
    </row>
    <row r="80" spans="1:8" ht="15.75">
      <c r="A80" s="19"/>
      <c r="D80" s="86"/>
      <c r="E80" s="86"/>
      <c r="F80" s="86"/>
      <c r="G80" s="86"/>
      <c r="H80" s="86"/>
    </row>
    <row r="81" spans="1:8" ht="15.75">
      <c r="A81" s="19"/>
      <c r="D81" s="86"/>
      <c r="E81" s="86"/>
      <c r="F81" s="86"/>
      <c r="G81" s="86"/>
      <c r="H81" s="86"/>
    </row>
    <row r="82" spans="1:8" ht="15.75">
      <c r="A82" s="19"/>
      <c r="D82" s="86"/>
      <c r="E82" s="86"/>
      <c r="F82" s="86"/>
      <c r="G82" s="86"/>
      <c r="H82" s="86"/>
    </row>
    <row r="83" spans="1:8" ht="15.75">
      <c r="A83" s="19"/>
      <c r="D83" s="86"/>
      <c r="E83" s="86"/>
      <c r="F83" s="86"/>
      <c r="G83" s="86"/>
      <c r="H83" s="86"/>
    </row>
    <row r="84" spans="1:8" ht="15.75">
      <c r="A84" s="19"/>
      <c r="D84" s="86"/>
      <c r="E84" s="86"/>
      <c r="F84" s="86"/>
      <c r="G84" s="86"/>
      <c r="H84" s="86"/>
    </row>
    <row r="85" spans="1:8" ht="15.75">
      <c r="A85" s="19"/>
      <c r="D85" s="86"/>
      <c r="E85" s="86"/>
      <c r="F85" s="86"/>
      <c r="G85" s="86"/>
      <c r="H85" s="86"/>
    </row>
    <row r="86" spans="1:8" ht="15.75">
      <c r="A86" s="19"/>
      <c r="D86" s="86"/>
      <c r="E86" s="86"/>
      <c r="F86" s="86"/>
      <c r="G86" s="86"/>
      <c r="H86" s="86"/>
    </row>
    <row r="87" spans="1:8" ht="15.75">
      <c r="A87" s="19"/>
      <c r="D87" s="86"/>
      <c r="E87" s="86"/>
      <c r="F87" s="86"/>
      <c r="G87" s="86"/>
      <c r="H87" s="86"/>
    </row>
    <row r="88" spans="1:8" ht="15.75">
      <c r="A88" s="19"/>
      <c r="D88" s="86"/>
      <c r="E88" s="86"/>
      <c r="F88" s="86"/>
      <c r="G88" s="86"/>
      <c r="H88" s="86"/>
    </row>
    <row r="89" spans="1:8" ht="15.75">
      <c r="A89" s="19"/>
      <c r="D89" s="86"/>
      <c r="E89" s="86"/>
      <c r="F89" s="86"/>
      <c r="G89" s="86"/>
      <c r="H89" s="86"/>
    </row>
    <row r="90" spans="1:8" ht="15.75">
      <c r="A90" s="19"/>
      <c r="D90" s="86"/>
      <c r="E90" s="86"/>
      <c r="F90" s="86"/>
      <c r="G90" s="86"/>
      <c r="H90" s="86"/>
    </row>
    <row r="91" spans="1:8" ht="15.75">
      <c r="A91" s="19"/>
      <c r="D91" s="86"/>
      <c r="E91" s="86"/>
      <c r="F91" s="86"/>
      <c r="G91" s="86"/>
      <c r="H91" s="86"/>
    </row>
    <row r="92" spans="1:8" ht="15.75">
      <c r="A92" s="19"/>
      <c r="D92" s="86"/>
      <c r="E92" s="86"/>
      <c r="F92" s="86"/>
      <c r="G92" s="86"/>
      <c r="H92" s="86"/>
    </row>
    <row r="93" spans="1:8" ht="15.75">
      <c r="A93" s="19"/>
      <c r="D93" s="86"/>
      <c r="E93" s="86"/>
      <c r="F93" s="86"/>
      <c r="G93" s="86"/>
      <c r="H93" s="86"/>
    </row>
    <row r="94" spans="1:8" ht="15.75">
      <c r="A94" s="19"/>
      <c r="D94" s="86"/>
      <c r="E94" s="86"/>
      <c r="F94" s="86"/>
      <c r="G94" s="86"/>
      <c r="H94" s="86"/>
    </row>
    <row r="95" spans="1:8" ht="15.75">
      <c r="A95" s="19"/>
      <c r="D95" s="86"/>
      <c r="E95" s="86"/>
      <c r="F95" s="86"/>
      <c r="G95" s="86"/>
      <c r="H95" s="86"/>
    </row>
    <row r="96" spans="1:8" ht="15.75">
      <c r="A96" s="19"/>
      <c r="D96" s="86"/>
      <c r="E96" s="86"/>
      <c r="F96" s="86"/>
      <c r="G96" s="86"/>
      <c r="H96" s="86"/>
    </row>
    <row r="97" spans="1:8" ht="15.75">
      <c r="A97" s="19"/>
      <c r="D97" s="86"/>
      <c r="E97" s="86"/>
      <c r="F97" s="86"/>
      <c r="G97" s="86"/>
      <c r="H97" s="86"/>
    </row>
    <row r="98" spans="1:8" ht="15.75">
      <c r="A98" s="19"/>
      <c r="D98" s="86"/>
      <c r="E98" s="86"/>
      <c r="F98" s="86"/>
      <c r="G98" s="86"/>
      <c r="H98" s="86"/>
    </row>
    <row r="99" spans="1:8" ht="15.75">
      <c r="A99" s="19"/>
      <c r="D99" s="86"/>
      <c r="E99" s="86"/>
      <c r="F99" s="86"/>
      <c r="G99" s="86"/>
      <c r="H99" s="86"/>
    </row>
    <row r="100" spans="1:8" ht="15.75">
      <c r="A100" s="19"/>
      <c r="D100" s="86"/>
      <c r="E100" s="86"/>
      <c r="F100" s="86"/>
      <c r="G100" s="86"/>
      <c r="H100" s="86"/>
    </row>
    <row r="101" spans="1:8" ht="15.75">
      <c r="A101" s="19"/>
      <c r="D101" s="86"/>
      <c r="E101" s="86"/>
      <c r="F101" s="86"/>
      <c r="G101" s="86"/>
      <c r="H101" s="86"/>
    </row>
    <row r="102" spans="1:8" ht="15.75">
      <c r="A102" s="19"/>
      <c r="D102" s="86"/>
      <c r="E102" s="86"/>
      <c r="F102" s="86"/>
      <c r="G102" s="86"/>
      <c r="H102" s="86"/>
    </row>
    <row r="103" spans="1:8" ht="15.75">
      <c r="A103" s="19"/>
      <c r="D103" s="86"/>
      <c r="E103" s="86"/>
      <c r="F103" s="86"/>
      <c r="G103" s="86"/>
      <c r="H103" s="86"/>
    </row>
    <row r="104" spans="1:8" ht="15.75">
      <c r="A104" s="19"/>
      <c r="D104" s="86"/>
      <c r="E104" s="86"/>
      <c r="F104" s="86"/>
      <c r="G104" s="86"/>
      <c r="H104" s="86"/>
    </row>
    <row r="105" spans="1:8" ht="15.75">
      <c r="A105" s="19"/>
      <c r="D105" s="86"/>
      <c r="E105" s="86"/>
      <c r="F105" s="86"/>
      <c r="G105" s="86"/>
      <c r="H105" s="86"/>
    </row>
    <row r="106" spans="1:8" ht="15.75">
      <c r="A106" s="19"/>
      <c r="D106" s="86"/>
      <c r="E106" s="86"/>
      <c r="F106" s="86"/>
      <c r="G106" s="86"/>
      <c r="H106" s="86"/>
    </row>
    <row r="107" spans="1:8" ht="15.75">
      <c r="A107" s="19"/>
      <c r="D107" s="86"/>
      <c r="E107" s="86"/>
      <c r="F107" s="86"/>
      <c r="G107" s="86"/>
      <c r="H107" s="86"/>
    </row>
    <row r="108" spans="1:8" ht="15.75">
      <c r="A108" s="19"/>
      <c r="D108" s="86"/>
      <c r="E108" s="86"/>
      <c r="F108" s="86"/>
      <c r="G108" s="86"/>
      <c r="H108" s="86"/>
    </row>
    <row r="109" spans="1:8" ht="15.75">
      <c r="A109" s="19"/>
      <c r="D109" s="86"/>
      <c r="E109" s="86"/>
      <c r="F109" s="86"/>
      <c r="G109" s="86"/>
      <c r="H109" s="86"/>
    </row>
    <row r="110" spans="1:8" ht="15.75">
      <c r="A110" s="19"/>
      <c r="D110" s="86"/>
      <c r="E110" s="86"/>
      <c r="F110" s="86"/>
      <c r="G110" s="86"/>
      <c r="H110" s="86"/>
    </row>
    <row r="111" spans="1:8" ht="15.75">
      <c r="A111" s="19"/>
      <c r="D111" s="86"/>
      <c r="E111" s="86"/>
      <c r="F111" s="86"/>
      <c r="G111" s="86"/>
      <c r="H111" s="86"/>
    </row>
    <row r="112" spans="1:8" ht="15.75">
      <c r="A112" s="19"/>
      <c r="D112" s="86"/>
      <c r="E112" s="86"/>
      <c r="F112" s="86"/>
      <c r="G112" s="86"/>
      <c r="H112" s="86"/>
    </row>
    <row r="113" spans="1:8" ht="15.75">
      <c r="A113" s="19"/>
      <c r="D113" s="86"/>
      <c r="E113" s="86"/>
      <c r="F113" s="86"/>
      <c r="G113" s="86"/>
      <c r="H113" s="86"/>
    </row>
    <row r="114" spans="1:8" ht="15.75">
      <c r="A114" s="19"/>
      <c r="D114" s="86"/>
      <c r="E114" s="86"/>
      <c r="F114" s="86"/>
      <c r="G114" s="86"/>
      <c r="H114" s="86"/>
    </row>
    <row r="115" spans="1:8" ht="15.75">
      <c r="A115" s="19"/>
      <c r="D115" s="86"/>
      <c r="E115" s="86"/>
      <c r="F115" s="86"/>
      <c r="G115" s="86"/>
      <c r="H115" s="86"/>
    </row>
    <row r="116" spans="1:8" ht="15.75">
      <c r="A116" s="19"/>
      <c r="D116" s="86"/>
      <c r="E116" s="86"/>
      <c r="F116" s="86"/>
      <c r="G116" s="86"/>
      <c r="H116" s="86"/>
    </row>
    <row r="117" spans="1:8" ht="15.75">
      <c r="A117" s="19"/>
      <c r="D117" s="86"/>
      <c r="E117" s="86"/>
      <c r="F117" s="86"/>
      <c r="G117" s="86"/>
      <c r="H117" s="86"/>
    </row>
    <row r="118" spans="1:8" ht="15.75">
      <c r="A118" s="19"/>
      <c r="D118" s="86"/>
      <c r="E118" s="86"/>
      <c r="F118" s="86"/>
      <c r="G118" s="86"/>
      <c r="H118" s="86"/>
    </row>
    <row r="119" spans="1:8" ht="15.75">
      <c r="A119" s="19"/>
      <c r="D119" s="86"/>
      <c r="E119" s="86"/>
      <c r="F119" s="86"/>
      <c r="G119" s="86"/>
      <c r="H119" s="86"/>
    </row>
    <row r="120" spans="1:8" ht="15.75">
      <c r="A120" s="19"/>
      <c r="D120" s="86"/>
      <c r="E120" s="86"/>
      <c r="F120" s="86"/>
      <c r="G120" s="86"/>
      <c r="H120" s="86"/>
    </row>
    <row r="121" spans="1:8" ht="15.75">
      <c r="A121" s="19"/>
      <c r="D121" s="86"/>
      <c r="E121" s="86"/>
      <c r="F121" s="86"/>
      <c r="G121" s="86"/>
      <c r="H121" s="86"/>
    </row>
    <row r="122" spans="1:8" ht="15.75">
      <c r="A122" s="19"/>
      <c r="D122" s="86"/>
      <c r="E122" s="86"/>
      <c r="F122" s="86"/>
      <c r="G122" s="86"/>
      <c r="H122" s="86"/>
    </row>
    <row r="123" spans="1:8" ht="15.75">
      <c r="A123" s="19"/>
      <c r="D123" s="86"/>
      <c r="E123" s="86"/>
      <c r="F123" s="86"/>
      <c r="G123" s="86"/>
      <c r="H123" s="86"/>
    </row>
    <row r="124" spans="1:8" ht="15.75">
      <c r="A124" s="19"/>
      <c r="D124" s="86"/>
      <c r="E124" s="86"/>
      <c r="F124" s="86"/>
      <c r="G124" s="86"/>
      <c r="H124" s="86"/>
    </row>
    <row r="125" spans="1:8" ht="15.75">
      <c r="A125" s="19"/>
      <c r="D125" s="86"/>
      <c r="E125" s="86"/>
      <c r="F125" s="86"/>
      <c r="G125" s="86"/>
      <c r="H125" s="86"/>
    </row>
    <row r="126" spans="1:8" ht="15.75">
      <c r="A126" s="19"/>
      <c r="D126" s="86"/>
      <c r="E126" s="86"/>
      <c r="F126" s="86"/>
      <c r="G126" s="86"/>
      <c r="H126" s="86"/>
    </row>
    <row r="127" spans="1:8" ht="15.75">
      <c r="A127" s="19"/>
      <c r="D127" s="86"/>
      <c r="E127" s="86"/>
      <c r="F127" s="86"/>
      <c r="G127" s="86"/>
      <c r="H127" s="86"/>
    </row>
    <row r="128" spans="1:8" ht="15.75">
      <c r="A128" s="19"/>
      <c r="D128" s="86"/>
      <c r="E128" s="86"/>
      <c r="F128" s="86"/>
      <c r="G128" s="86"/>
      <c r="H128" s="86"/>
    </row>
    <row r="129" spans="1:8" ht="15.75">
      <c r="A129" s="19"/>
      <c r="D129" s="86"/>
      <c r="E129" s="86"/>
      <c r="F129" s="86"/>
      <c r="G129" s="86"/>
      <c r="H129" s="86"/>
    </row>
    <row r="130" spans="1:8" ht="15.75">
      <c r="A130" s="19"/>
      <c r="D130" s="86"/>
      <c r="E130" s="86"/>
      <c r="F130" s="86"/>
      <c r="G130" s="86"/>
      <c r="H130" s="86"/>
    </row>
    <row r="131" spans="1:8" ht="15.75">
      <c r="A131" s="19"/>
      <c r="D131" s="86"/>
      <c r="E131" s="86"/>
      <c r="F131" s="86"/>
      <c r="G131" s="86"/>
      <c r="H131" s="86"/>
    </row>
    <row r="132" spans="1:8" ht="15.75">
      <c r="A132" s="19"/>
      <c r="D132" s="86"/>
      <c r="E132" s="86"/>
      <c r="F132" s="86"/>
      <c r="G132" s="86"/>
      <c r="H132" s="86"/>
    </row>
    <row r="133" spans="1:8" ht="15.75">
      <c r="A133" s="19"/>
      <c r="D133" s="86"/>
      <c r="E133" s="86"/>
      <c r="F133" s="86"/>
      <c r="G133" s="86"/>
      <c r="H133" s="86"/>
    </row>
    <row r="134" spans="1:8" ht="15.75">
      <c r="A134" s="19"/>
      <c r="D134" s="86"/>
      <c r="E134" s="86"/>
      <c r="F134" s="86"/>
      <c r="G134" s="86"/>
      <c r="H134" s="86"/>
    </row>
    <row r="135" spans="1:8" ht="15.75">
      <c r="A135" s="19"/>
      <c r="D135" s="86"/>
      <c r="E135" s="86"/>
      <c r="F135" s="86"/>
      <c r="G135" s="86"/>
      <c r="H135" s="86"/>
    </row>
    <row r="136" spans="1:8" ht="15.75">
      <c r="A136" s="19"/>
      <c r="D136" s="86"/>
      <c r="E136" s="86"/>
      <c r="F136" s="86"/>
      <c r="G136" s="86"/>
      <c r="H136" s="86"/>
    </row>
    <row r="137" spans="1:8" ht="15.75">
      <c r="A137" s="19"/>
      <c r="D137" s="86"/>
      <c r="E137" s="86"/>
      <c r="F137" s="86"/>
      <c r="G137" s="86"/>
      <c r="H137" s="86"/>
    </row>
    <row r="138" spans="1:8" ht="15.75">
      <c r="A138" s="19"/>
      <c r="D138" s="86"/>
      <c r="E138" s="86"/>
      <c r="F138" s="86"/>
      <c r="G138" s="86"/>
      <c r="H138" s="86"/>
    </row>
    <row r="139" spans="1:8" ht="15.75">
      <c r="A139" s="19"/>
      <c r="D139" s="86"/>
      <c r="E139" s="86"/>
      <c r="F139" s="86"/>
      <c r="G139" s="86"/>
      <c r="H139" s="86"/>
    </row>
    <row r="140" spans="1:8" ht="15.75">
      <c r="A140" s="19"/>
      <c r="D140" s="86"/>
      <c r="E140" s="86"/>
      <c r="F140" s="86"/>
      <c r="G140" s="86"/>
      <c r="H140" s="86"/>
    </row>
    <row r="141" spans="1:8" ht="15.75">
      <c r="A141" s="19"/>
      <c r="D141" s="86"/>
      <c r="E141" s="86"/>
      <c r="F141" s="86"/>
      <c r="G141" s="86"/>
      <c r="H141" s="86"/>
    </row>
    <row r="142" spans="1:8" ht="15.75">
      <c r="A142" s="19"/>
      <c r="D142" s="86"/>
      <c r="E142" s="86"/>
      <c r="F142" s="86"/>
      <c r="G142" s="86"/>
      <c r="H142" s="86"/>
    </row>
    <row r="143" spans="1:8" ht="15.75">
      <c r="A143" s="19"/>
      <c r="D143" s="86"/>
      <c r="E143" s="86"/>
      <c r="F143" s="86"/>
      <c r="G143" s="86"/>
      <c r="H143" s="86"/>
    </row>
    <row r="144" spans="1:8" ht="15.75">
      <c r="A144" s="19"/>
      <c r="D144" s="86"/>
      <c r="E144" s="86"/>
      <c r="F144" s="86"/>
      <c r="G144" s="86"/>
      <c r="H144" s="86"/>
    </row>
    <row r="145" spans="1:8" ht="15.75">
      <c r="A145" s="19"/>
      <c r="D145" s="86"/>
      <c r="E145" s="86"/>
      <c r="F145" s="86"/>
      <c r="G145" s="86"/>
      <c r="H145" s="86"/>
    </row>
    <row r="146" spans="1:8" ht="15.75">
      <c r="A146" s="19"/>
      <c r="D146" s="86"/>
      <c r="E146" s="86"/>
      <c r="F146" s="86"/>
      <c r="G146" s="86"/>
      <c r="H146" s="86"/>
    </row>
    <row r="147" spans="1:8" ht="15.75">
      <c r="A147" s="19"/>
      <c r="D147" s="86"/>
      <c r="E147" s="86"/>
      <c r="F147" s="86"/>
      <c r="G147" s="86"/>
      <c r="H147" s="86"/>
    </row>
    <row r="148" spans="1:8" ht="15.75">
      <c r="A148" s="19"/>
      <c r="D148" s="86"/>
      <c r="E148" s="86"/>
      <c r="F148" s="86"/>
      <c r="G148" s="86"/>
      <c r="H148" s="86"/>
    </row>
    <row r="149" spans="1:8" ht="15.75">
      <c r="A149" s="19"/>
      <c r="D149" s="86"/>
      <c r="E149" s="86"/>
      <c r="F149" s="86"/>
      <c r="G149" s="86"/>
      <c r="H149" s="86"/>
    </row>
    <row r="150" spans="1:8" ht="15.75">
      <c r="A150" s="19"/>
      <c r="D150" s="86"/>
      <c r="E150" s="86"/>
      <c r="F150" s="86"/>
      <c r="G150" s="86"/>
      <c r="H150" s="86"/>
    </row>
    <row r="151" spans="1:8" ht="15.75">
      <c r="A151" s="19"/>
      <c r="D151" s="86"/>
      <c r="E151" s="86"/>
      <c r="F151" s="86"/>
      <c r="G151" s="86"/>
      <c r="H151" s="86"/>
    </row>
    <row r="152" spans="1:8" ht="15.75">
      <c r="A152" s="19"/>
      <c r="D152" s="86"/>
      <c r="E152" s="86"/>
      <c r="F152" s="86"/>
      <c r="G152" s="86"/>
      <c r="H152" s="86"/>
    </row>
    <row r="153" spans="1:8" ht="15.75">
      <c r="A153" s="19"/>
      <c r="D153" s="86"/>
      <c r="E153" s="86"/>
      <c r="F153" s="86"/>
      <c r="G153" s="86"/>
      <c r="H153" s="86"/>
    </row>
    <row r="154" spans="1:8" ht="15.75">
      <c r="A154" s="19"/>
      <c r="D154" s="86"/>
      <c r="E154" s="86"/>
      <c r="F154" s="86"/>
      <c r="G154" s="86"/>
      <c r="H154" s="86"/>
    </row>
    <row r="155" spans="1:8" ht="15.75">
      <c r="A155" s="19"/>
      <c r="D155" s="86"/>
      <c r="E155" s="86"/>
      <c r="F155" s="86"/>
      <c r="G155" s="86"/>
      <c r="H155" s="86"/>
    </row>
    <row r="156" spans="1:8" ht="15.75">
      <c r="A156" s="19"/>
      <c r="D156" s="86"/>
      <c r="E156" s="86"/>
      <c r="F156" s="86"/>
      <c r="G156" s="86"/>
      <c r="H156" s="86"/>
    </row>
    <row r="157" spans="1:8" ht="15.75">
      <c r="A157" s="19"/>
      <c r="D157" s="86"/>
      <c r="E157" s="86"/>
      <c r="F157" s="86"/>
      <c r="G157" s="86"/>
      <c r="H157" s="86"/>
    </row>
    <row r="158" spans="1:8" ht="15.75">
      <c r="A158" s="19"/>
      <c r="D158" s="86"/>
      <c r="E158" s="86"/>
      <c r="F158" s="86"/>
      <c r="G158" s="86"/>
      <c r="H158" s="86"/>
    </row>
    <row r="159" spans="1:8" ht="15.75">
      <c r="A159" s="19"/>
      <c r="D159" s="86"/>
      <c r="E159" s="86"/>
      <c r="F159" s="86"/>
      <c r="G159" s="86"/>
      <c r="H159" s="86"/>
    </row>
    <row r="160" spans="1:8" ht="15.75">
      <c r="A160" s="19"/>
      <c r="D160" s="86"/>
      <c r="E160" s="86"/>
      <c r="F160" s="86"/>
      <c r="G160" s="86"/>
      <c r="H160" s="86"/>
    </row>
    <row r="161" spans="1:8" ht="15.75">
      <c r="A161" s="19"/>
      <c r="D161" s="86"/>
      <c r="E161" s="86"/>
      <c r="F161" s="86"/>
      <c r="G161" s="86"/>
      <c r="H161" s="86"/>
    </row>
    <row r="162" spans="1:8" ht="15.75">
      <c r="A162" s="19"/>
      <c r="D162" s="86"/>
      <c r="E162" s="86"/>
      <c r="F162" s="86"/>
      <c r="G162" s="86"/>
      <c r="H162" s="86"/>
    </row>
    <row r="163" spans="1:8" ht="15.75">
      <c r="A163" s="19"/>
      <c r="D163" s="86"/>
      <c r="E163" s="86"/>
      <c r="F163" s="86"/>
      <c r="G163" s="86"/>
      <c r="H163" s="86"/>
    </row>
    <row r="164" spans="1:8" ht="15.75">
      <c r="A164" s="19"/>
      <c r="D164" s="86"/>
      <c r="E164" s="86"/>
      <c r="F164" s="86"/>
      <c r="G164" s="86"/>
      <c r="H164" s="86"/>
    </row>
    <row r="165" spans="1:8" ht="15.75">
      <c r="A165" s="19"/>
      <c r="D165" s="86"/>
      <c r="E165" s="86"/>
      <c r="F165" s="86"/>
      <c r="G165" s="86"/>
      <c r="H165" s="86"/>
    </row>
    <row r="166" spans="1:8" ht="15.75">
      <c r="A166" s="19"/>
      <c r="D166" s="86"/>
      <c r="E166" s="86"/>
      <c r="F166" s="86"/>
      <c r="G166" s="86"/>
      <c r="H166" s="86"/>
    </row>
    <row r="167" spans="1:8" ht="15.75">
      <c r="A167" s="19"/>
      <c r="D167" s="86"/>
      <c r="E167" s="86"/>
      <c r="F167" s="86"/>
      <c r="G167" s="86"/>
      <c r="H167" s="86"/>
    </row>
    <row r="168" spans="1:8" ht="15.75">
      <c r="A168" s="19"/>
      <c r="D168" s="86"/>
      <c r="E168" s="86"/>
      <c r="F168" s="86"/>
      <c r="G168" s="86"/>
      <c r="H168" s="86"/>
    </row>
    <row r="169" spans="1:8" ht="15.75">
      <c r="A169" s="19"/>
      <c r="D169" s="86"/>
      <c r="E169" s="86"/>
      <c r="F169" s="86"/>
      <c r="G169" s="86"/>
      <c r="H169" s="86"/>
    </row>
    <row r="170" spans="1:8" ht="15.75">
      <c r="A170" s="19"/>
      <c r="D170" s="86"/>
      <c r="E170" s="86"/>
      <c r="F170" s="86"/>
      <c r="G170" s="86"/>
      <c r="H170" s="86"/>
    </row>
    <row r="171" spans="1:8" ht="15.75">
      <c r="A171" s="19"/>
      <c r="D171" s="86"/>
      <c r="E171" s="86"/>
      <c r="F171" s="86"/>
      <c r="G171" s="86"/>
      <c r="H171" s="86"/>
    </row>
    <row r="172" spans="1:8" ht="15.75">
      <c r="A172" s="19"/>
      <c r="D172" s="86"/>
      <c r="E172" s="86"/>
      <c r="F172" s="86"/>
      <c r="G172" s="86"/>
      <c r="H172" s="86"/>
    </row>
    <row r="173" spans="1:8" ht="15.75">
      <c r="A173" s="19"/>
      <c r="D173" s="86"/>
      <c r="E173" s="86"/>
      <c r="F173" s="86"/>
      <c r="G173" s="86"/>
      <c r="H173" s="86"/>
    </row>
    <row r="174" spans="1:8" ht="15.75">
      <c r="A174" s="19"/>
      <c r="D174" s="86"/>
      <c r="E174" s="86"/>
      <c r="F174" s="86"/>
      <c r="G174" s="86"/>
      <c r="H174" s="86"/>
    </row>
    <row r="175" spans="1:8" ht="15.75">
      <c r="A175" s="19"/>
      <c r="D175" s="86"/>
      <c r="E175" s="86"/>
      <c r="F175" s="86"/>
      <c r="G175" s="86"/>
      <c r="H175" s="86"/>
    </row>
    <row r="176" spans="1:8" ht="15.75">
      <c r="A176" s="19"/>
      <c r="D176" s="86"/>
      <c r="E176" s="86"/>
      <c r="F176" s="86"/>
      <c r="G176" s="86"/>
      <c r="H176" s="86"/>
    </row>
    <row r="177" spans="1:8" ht="15.75">
      <c r="A177" s="19"/>
      <c r="D177" s="86"/>
      <c r="E177" s="86"/>
      <c r="F177" s="86"/>
      <c r="G177" s="86"/>
      <c r="H177" s="86"/>
    </row>
    <row r="178" spans="1:8" ht="15.75">
      <c r="A178" s="19"/>
      <c r="D178" s="86"/>
      <c r="E178" s="86"/>
      <c r="F178" s="86"/>
      <c r="G178" s="86"/>
      <c r="H178" s="86"/>
    </row>
    <row r="179" spans="1:8" ht="15.75">
      <c r="A179" s="19"/>
      <c r="D179" s="86"/>
      <c r="E179" s="86"/>
      <c r="F179" s="86"/>
      <c r="G179" s="86"/>
      <c r="H179" s="86"/>
    </row>
    <row r="180" spans="1:8" ht="15.75">
      <c r="A180" s="19"/>
      <c r="D180" s="86"/>
      <c r="E180" s="86"/>
      <c r="F180" s="86"/>
      <c r="G180" s="86"/>
      <c r="H180" s="86"/>
    </row>
    <row r="181" spans="1:8" ht="15.75">
      <c r="A181" s="19"/>
      <c r="D181" s="86"/>
      <c r="E181" s="86"/>
      <c r="F181" s="86"/>
      <c r="G181" s="86"/>
      <c r="H181" s="86"/>
    </row>
    <row r="182" spans="1:8" ht="15.75">
      <c r="A182" s="19"/>
      <c r="D182" s="86"/>
      <c r="E182" s="86"/>
      <c r="F182" s="86"/>
      <c r="G182" s="86"/>
      <c r="H182" s="86"/>
    </row>
    <row r="183" spans="1:8" ht="15.75">
      <c r="A183" s="19"/>
      <c r="D183" s="86"/>
      <c r="E183" s="86"/>
      <c r="F183" s="86"/>
      <c r="G183" s="86"/>
      <c r="H183" s="86"/>
    </row>
    <row r="184" spans="1:8" ht="15.75">
      <c r="A184" s="19"/>
      <c r="D184" s="86"/>
      <c r="E184" s="86"/>
      <c r="F184" s="86"/>
      <c r="G184" s="86"/>
      <c r="H184" s="86"/>
    </row>
    <row r="185" spans="1:8" ht="15.75">
      <c r="A185" s="19"/>
      <c r="D185" s="86"/>
      <c r="E185" s="86"/>
      <c r="F185" s="86"/>
      <c r="G185" s="86"/>
      <c r="H185" s="86"/>
    </row>
    <row r="186" spans="1:8" ht="15.75">
      <c r="A186" s="19"/>
      <c r="D186" s="86"/>
      <c r="E186" s="86"/>
      <c r="F186" s="86"/>
      <c r="G186" s="86"/>
      <c r="H186" s="86"/>
    </row>
    <row r="187" spans="1:8" ht="15.75">
      <c r="A187" s="19"/>
      <c r="D187" s="86"/>
      <c r="E187" s="86"/>
      <c r="F187" s="86"/>
      <c r="G187" s="86"/>
      <c r="H187" s="86"/>
    </row>
    <row r="188" spans="1:8" ht="15.75">
      <c r="A188" s="19"/>
      <c r="D188" s="86"/>
      <c r="E188" s="86"/>
      <c r="F188" s="86"/>
      <c r="G188" s="86"/>
      <c r="H188" s="86"/>
    </row>
    <row r="189" spans="1:8" ht="15.75">
      <c r="A189" s="19"/>
      <c r="D189" s="86"/>
      <c r="E189" s="86"/>
      <c r="F189" s="86"/>
      <c r="G189" s="86"/>
      <c r="H189" s="86"/>
    </row>
    <row r="190" spans="1:8" ht="15.75">
      <c r="A190" s="19"/>
      <c r="D190" s="86"/>
      <c r="E190" s="86"/>
      <c r="F190" s="86"/>
      <c r="G190" s="86"/>
      <c r="H190" s="86"/>
    </row>
    <row r="191" spans="1:8" ht="15.75">
      <c r="A191" s="19"/>
      <c r="D191" s="86"/>
      <c r="E191" s="86"/>
      <c r="F191" s="86"/>
      <c r="G191" s="86"/>
      <c r="H191" s="86"/>
    </row>
    <row r="192" spans="1:8" ht="15.75">
      <c r="A192" s="19"/>
      <c r="D192" s="86"/>
      <c r="E192" s="86"/>
      <c r="F192" s="86"/>
      <c r="G192" s="86"/>
      <c r="H192" s="86"/>
    </row>
    <row r="193" spans="1:8" ht="15.75">
      <c r="A193" s="19"/>
      <c r="D193" s="86"/>
      <c r="E193" s="86"/>
      <c r="F193" s="86"/>
      <c r="G193" s="86"/>
      <c r="H193" s="86"/>
    </row>
    <row r="194" spans="1:8" ht="15.75">
      <c r="A194" s="19"/>
      <c r="D194" s="86"/>
      <c r="E194" s="86"/>
      <c r="F194" s="86"/>
      <c r="G194" s="86"/>
      <c r="H194" s="86"/>
    </row>
    <row r="195" spans="1:8" ht="15.75">
      <c r="A195" s="19"/>
      <c r="D195" s="86"/>
      <c r="E195" s="86"/>
      <c r="F195" s="86"/>
      <c r="G195" s="86"/>
      <c r="H195" s="86"/>
    </row>
    <row r="196" spans="1:8" ht="15.75">
      <c r="A196" s="19"/>
      <c r="D196" s="86"/>
      <c r="E196" s="86"/>
      <c r="F196" s="86"/>
      <c r="G196" s="86"/>
      <c r="H196" s="86"/>
    </row>
    <row r="197" spans="1:8" ht="15.75">
      <c r="A197" s="19"/>
      <c r="D197" s="86"/>
      <c r="E197" s="86"/>
      <c r="F197" s="86"/>
      <c r="G197" s="86"/>
      <c r="H197" s="86"/>
    </row>
    <row r="198" spans="1:8" ht="15.75">
      <c r="A198" s="19"/>
      <c r="D198" s="86"/>
      <c r="E198" s="86"/>
      <c r="F198" s="86"/>
      <c r="G198" s="86"/>
      <c r="H198" s="86"/>
    </row>
    <row r="199" spans="1:8" ht="15.75">
      <c r="A199" s="19"/>
      <c r="D199" s="86"/>
      <c r="E199" s="86"/>
      <c r="F199" s="86"/>
      <c r="G199" s="86"/>
      <c r="H199" s="86"/>
    </row>
    <row r="200" spans="1:8" ht="15.75">
      <c r="A200" s="19"/>
      <c r="D200" s="86"/>
      <c r="E200" s="86"/>
      <c r="F200" s="86"/>
      <c r="G200" s="86"/>
      <c r="H200" s="86"/>
    </row>
    <row r="201" spans="1:8" ht="15.75">
      <c r="A201" s="19"/>
      <c r="D201" s="86"/>
      <c r="E201" s="86"/>
      <c r="F201" s="86"/>
      <c r="G201" s="86"/>
      <c r="H201" s="86"/>
    </row>
    <row r="202" spans="1:8" ht="15.75">
      <c r="A202" s="19"/>
      <c r="D202" s="86"/>
      <c r="E202" s="86"/>
      <c r="F202" s="86"/>
      <c r="G202" s="86"/>
      <c r="H202" s="86"/>
    </row>
    <row r="203" spans="1:8" ht="15.75">
      <c r="A203" s="19"/>
      <c r="D203" s="86"/>
      <c r="E203" s="86"/>
      <c r="F203" s="86"/>
      <c r="G203" s="86"/>
      <c r="H203" s="86"/>
    </row>
    <row r="204" spans="1:8" ht="15.75">
      <c r="A204" s="19"/>
      <c r="D204" s="86"/>
      <c r="E204" s="86"/>
      <c r="F204" s="86"/>
      <c r="G204" s="86"/>
      <c r="H204" s="86"/>
    </row>
    <row r="205" spans="1:8" ht="15.75">
      <c r="A205" s="19"/>
      <c r="D205" s="86"/>
      <c r="E205" s="86"/>
      <c r="F205" s="86"/>
      <c r="G205" s="86"/>
      <c r="H205" s="86"/>
    </row>
    <row r="206" spans="1:8" ht="15.75">
      <c r="A206" s="19"/>
      <c r="D206" s="86"/>
      <c r="E206" s="86"/>
      <c r="F206" s="86"/>
      <c r="G206" s="86"/>
      <c r="H206" s="86"/>
    </row>
    <row r="207" spans="1:8" ht="15.75">
      <c r="A207" s="19"/>
      <c r="D207" s="86"/>
      <c r="E207" s="86"/>
      <c r="F207" s="86"/>
      <c r="G207" s="86"/>
      <c r="H207" s="86"/>
    </row>
    <row r="208" spans="1:8" ht="15.75">
      <c r="A208" s="19"/>
      <c r="D208" s="86"/>
      <c r="E208" s="86"/>
      <c r="F208" s="86"/>
      <c r="G208" s="86"/>
      <c r="H208" s="86"/>
    </row>
    <row r="209" spans="1:8" ht="15.75">
      <c r="A209" s="19"/>
      <c r="D209" s="86"/>
      <c r="E209" s="86"/>
      <c r="F209" s="86"/>
      <c r="G209" s="86"/>
      <c r="H209" s="86"/>
    </row>
    <row r="210" spans="1:8" ht="15.75">
      <c r="A210" s="19"/>
      <c r="D210" s="86"/>
      <c r="E210" s="86"/>
      <c r="F210" s="86"/>
      <c r="G210" s="86"/>
      <c r="H210" s="86"/>
    </row>
    <row r="211" spans="1:8" ht="15.75">
      <c r="A211" s="19"/>
      <c r="D211" s="86"/>
      <c r="E211" s="86"/>
      <c r="F211" s="86"/>
      <c r="G211" s="86"/>
      <c r="H211" s="86"/>
    </row>
    <row r="212" spans="1:8" ht="15.75">
      <c r="A212" s="19"/>
      <c r="D212" s="86"/>
      <c r="E212" s="86"/>
      <c r="F212" s="86"/>
      <c r="G212" s="86"/>
      <c r="H212" s="86"/>
    </row>
    <row r="213" spans="1:8" ht="15.75">
      <c r="A213" s="19"/>
      <c r="D213" s="86"/>
      <c r="E213" s="86"/>
      <c r="F213" s="86"/>
      <c r="G213" s="86"/>
      <c r="H213" s="86"/>
    </row>
    <row r="214" spans="1:8" ht="15.75">
      <c r="A214" s="19"/>
      <c r="D214" s="86"/>
      <c r="E214" s="86"/>
      <c r="F214" s="86"/>
      <c r="G214" s="86"/>
      <c r="H214" s="86"/>
    </row>
    <row r="215" spans="1:8" ht="15.75">
      <c r="A215" s="19"/>
      <c r="D215" s="86"/>
      <c r="E215" s="86"/>
      <c r="F215" s="86"/>
      <c r="G215" s="86"/>
      <c r="H215" s="86"/>
    </row>
    <row r="216" spans="1:8" ht="15.75">
      <c r="A216" s="19"/>
      <c r="D216" s="86"/>
      <c r="E216" s="86"/>
      <c r="F216" s="86"/>
      <c r="G216" s="86"/>
      <c r="H216" s="86"/>
    </row>
    <row r="217" spans="1:8" ht="15.75">
      <c r="A217" s="19"/>
      <c r="D217" s="86"/>
      <c r="E217" s="86"/>
      <c r="F217" s="86"/>
      <c r="G217" s="86"/>
      <c r="H217" s="86"/>
    </row>
    <row r="218" spans="1:8" ht="15.75">
      <c r="A218" s="19"/>
      <c r="D218" s="86"/>
      <c r="E218" s="86"/>
      <c r="F218" s="86"/>
      <c r="G218" s="86"/>
      <c r="H218" s="86"/>
    </row>
    <row r="219" spans="1:8" ht="15.75">
      <c r="A219" s="19"/>
      <c r="D219" s="86"/>
      <c r="E219" s="86"/>
      <c r="F219" s="86"/>
      <c r="G219" s="86"/>
      <c r="H219" s="86"/>
    </row>
    <row r="220" spans="1:8" ht="15.75">
      <c r="A220" s="19"/>
      <c r="D220" s="86"/>
      <c r="E220" s="86"/>
      <c r="F220" s="86"/>
      <c r="G220" s="86"/>
      <c r="H220" s="86"/>
    </row>
    <row r="221" spans="1:8" ht="15.75">
      <c r="A221" s="19"/>
      <c r="D221" s="86"/>
      <c r="E221" s="86"/>
      <c r="F221" s="86"/>
      <c r="G221" s="86"/>
      <c r="H221" s="86"/>
    </row>
    <row r="222" spans="1:8" ht="15.75">
      <c r="A222" s="19"/>
      <c r="D222" s="86"/>
      <c r="E222" s="86"/>
      <c r="F222" s="86"/>
      <c r="G222" s="86"/>
      <c r="H222" s="86"/>
    </row>
    <row r="223" spans="1:8" ht="15.75">
      <c r="A223" s="19"/>
      <c r="D223" s="86"/>
      <c r="E223" s="86"/>
      <c r="F223" s="86"/>
      <c r="G223" s="86"/>
      <c r="H223" s="86"/>
    </row>
    <row r="224" spans="1:8" ht="15.75">
      <c r="A224" s="19"/>
      <c r="D224" s="86"/>
      <c r="E224" s="86"/>
      <c r="F224" s="86"/>
      <c r="G224" s="86"/>
      <c r="H224" s="86"/>
    </row>
    <row r="225" spans="1:8" ht="15.75">
      <c r="A225" s="19"/>
      <c r="D225" s="86"/>
      <c r="E225" s="86"/>
      <c r="F225" s="86"/>
      <c r="G225" s="86"/>
      <c r="H225" s="86"/>
    </row>
    <row r="226" spans="1:8" ht="15.75">
      <c r="A226" s="19"/>
      <c r="D226" s="86"/>
      <c r="E226" s="86"/>
      <c r="F226" s="86"/>
      <c r="G226" s="86"/>
      <c r="H226" s="86"/>
    </row>
    <row r="227" spans="1:8" ht="15.75">
      <c r="A227" s="19"/>
      <c r="D227" s="86"/>
      <c r="E227" s="86"/>
      <c r="F227" s="86"/>
      <c r="G227" s="86"/>
      <c r="H227" s="86"/>
    </row>
    <row r="228" spans="1:8" ht="15.75">
      <c r="A228" s="19"/>
      <c r="D228" s="86"/>
      <c r="E228" s="86"/>
      <c r="F228" s="86"/>
      <c r="G228" s="86"/>
      <c r="H228" s="86"/>
    </row>
    <row r="229" spans="1:8" ht="15.75">
      <c r="A229" s="19"/>
      <c r="D229" s="86"/>
      <c r="E229" s="86"/>
      <c r="F229" s="86"/>
      <c r="G229" s="86"/>
      <c r="H229" s="86"/>
    </row>
    <row r="230" spans="1:8" ht="15.75">
      <c r="A230" s="19"/>
      <c r="D230" s="86"/>
      <c r="E230" s="86"/>
      <c r="F230" s="86"/>
      <c r="G230" s="86"/>
      <c r="H230" s="86"/>
    </row>
    <row r="231" spans="1:8" ht="15.75">
      <c r="A231" s="19"/>
      <c r="D231" s="86"/>
      <c r="E231" s="86"/>
      <c r="F231" s="86"/>
      <c r="G231" s="86"/>
      <c r="H231" s="86"/>
    </row>
    <row r="232" spans="1:8" ht="15.75">
      <c r="A232" s="19"/>
      <c r="D232" s="86"/>
      <c r="E232" s="86"/>
      <c r="F232" s="86"/>
      <c r="G232" s="86"/>
      <c r="H232" s="86"/>
    </row>
    <row r="233" spans="1:8" ht="15.75">
      <c r="A233" s="19"/>
      <c r="D233" s="86"/>
      <c r="E233" s="86"/>
      <c r="F233" s="86"/>
      <c r="G233" s="86"/>
      <c r="H233" s="86"/>
    </row>
    <row r="234" spans="1:8" ht="15.75">
      <c r="A234" s="19"/>
      <c r="D234" s="86"/>
      <c r="E234" s="86"/>
      <c r="F234" s="86"/>
      <c r="G234" s="86"/>
      <c r="H234" s="86"/>
    </row>
    <row r="235" spans="1:8" ht="15.75">
      <c r="A235" s="19"/>
      <c r="D235" s="86"/>
      <c r="E235" s="86"/>
      <c r="F235" s="86"/>
      <c r="G235" s="86"/>
      <c r="H235" s="86"/>
    </row>
    <row r="236" spans="1:8" ht="15.75">
      <c r="A236" s="19"/>
      <c r="D236" s="86"/>
      <c r="E236" s="86"/>
      <c r="F236" s="86"/>
      <c r="G236" s="86"/>
      <c r="H236" s="86"/>
    </row>
    <row r="237" spans="1:8" ht="15.75">
      <c r="A237" s="19"/>
      <c r="D237" s="86"/>
      <c r="E237" s="86"/>
      <c r="F237" s="86"/>
      <c r="G237" s="86"/>
      <c r="H237" s="86"/>
    </row>
    <row r="238" spans="1:8" ht="15.75">
      <c r="A238" s="19"/>
      <c r="D238" s="86"/>
      <c r="E238" s="86"/>
      <c r="F238" s="86"/>
      <c r="G238" s="86"/>
      <c r="H238" s="86"/>
    </row>
    <row r="239" spans="1:8" ht="15.75">
      <c r="A239" s="19"/>
      <c r="D239" s="86"/>
      <c r="E239" s="86"/>
      <c r="F239" s="86"/>
      <c r="G239" s="86"/>
      <c r="H239" s="86"/>
    </row>
    <row r="240" spans="1:8" ht="15.75">
      <c r="A240" s="19"/>
      <c r="D240" s="86"/>
      <c r="E240" s="86"/>
      <c r="F240" s="86"/>
      <c r="G240" s="86"/>
      <c r="H240" s="86"/>
    </row>
    <row r="241" spans="1:8" ht="15.75">
      <c r="A241" s="19"/>
      <c r="D241" s="86"/>
      <c r="E241" s="86"/>
      <c r="F241" s="86"/>
      <c r="G241" s="86"/>
      <c r="H241" s="86"/>
    </row>
    <row r="242" spans="1:8" ht="15.75">
      <c r="A242" s="19"/>
      <c r="D242" s="86"/>
      <c r="E242" s="86"/>
      <c r="F242" s="86"/>
      <c r="G242" s="86"/>
      <c r="H242" s="86"/>
    </row>
    <row r="243" spans="1:8" ht="15.75">
      <c r="A243" s="19"/>
      <c r="D243" s="86"/>
      <c r="E243" s="86"/>
      <c r="F243" s="86"/>
      <c r="G243" s="86"/>
      <c r="H243" s="86"/>
    </row>
    <row r="244" spans="1:8" ht="15.75">
      <c r="A244" s="19"/>
      <c r="D244" s="86"/>
      <c r="E244" s="86"/>
      <c r="F244" s="86"/>
      <c r="G244" s="86"/>
      <c r="H244" s="86"/>
    </row>
    <row r="245" spans="1:8" ht="15.75">
      <c r="A245" s="19"/>
      <c r="D245" s="86"/>
      <c r="E245" s="86"/>
      <c r="F245" s="86"/>
      <c r="G245" s="86"/>
      <c r="H245" s="86"/>
    </row>
    <row r="246" spans="1:8" ht="15.75">
      <c r="A246" s="19"/>
      <c r="D246" s="86"/>
      <c r="E246" s="86"/>
      <c r="F246" s="86"/>
      <c r="G246" s="86"/>
      <c r="H246" s="86"/>
    </row>
    <row r="247" spans="1:8" ht="15.75">
      <c r="A247" s="19"/>
      <c r="D247" s="86"/>
      <c r="E247" s="86"/>
      <c r="F247" s="86"/>
      <c r="G247" s="86"/>
      <c r="H247" s="86"/>
    </row>
    <row r="248" spans="1:8" ht="15.75">
      <c r="A248" s="19"/>
      <c r="D248" s="86"/>
      <c r="E248" s="86"/>
      <c r="F248" s="86"/>
      <c r="G248" s="86"/>
      <c r="H248" s="86"/>
    </row>
    <row r="249" spans="1:8" ht="15.75">
      <c r="A249" s="19"/>
      <c r="D249" s="86"/>
      <c r="E249" s="86"/>
      <c r="F249" s="86"/>
      <c r="G249" s="86"/>
      <c r="H249" s="86"/>
    </row>
    <row r="250" spans="1:8" ht="15.75">
      <c r="A250" s="19"/>
      <c r="D250" s="86"/>
      <c r="E250" s="86"/>
      <c r="F250" s="86"/>
      <c r="G250" s="86"/>
      <c r="H250" s="86"/>
    </row>
    <row r="251" spans="1:8" ht="15.75">
      <c r="A251" s="19"/>
      <c r="D251" s="86"/>
      <c r="E251" s="86"/>
      <c r="F251" s="86"/>
      <c r="G251" s="86"/>
      <c r="H251" s="86"/>
    </row>
    <row r="252" spans="1:8" ht="15.75">
      <c r="A252" s="19"/>
      <c r="D252" s="86"/>
      <c r="E252" s="86"/>
      <c r="F252" s="86"/>
      <c r="G252" s="86"/>
      <c r="H252" s="86"/>
    </row>
    <row r="253" spans="1:8" ht="15.75">
      <c r="A253" s="19"/>
      <c r="D253" s="86"/>
      <c r="E253" s="86"/>
      <c r="F253" s="86"/>
      <c r="G253" s="86"/>
      <c r="H253" s="86"/>
    </row>
    <row r="254" spans="1:8" ht="15.75">
      <c r="A254" s="19"/>
      <c r="D254" s="86"/>
      <c r="E254" s="86"/>
      <c r="F254" s="86"/>
      <c r="G254" s="86"/>
      <c r="H254" s="86"/>
    </row>
    <row r="255" spans="1:8" ht="15.75">
      <c r="A255" s="19"/>
      <c r="D255" s="86"/>
      <c r="E255" s="86"/>
      <c r="F255" s="86"/>
      <c r="G255" s="86"/>
      <c r="H255" s="86"/>
    </row>
    <row r="256" spans="1:8" ht="15.75">
      <c r="A256" s="19"/>
      <c r="D256" s="86"/>
      <c r="E256" s="86"/>
      <c r="F256" s="86"/>
      <c r="G256" s="86"/>
      <c r="H256" s="86"/>
    </row>
    <row r="257" spans="1:8" ht="15.75">
      <c r="A257" s="19"/>
      <c r="D257" s="86"/>
      <c r="E257" s="86"/>
      <c r="F257" s="86"/>
      <c r="G257" s="86"/>
      <c r="H257" s="86"/>
    </row>
    <row r="258" spans="1:8" ht="15.75">
      <c r="A258" s="19"/>
      <c r="D258" s="86"/>
      <c r="E258" s="86"/>
      <c r="F258" s="86"/>
      <c r="G258" s="86"/>
      <c r="H258" s="86"/>
    </row>
    <row r="259" spans="1:8" ht="15.75">
      <c r="A259" s="19"/>
      <c r="D259" s="86"/>
      <c r="E259" s="86"/>
      <c r="F259" s="86"/>
      <c r="G259" s="86"/>
      <c r="H259" s="86"/>
    </row>
    <row r="260" spans="1:8" ht="15.75">
      <c r="A260" s="19"/>
      <c r="D260" s="86"/>
      <c r="E260" s="86"/>
      <c r="F260" s="86"/>
      <c r="G260" s="86"/>
      <c r="H260" s="86"/>
    </row>
    <row r="261" spans="1:8" ht="15.75">
      <c r="A261" s="19"/>
      <c r="D261" s="86"/>
      <c r="E261" s="86"/>
      <c r="F261" s="86"/>
      <c r="G261" s="86"/>
      <c r="H261" s="86"/>
    </row>
    <row r="262" spans="1:8" ht="15.75">
      <c r="A262" s="19"/>
      <c r="D262" s="86"/>
      <c r="E262" s="86"/>
      <c r="F262" s="86"/>
      <c r="G262" s="86"/>
      <c r="H262" s="86"/>
    </row>
    <row r="263" spans="1:8" ht="15.75">
      <c r="A263" s="19"/>
      <c r="D263" s="86"/>
      <c r="E263" s="86"/>
      <c r="F263" s="86"/>
      <c r="G263" s="86"/>
      <c r="H263" s="86"/>
    </row>
    <row r="264" spans="1:8" ht="15.75">
      <c r="A264" s="19"/>
      <c r="D264" s="86"/>
      <c r="E264" s="86"/>
      <c r="F264" s="86"/>
      <c r="G264" s="86"/>
      <c r="H264" s="86"/>
    </row>
    <row r="265" spans="1:8" ht="15.75">
      <c r="A265" s="19"/>
      <c r="D265" s="86"/>
      <c r="E265" s="86"/>
      <c r="F265" s="86"/>
      <c r="G265" s="86"/>
      <c r="H265" s="86"/>
    </row>
    <row r="266" spans="1:8" ht="15.75">
      <c r="A266" s="19"/>
      <c r="D266" s="86"/>
      <c r="E266" s="86"/>
      <c r="F266" s="86"/>
      <c r="G266" s="86"/>
      <c r="H266" s="86"/>
    </row>
    <row r="267" spans="1:8" ht="15.75">
      <c r="A267" s="19"/>
      <c r="D267" s="86"/>
      <c r="E267" s="86"/>
      <c r="F267" s="86"/>
      <c r="G267" s="86"/>
      <c r="H267" s="86"/>
    </row>
    <row r="268" spans="1:8" ht="15.75">
      <c r="A268" s="19"/>
      <c r="D268" s="86"/>
      <c r="E268" s="86"/>
      <c r="F268" s="86"/>
      <c r="G268" s="86"/>
      <c r="H268" s="86"/>
    </row>
    <row r="269" spans="1:8" ht="15.75">
      <c r="A269" s="19"/>
      <c r="D269" s="86"/>
      <c r="E269" s="86"/>
      <c r="F269" s="86"/>
      <c r="G269" s="86"/>
      <c r="H269" s="86"/>
    </row>
    <row r="270" spans="1:8" ht="15.75">
      <c r="A270" s="19"/>
      <c r="D270" s="86"/>
      <c r="E270" s="86"/>
      <c r="F270" s="86"/>
      <c r="G270" s="86"/>
      <c r="H270" s="86"/>
    </row>
    <row r="271" spans="1:8" ht="15.75">
      <c r="A271" s="19"/>
      <c r="D271" s="86"/>
      <c r="E271" s="86"/>
      <c r="F271" s="86"/>
      <c r="G271" s="86"/>
      <c r="H271" s="86"/>
    </row>
    <row r="272" spans="1:8" ht="15.75">
      <c r="A272" s="19"/>
      <c r="D272" s="86"/>
      <c r="E272" s="86"/>
      <c r="F272" s="86"/>
      <c r="G272" s="86"/>
      <c r="H272" s="86"/>
    </row>
    <row r="273" spans="1:8" ht="15.75">
      <c r="A273" s="19"/>
      <c r="D273" s="86"/>
      <c r="E273" s="86"/>
      <c r="F273" s="86"/>
      <c r="G273" s="86"/>
      <c r="H273" s="86"/>
    </row>
    <row r="274" spans="1:8" ht="15.75">
      <c r="A274" s="19"/>
      <c r="D274" s="86"/>
      <c r="E274" s="86"/>
      <c r="F274" s="86"/>
      <c r="G274" s="86"/>
      <c r="H274" s="86"/>
    </row>
    <row r="275" spans="1:8" ht="15.75">
      <c r="A275" s="19"/>
      <c r="D275" s="86"/>
      <c r="E275" s="86"/>
      <c r="F275" s="86"/>
      <c r="G275" s="86"/>
      <c r="H275" s="86"/>
    </row>
    <row r="276" spans="1:8" ht="15.75">
      <c r="A276" s="19"/>
      <c r="D276" s="86"/>
      <c r="E276" s="86"/>
      <c r="F276" s="86"/>
      <c r="G276" s="86"/>
      <c r="H276" s="86"/>
    </row>
    <row r="277" spans="1:8" ht="15.75">
      <c r="A277" s="19"/>
      <c r="D277" s="86"/>
      <c r="E277" s="86"/>
      <c r="F277" s="86"/>
      <c r="G277" s="86"/>
      <c r="H277" s="86"/>
    </row>
    <row r="278" spans="1:8" ht="15.75">
      <c r="A278" s="19"/>
      <c r="D278" s="86"/>
      <c r="E278" s="86"/>
      <c r="F278" s="86"/>
      <c r="G278" s="86"/>
      <c r="H278" s="86"/>
    </row>
    <row r="279" spans="1:8" ht="15.75">
      <c r="A279" s="19"/>
      <c r="D279" s="86"/>
      <c r="E279" s="86"/>
      <c r="F279" s="86"/>
      <c r="G279" s="86"/>
      <c r="H279" s="86"/>
    </row>
    <row r="280" spans="1:8" ht="15.75">
      <c r="A280" s="19"/>
      <c r="D280" s="86"/>
      <c r="E280" s="86"/>
      <c r="F280" s="86"/>
      <c r="G280" s="86"/>
      <c r="H280" s="86"/>
    </row>
    <row r="281" spans="1:8" ht="15.75">
      <c r="A281" s="19"/>
      <c r="D281" s="86"/>
      <c r="E281" s="86"/>
      <c r="F281" s="86"/>
      <c r="G281" s="86"/>
      <c r="H281" s="86"/>
    </row>
    <row r="282" spans="1:8" ht="15.75">
      <c r="A282" s="19"/>
      <c r="D282" s="86"/>
      <c r="E282" s="86"/>
      <c r="F282" s="86"/>
      <c r="G282" s="86"/>
      <c r="H282" s="86"/>
    </row>
    <row r="283" spans="1:8" ht="15.75">
      <c r="A283" s="19"/>
      <c r="D283" s="86"/>
      <c r="E283" s="86"/>
      <c r="F283" s="86"/>
      <c r="G283" s="86"/>
      <c r="H283" s="86"/>
    </row>
    <row r="284" spans="1:8" ht="15.75">
      <c r="A284" s="19"/>
      <c r="D284" s="86"/>
      <c r="E284" s="86"/>
      <c r="F284" s="86"/>
      <c r="G284" s="86"/>
      <c r="H284" s="86"/>
    </row>
    <row r="285" spans="1:8" ht="15.75">
      <c r="A285" s="19"/>
      <c r="D285" s="86"/>
      <c r="E285" s="86"/>
      <c r="F285" s="86"/>
      <c r="G285" s="86"/>
      <c r="H285" s="86"/>
    </row>
    <row r="286" spans="1:8" ht="15.75">
      <c r="A286" s="19"/>
      <c r="D286" s="86"/>
      <c r="E286" s="86"/>
      <c r="F286" s="86"/>
      <c r="G286" s="86"/>
      <c r="H286" s="86"/>
    </row>
    <row r="287" spans="1:8" ht="15.75">
      <c r="A287" s="19"/>
      <c r="D287" s="86"/>
      <c r="E287" s="86"/>
      <c r="F287" s="86"/>
      <c r="G287" s="86"/>
      <c r="H287" s="86"/>
    </row>
    <row r="288" spans="1:8" ht="15.75">
      <c r="A288" s="19"/>
      <c r="D288" s="86"/>
      <c r="E288" s="86"/>
      <c r="F288" s="86"/>
      <c r="G288" s="86"/>
      <c r="H288" s="86"/>
    </row>
    <row r="289" spans="1:8" ht="15.75">
      <c r="A289" s="19"/>
      <c r="D289" s="86"/>
      <c r="E289" s="86"/>
      <c r="F289" s="86"/>
      <c r="G289" s="86"/>
      <c r="H289" s="86"/>
    </row>
    <row r="290" spans="1:8" ht="15.75">
      <c r="A290" s="19"/>
      <c r="D290" s="86"/>
      <c r="E290" s="86"/>
      <c r="F290" s="86"/>
      <c r="G290" s="86"/>
      <c r="H290" s="86"/>
    </row>
    <row r="291" spans="1:8" ht="15.75">
      <c r="A291" s="19"/>
      <c r="D291" s="86"/>
      <c r="E291" s="86"/>
      <c r="F291" s="86"/>
      <c r="G291" s="86"/>
      <c r="H291" s="86"/>
    </row>
    <row r="292" spans="1:8" ht="15.75">
      <c r="A292" s="19"/>
      <c r="D292" s="86"/>
      <c r="E292" s="86"/>
      <c r="F292" s="86"/>
      <c r="G292" s="86"/>
      <c r="H292" s="86"/>
    </row>
    <row r="293" spans="1:8" ht="15.75">
      <c r="A293" s="19"/>
      <c r="D293" s="86"/>
      <c r="E293" s="86"/>
      <c r="F293" s="86"/>
      <c r="G293" s="86"/>
      <c r="H293" s="86"/>
    </row>
    <row r="294" spans="1:8" ht="15.75">
      <c r="A294" s="19"/>
      <c r="D294" s="86"/>
      <c r="E294" s="86"/>
      <c r="F294" s="86"/>
      <c r="G294" s="86"/>
      <c r="H294" s="86"/>
    </row>
    <row r="295" spans="1:8" ht="15.75">
      <c r="A295" s="19"/>
      <c r="D295" s="86"/>
      <c r="E295" s="86"/>
      <c r="F295" s="86"/>
      <c r="G295" s="86"/>
      <c r="H295" s="86"/>
    </row>
    <row r="296" spans="1:8" ht="15.75">
      <c r="A296" s="19"/>
      <c r="D296" s="86"/>
      <c r="E296" s="86"/>
      <c r="F296" s="86"/>
      <c r="G296" s="86"/>
      <c r="H296" s="86"/>
    </row>
    <row r="297" spans="1:8" ht="15.75">
      <c r="A297" s="19"/>
      <c r="D297" s="86"/>
      <c r="E297" s="86"/>
      <c r="F297" s="86"/>
      <c r="G297" s="86"/>
      <c r="H297" s="86"/>
    </row>
    <row r="298" spans="1:8" ht="15.75">
      <c r="A298" s="19"/>
      <c r="D298" s="86"/>
      <c r="E298" s="86"/>
      <c r="F298" s="86"/>
      <c r="G298" s="86"/>
      <c r="H298" s="86"/>
    </row>
    <row r="299" spans="1:8" ht="15.75">
      <c r="A299" s="19"/>
      <c r="D299" s="86"/>
      <c r="E299" s="86"/>
      <c r="F299" s="86"/>
      <c r="G299" s="86"/>
      <c r="H299" s="86"/>
    </row>
    <row r="300" spans="1:8" ht="15.75">
      <c r="A300" s="19"/>
      <c r="D300" s="86"/>
      <c r="E300" s="86"/>
      <c r="F300" s="86"/>
      <c r="G300" s="86"/>
      <c r="H300" s="86"/>
    </row>
    <row r="301" spans="1:8" ht="15.75">
      <c r="A301" s="19"/>
      <c r="D301" s="86"/>
      <c r="E301" s="86"/>
      <c r="F301" s="86"/>
      <c r="G301" s="86"/>
      <c r="H301" s="86"/>
    </row>
    <row r="302" spans="1:8" ht="15.75">
      <c r="A302" s="19"/>
      <c r="D302" s="86"/>
      <c r="E302" s="86"/>
      <c r="F302" s="86"/>
      <c r="G302" s="86"/>
      <c r="H302" s="86"/>
    </row>
    <row r="303" spans="1:8" ht="15.75">
      <c r="A303" s="19"/>
      <c r="D303" s="86"/>
      <c r="E303" s="86"/>
      <c r="F303" s="86"/>
      <c r="G303" s="86"/>
      <c r="H303" s="86"/>
    </row>
    <row r="304" spans="1:8" ht="15.75">
      <c r="A304" s="19"/>
      <c r="D304" s="86"/>
      <c r="E304" s="86"/>
      <c r="F304" s="86"/>
      <c r="G304" s="86"/>
      <c r="H304" s="86"/>
    </row>
    <row r="305" spans="1:8" ht="15.75">
      <c r="A305" s="19"/>
      <c r="D305" s="86"/>
      <c r="E305" s="86"/>
      <c r="F305" s="86"/>
      <c r="G305" s="86"/>
      <c r="H305" s="86"/>
    </row>
    <row r="306" spans="1:8" ht="15.75">
      <c r="A306" s="19"/>
      <c r="D306" s="86"/>
      <c r="E306" s="86"/>
      <c r="F306" s="86"/>
      <c r="G306" s="86"/>
      <c r="H306" s="86"/>
    </row>
    <row r="307" spans="1:8" ht="15.75">
      <c r="A307" s="19"/>
      <c r="D307" s="86"/>
      <c r="E307" s="86"/>
      <c r="F307" s="86"/>
      <c r="G307" s="86"/>
      <c r="H307" s="86"/>
    </row>
    <row r="308" spans="1:8" ht="15.75">
      <c r="A308" s="19"/>
      <c r="D308" s="86"/>
      <c r="E308" s="86"/>
      <c r="F308" s="86"/>
      <c r="G308" s="86"/>
      <c r="H308" s="86"/>
    </row>
    <row r="309" spans="1:8" ht="15.75">
      <c r="A309" s="19"/>
      <c r="D309" s="86"/>
      <c r="E309" s="86"/>
      <c r="F309" s="86"/>
      <c r="G309" s="86"/>
      <c r="H309" s="86"/>
    </row>
    <row r="310" spans="1:8" ht="15.75">
      <c r="A310" s="19"/>
      <c r="D310" s="86"/>
      <c r="E310" s="86"/>
      <c r="F310" s="86"/>
      <c r="G310" s="86"/>
      <c r="H310" s="86"/>
    </row>
    <row r="311" spans="1:8" ht="15.75">
      <c r="A311" s="19"/>
      <c r="D311" s="86"/>
      <c r="E311" s="86"/>
      <c r="F311" s="86"/>
      <c r="G311" s="86"/>
      <c r="H311" s="86"/>
    </row>
    <row r="312" spans="1:8" ht="15.75">
      <c r="A312" s="19"/>
      <c r="D312" s="86"/>
      <c r="E312" s="86"/>
      <c r="F312" s="86"/>
      <c r="G312" s="86"/>
      <c r="H312" s="86"/>
    </row>
    <row r="313" spans="1:8" ht="15.75">
      <c r="A313" s="19"/>
      <c r="D313" s="86"/>
      <c r="E313" s="86"/>
      <c r="F313" s="86"/>
      <c r="G313" s="86"/>
      <c r="H313" s="86"/>
    </row>
    <row r="314" spans="1:8" ht="15.75">
      <c r="A314" s="19"/>
      <c r="D314" s="86"/>
      <c r="E314" s="86"/>
      <c r="F314" s="86"/>
      <c r="G314" s="86"/>
      <c r="H314" s="86"/>
    </row>
    <row r="315" spans="1:8" ht="15.75">
      <c r="A315" s="19"/>
      <c r="D315" s="86"/>
      <c r="E315" s="86"/>
      <c r="F315" s="86"/>
      <c r="G315" s="86"/>
      <c r="H315" s="86"/>
    </row>
    <row r="316" spans="1:8" ht="15.75">
      <c r="A316" s="19"/>
      <c r="D316" s="86"/>
      <c r="E316" s="86"/>
      <c r="F316" s="86"/>
      <c r="G316" s="86"/>
      <c r="H316" s="86"/>
    </row>
    <row r="317" spans="1:8" ht="15.75">
      <c r="A317" s="19"/>
      <c r="D317" s="86"/>
      <c r="E317" s="86"/>
      <c r="F317" s="86"/>
      <c r="G317" s="86"/>
      <c r="H317" s="86"/>
    </row>
    <row r="318" spans="1:8" ht="15.75">
      <c r="A318" s="19"/>
      <c r="D318" s="86"/>
      <c r="E318" s="86"/>
      <c r="F318" s="86"/>
      <c r="G318" s="86"/>
      <c r="H318" s="86"/>
    </row>
    <row r="319" spans="1:8" ht="15.75">
      <c r="A319" s="19"/>
      <c r="D319" s="86"/>
      <c r="E319" s="86"/>
      <c r="F319" s="86"/>
      <c r="G319" s="86"/>
      <c r="H319" s="86"/>
    </row>
    <row r="320" spans="1:8" ht="15.75">
      <c r="A320" s="19"/>
      <c r="D320" s="86"/>
      <c r="E320" s="86"/>
      <c r="F320" s="86"/>
      <c r="G320" s="86"/>
      <c r="H320" s="86"/>
    </row>
    <row r="321" spans="1:8" ht="15.75">
      <c r="A321" s="19"/>
      <c r="D321" s="86"/>
      <c r="E321" s="86"/>
      <c r="F321" s="86"/>
      <c r="G321" s="86"/>
      <c r="H321" s="86"/>
    </row>
    <row r="322" spans="1:8" ht="15.75">
      <c r="A322" s="19"/>
      <c r="D322" s="86"/>
      <c r="E322" s="86"/>
      <c r="F322" s="86"/>
      <c r="G322" s="86"/>
      <c r="H322" s="86"/>
    </row>
    <row r="323" spans="1:8" ht="15.75">
      <c r="A323" s="19"/>
      <c r="D323" s="86"/>
      <c r="E323" s="86"/>
      <c r="F323" s="86"/>
      <c r="G323" s="86"/>
      <c r="H323" s="86"/>
    </row>
    <row r="324" spans="1:8" ht="15.75">
      <c r="A324" s="19"/>
      <c r="D324" s="86"/>
      <c r="E324" s="86"/>
      <c r="F324" s="86"/>
      <c r="G324" s="86"/>
      <c r="H324" s="86"/>
    </row>
    <row r="325" spans="1:8" ht="15.75">
      <c r="A325" s="19"/>
      <c r="D325" s="86"/>
      <c r="E325" s="86"/>
      <c r="F325" s="86"/>
      <c r="G325" s="86"/>
      <c r="H325" s="86"/>
    </row>
    <row r="326" spans="1:8" ht="15.75">
      <c r="A326" s="19"/>
      <c r="D326" s="86"/>
      <c r="E326" s="86"/>
      <c r="F326" s="86"/>
      <c r="G326" s="86"/>
      <c r="H326" s="86"/>
    </row>
    <row r="327" spans="1:8" ht="15.75">
      <c r="A327" s="19"/>
      <c r="D327" s="86"/>
      <c r="E327" s="86"/>
      <c r="F327" s="86"/>
      <c r="G327" s="86"/>
      <c r="H327" s="86"/>
    </row>
    <row r="328" spans="1:8" ht="15.75">
      <c r="A328" s="19"/>
      <c r="D328" s="86"/>
      <c r="E328" s="86"/>
      <c r="F328" s="86"/>
      <c r="G328" s="86"/>
      <c r="H328" s="86"/>
    </row>
    <row r="329" spans="1:8" ht="15.75">
      <c r="A329" s="19"/>
      <c r="D329" s="86"/>
      <c r="E329" s="86"/>
      <c r="F329" s="86"/>
      <c r="G329" s="86"/>
      <c r="H329" s="86"/>
    </row>
    <row r="330" spans="1:8" ht="15.75">
      <c r="A330" s="19"/>
      <c r="D330" s="86"/>
      <c r="E330" s="86"/>
      <c r="F330" s="86"/>
      <c r="G330" s="86"/>
      <c r="H330" s="86"/>
    </row>
    <row r="331" spans="1:8" ht="15.75">
      <c r="A331" s="19"/>
      <c r="D331" s="86"/>
      <c r="E331" s="86"/>
      <c r="F331" s="86"/>
      <c r="G331" s="86"/>
      <c r="H331" s="86"/>
    </row>
    <row r="332" spans="1:8" ht="15.75">
      <c r="A332" s="19"/>
      <c r="D332" s="86"/>
      <c r="E332" s="86"/>
      <c r="F332" s="86"/>
      <c r="G332" s="86"/>
      <c r="H332" s="86"/>
    </row>
    <row r="333" spans="1:8" ht="15.75">
      <c r="A333" s="19"/>
      <c r="D333" s="86"/>
      <c r="E333" s="86"/>
      <c r="F333" s="86"/>
      <c r="G333" s="86"/>
      <c r="H333" s="86"/>
    </row>
    <row r="334" spans="1:8" ht="15.75">
      <c r="A334" s="19"/>
      <c r="D334" s="86"/>
      <c r="E334" s="86"/>
      <c r="F334" s="86"/>
      <c r="G334" s="86"/>
      <c r="H334" s="86"/>
    </row>
    <row r="335" spans="1:8" ht="15.75">
      <c r="A335" s="19"/>
      <c r="D335" s="86"/>
      <c r="E335" s="86"/>
      <c r="F335" s="86"/>
      <c r="G335" s="86"/>
      <c r="H335" s="86"/>
    </row>
    <row r="336" spans="1:8" ht="15.75">
      <c r="A336" s="19"/>
      <c r="D336" s="86"/>
      <c r="E336" s="86"/>
      <c r="F336" s="86"/>
      <c r="G336" s="86"/>
      <c r="H336" s="86"/>
    </row>
    <row r="337" spans="1:8" ht="15.75">
      <c r="A337" s="19"/>
      <c r="D337" s="86"/>
      <c r="E337" s="86"/>
      <c r="F337" s="86"/>
      <c r="G337" s="86"/>
      <c r="H337" s="86"/>
    </row>
    <row r="338" spans="1:8" ht="15.75">
      <c r="A338" s="19"/>
      <c r="D338" s="86"/>
      <c r="E338" s="86"/>
      <c r="F338" s="86"/>
      <c r="G338" s="86"/>
      <c r="H338" s="86"/>
    </row>
    <row r="339" spans="1:8" ht="15.75">
      <c r="A339" s="19"/>
      <c r="D339" s="86"/>
      <c r="E339" s="86"/>
      <c r="F339" s="86"/>
      <c r="G339" s="86"/>
      <c r="H339" s="86"/>
    </row>
    <row r="340" spans="1:8" ht="15.75">
      <c r="A340" s="19"/>
      <c r="D340" s="86"/>
      <c r="E340" s="86"/>
      <c r="F340" s="86"/>
      <c r="G340" s="86"/>
      <c r="H340" s="86"/>
    </row>
    <row r="341" spans="1:8" ht="15.75">
      <c r="A341" s="19"/>
      <c r="D341" s="86"/>
      <c r="E341" s="86"/>
      <c r="F341" s="86"/>
      <c r="G341" s="86"/>
      <c r="H341" s="86"/>
    </row>
    <row r="342" spans="1:8" ht="15.75">
      <c r="A342" s="19"/>
      <c r="D342" s="86"/>
      <c r="E342" s="86"/>
      <c r="F342" s="86"/>
      <c r="G342" s="86"/>
      <c r="H342" s="86"/>
    </row>
    <row r="343" spans="1:8" ht="15.75">
      <c r="A343" s="19"/>
      <c r="D343" s="86"/>
      <c r="E343" s="86"/>
      <c r="F343" s="86"/>
      <c r="G343" s="86"/>
      <c r="H343" s="86"/>
    </row>
    <row r="344" spans="1:8" ht="15.75">
      <c r="A344" s="19"/>
      <c r="D344" s="86"/>
      <c r="E344" s="86"/>
      <c r="F344" s="86"/>
      <c r="G344" s="86"/>
      <c r="H344" s="86"/>
    </row>
    <row r="345" spans="1:8" ht="15.75">
      <c r="A345" s="19"/>
      <c r="D345" s="86"/>
      <c r="E345" s="86"/>
      <c r="F345" s="86"/>
      <c r="G345" s="86"/>
      <c r="H345" s="86"/>
    </row>
    <row r="346" spans="1:8" ht="15.75">
      <c r="A346" s="19"/>
      <c r="D346" s="86"/>
      <c r="E346" s="86"/>
      <c r="F346" s="86"/>
      <c r="G346" s="86"/>
      <c r="H346" s="86"/>
    </row>
    <row r="347" spans="1:8" ht="15.75">
      <c r="A347" s="19"/>
      <c r="D347" s="86"/>
      <c r="E347" s="86"/>
      <c r="F347" s="86"/>
      <c r="G347" s="86"/>
      <c r="H347" s="86"/>
    </row>
    <row r="348" spans="1:8" ht="15.75">
      <c r="A348" s="19"/>
      <c r="D348" s="86"/>
      <c r="E348" s="86"/>
      <c r="F348" s="86"/>
      <c r="G348" s="86"/>
      <c r="H348" s="86"/>
    </row>
    <row r="349" spans="1:8" ht="15.75">
      <c r="A349" s="19"/>
      <c r="D349" s="86"/>
      <c r="E349" s="86"/>
      <c r="F349" s="86"/>
      <c r="G349" s="86"/>
      <c r="H349" s="86"/>
    </row>
    <row r="350" spans="1:8" ht="15.75">
      <c r="A350" s="19"/>
      <c r="D350" s="86"/>
      <c r="E350" s="86"/>
      <c r="F350" s="86"/>
      <c r="G350" s="86"/>
      <c r="H350" s="86"/>
    </row>
    <row r="351" spans="1:8" ht="15.75">
      <c r="A351" s="19"/>
      <c r="D351" s="86"/>
      <c r="E351" s="86"/>
      <c r="F351" s="86"/>
      <c r="G351" s="86"/>
      <c r="H351" s="86"/>
    </row>
    <row r="352" spans="1:8" ht="15.75">
      <c r="A352" s="19"/>
      <c r="D352" s="86"/>
      <c r="E352" s="86"/>
      <c r="F352" s="86"/>
      <c r="G352" s="86"/>
      <c r="H352" s="86"/>
    </row>
    <row r="353" spans="1:8" ht="15.75">
      <c r="A353" s="19"/>
      <c r="D353" s="86"/>
      <c r="E353" s="86"/>
      <c r="F353" s="86"/>
      <c r="G353" s="86"/>
      <c r="H353" s="86"/>
    </row>
    <row r="354" spans="1:8" ht="15.75">
      <c r="A354" s="19"/>
      <c r="D354" s="86"/>
      <c r="E354" s="86"/>
      <c r="F354" s="86"/>
      <c r="G354" s="86"/>
      <c r="H354" s="86"/>
    </row>
    <row r="355" spans="1:8" ht="15.75">
      <c r="A355" s="19"/>
      <c r="D355" s="86"/>
      <c r="E355" s="86"/>
      <c r="F355" s="86"/>
      <c r="G355" s="86"/>
      <c r="H355" s="86"/>
    </row>
    <row r="356" spans="1:8" ht="15.75">
      <c r="A356" s="19"/>
      <c r="D356" s="86"/>
      <c r="E356" s="86"/>
      <c r="F356" s="86"/>
      <c r="G356" s="86"/>
      <c r="H356" s="86"/>
    </row>
    <row r="357" spans="1:8" ht="15.75">
      <c r="A357" s="19"/>
      <c r="D357" s="86"/>
      <c r="E357" s="86"/>
      <c r="F357" s="86"/>
      <c r="G357" s="86"/>
      <c r="H357" s="86"/>
    </row>
    <row r="358" spans="1:8" ht="15.75">
      <c r="A358" s="19"/>
      <c r="D358" s="86"/>
      <c r="E358" s="86"/>
      <c r="F358" s="86"/>
      <c r="G358" s="86"/>
      <c r="H358" s="86"/>
    </row>
    <row r="359" spans="1:8" ht="15.75">
      <c r="A359" s="19"/>
      <c r="D359" s="86"/>
      <c r="E359" s="86"/>
      <c r="F359" s="86"/>
      <c r="G359" s="86"/>
      <c r="H359" s="86"/>
    </row>
    <row r="360" spans="1:8" ht="15.75">
      <c r="A360" s="19"/>
      <c r="D360" s="86"/>
      <c r="E360" s="86"/>
      <c r="F360" s="86"/>
      <c r="G360" s="86"/>
      <c r="H360" s="86"/>
    </row>
    <row r="361" spans="1:8" ht="15.75">
      <c r="A361" s="19"/>
      <c r="D361" s="86"/>
      <c r="E361" s="86"/>
      <c r="F361" s="86"/>
      <c r="G361" s="86"/>
      <c r="H361" s="86"/>
    </row>
    <row r="362" spans="1:8" ht="15.75">
      <c r="A362" s="19"/>
      <c r="D362" s="86"/>
      <c r="E362" s="86"/>
      <c r="F362" s="86"/>
      <c r="G362" s="86"/>
      <c r="H362" s="86"/>
    </row>
    <row r="363" spans="1:8" ht="15.75">
      <c r="A363" s="19"/>
      <c r="D363" s="86"/>
      <c r="E363" s="86"/>
      <c r="F363" s="86"/>
      <c r="G363" s="86"/>
      <c r="H363" s="86"/>
    </row>
    <row r="364" spans="1:8" ht="15.75">
      <c r="A364" s="19"/>
      <c r="D364" s="86"/>
      <c r="E364" s="86"/>
      <c r="F364" s="86"/>
      <c r="G364" s="86"/>
      <c r="H364" s="86"/>
    </row>
    <row r="365" spans="1:8" ht="15.75">
      <c r="A365" s="19"/>
      <c r="D365" s="86"/>
      <c r="E365" s="86"/>
      <c r="F365" s="86"/>
      <c r="G365" s="86"/>
      <c r="H365" s="86"/>
    </row>
    <row r="366" spans="1:8" ht="15.75">
      <c r="A366" s="19"/>
      <c r="D366" s="86"/>
      <c r="E366" s="86"/>
      <c r="F366" s="86"/>
      <c r="G366" s="86"/>
      <c r="H366" s="86"/>
    </row>
    <row r="367" spans="1:8" ht="15.75">
      <c r="A367" s="19"/>
      <c r="D367" s="86"/>
      <c r="E367" s="86"/>
      <c r="F367" s="86"/>
      <c r="G367" s="86"/>
      <c r="H367" s="86"/>
    </row>
    <row r="368" spans="1:8" ht="15.75">
      <c r="A368" s="19"/>
      <c r="D368" s="86"/>
      <c r="E368" s="86"/>
      <c r="F368" s="86"/>
      <c r="G368" s="86"/>
      <c r="H368" s="86"/>
    </row>
    <row r="369" spans="1:8" ht="15.75">
      <c r="A369" s="19"/>
      <c r="D369" s="86"/>
      <c r="E369" s="86"/>
      <c r="F369" s="86"/>
      <c r="G369" s="86"/>
      <c r="H369" s="86"/>
    </row>
    <row r="370" spans="1:8" ht="15.75">
      <c r="A370" s="19"/>
      <c r="D370" s="86"/>
      <c r="E370" s="86"/>
      <c r="F370" s="86"/>
      <c r="G370" s="86"/>
      <c r="H370" s="86"/>
    </row>
    <row r="371" spans="1:8" ht="15.75">
      <c r="A371" s="19"/>
      <c r="D371" s="86"/>
      <c r="E371" s="86"/>
      <c r="F371" s="86"/>
      <c r="G371" s="86"/>
      <c r="H371" s="86"/>
    </row>
    <row r="372" spans="1:8" ht="15.75">
      <c r="A372" s="19"/>
      <c r="D372" s="86"/>
      <c r="E372" s="86"/>
      <c r="F372" s="86"/>
      <c r="G372" s="86"/>
      <c r="H372" s="86"/>
    </row>
    <row r="373" spans="1:8" ht="15.75">
      <c r="A373" s="19"/>
      <c r="D373" s="86"/>
      <c r="E373" s="86"/>
      <c r="F373" s="86"/>
      <c r="G373" s="86"/>
      <c r="H373" s="86"/>
    </row>
    <row r="374" spans="1:8" ht="15.75">
      <c r="A374" s="19"/>
      <c r="D374" s="86"/>
      <c r="E374" s="86"/>
      <c r="F374" s="86"/>
      <c r="G374" s="86"/>
      <c r="H374" s="86"/>
    </row>
    <row r="375" spans="1:8" ht="15.75">
      <c r="A375" s="19"/>
      <c r="D375" s="86"/>
      <c r="E375" s="86"/>
      <c r="F375" s="86"/>
      <c r="G375" s="86"/>
      <c r="H375" s="86"/>
    </row>
    <row r="376" spans="1:8" ht="15.75">
      <c r="A376" s="19"/>
      <c r="D376" s="86"/>
      <c r="E376" s="86"/>
      <c r="F376" s="86"/>
      <c r="G376" s="86"/>
      <c r="H376" s="86"/>
    </row>
    <row r="377" spans="1:8" ht="15.75">
      <c r="A377" s="19"/>
      <c r="D377" s="86"/>
      <c r="E377" s="86"/>
      <c r="F377" s="86"/>
      <c r="G377" s="86"/>
      <c r="H377" s="86"/>
    </row>
    <row r="378" spans="1:8" ht="15.75">
      <c r="A378" s="19"/>
      <c r="D378" s="86"/>
      <c r="E378" s="86"/>
      <c r="F378" s="86"/>
      <c r="G378" s="86"/>
      <c r="H378" s="86"/>
    </row>
    <row r="379" spans="1:8" ht="15.75">
      <c r="A379" s="19"/>
      <c r="D379" s="86"/>
      <c r="E379" s="86"/>
      <c r="F379" s="86"/>
      <c r="G379" s="86"/>
      <c r="H379" s="86"/>
    </row>
    <row r="380" spans="1:8" ht="15.75">
      <c r="A380" s="19"/>
      <c r="D380" s="86"/>
      <c r="E380" s="86"/>
      <c r="F380" s="86"/>
      <c r="G380" s="86"/>
      <c r="H380" s="86"/>
    </row>
    <row r="381" spans="1:8" ht="15.75">
      <c r="A381" s="19"/>
      <c r="D381" s="86"/>
      <c r="E381" s="86"/>
      <c r="F381" s="86"/>
      <c r="G381" s="86"/>
      <c r="H381" s="86"/>
    </row>
    <row r="382" spans="1:8" ht="15.75">
      <c r="A382" s="19"/>
      <c r="D382" s="86"/>
      <c r="E382" s="86"/>
      <c r="F382" s="86"/>
      <c r="G382" s="86"/>
      <c r="H382" s="86"/>
    </row>
    <row r="383" spans="1:8" ht="15.75">
      <c r="A383" s="19"/>
      <c r="D383" s="86"/>
      <c r="E383" s="86"/>
      <c r="F383" s="86"/>
      <c r="G383" s="86"/>
      <c r="H383" s="86"/>
    </row>
    <row r="384" spans="1:8" ht="15.75">
      <c r="A384" s="19"/>
      <c r="D384" s="86"/>
      <c r="E384" s="86"/>
      <c r="F384" s="86"/>
      <c r="G384" s="86"/>
      <c r="H384" s="86"/>
    </row>
    <row r="385" spans="1:8" ht="15.75">
      <c r="A385" s="19"/>
      <c r="D385" s="86"/>
      <c r="E385" s="86"/>
      <c r="F385" s="86"/>
      <c r="G385" s="86"/>
      <c r="H385" s="86"/>
    </row>
    <row r="386" spans="1:8" ht="15.75">
      <c r="A386" s="19"/>
      <c r="D386" s="86"/>
      <c r="E386" s="86"/>
      <c r="F386" s="86"/>
      <c r="G386" s="86"/>
      <c r="H386" s="86"/>
    </row>
    <row r="387" spans="1:8" ht="15.75">
      <c r="A387" s="19"/>
      <c r="D387" s="86"/>
      <c r="E387" s="86"/>
      <c r="F387" s="86"/>
      <c r="G387" s="86"/>
      <c r="H387" s="86"/>
    </row>
    <row r="388" spans="1:8" ht="15.75">
      <c r="A388" s="19"/>
      <c r="D388" s="86"/>
      <c r="E388" s="86"/>
      <c r="F388" s="86"/>
      <c r="G388" s="86"/>
      <c r="H388" s="86"/>
    </row>
    <row r="389" spans="1:8" ht="15.75">
      <c r="A389" s="19"/>
      <c r="D389" s="86"/>
      <c r="E389" s="86"/>
      <c r="F389" s="86"/>
      <c r="G389" s="86"/>
      <c r="H389" s="86"/>
    </row>
    <row r="390" spans="1:8" ht="15.75">
      <c r="A390" s="19"/>
      <c r="D390" s="86"/>
      <c r="E390" s="86"/>
      <c r="F390" s="86"/>
      <c r="G390" s="86"/>
      <c r="H390" s="86"/>
    </row>
    <row r="391" spans="1:8" ht="15.75">
      <c r="A391" s="19"/>
      <c r="D391" s="86"/>
      <c r="E391" s="86"/>
      <c r="F391" s="86"/>
      <c r="G391" s="86"/>
      <c r="H391" s="86"/>
    </row>
    <row r="392" spans="1:8" ht="15.75">
      <c r="A392" s="19"/>
      <c r="D392" s="86"/>
      <c r="E392" s="86"/>
      <c r="F392" s="86"/>
      <c r="G392" s="86"/>
      <c r="H392" s="86"/>
    </row>
    <row r="393" spans="1:8" ht="15.75">
      <c r="A393" s="19"/>
      <c r="D393" s="86"/>
      <c r="E393" s="86"/>
      <c r="F393" s="86"/>
      <c r="G393" s="86"/>
      <c r="H393" s="86"/>
    </row>
    <row r="394" spans="1:8" ht="15.75">
      <c r="A394" s="19"/>
      <c r="D394" s="86"/>
      <c r="E394" s="86"/>
      <c r="F394" s="86"/>
      <c r="G394" s="86"/>
      <c r="H394" s="86"/>
    </row>
    <row r="395" spans="1:8" ht="15.75">
      <c r="A395" s="19"/>
      <c r="D395" s="86"/>
      <c r="E395" s="86"/>
      <c r="F395" s="86"/>
      <c r="G395" s="86"/>
      <c r="H395" s="86"/>
    </row>
    <row r="396" spans="1:8" ht="15.75">
      <c r="A396" s="19"/>
      <c r="D396" s="86"/>
      <c r="E396" s="86"/>
      <c r="F396" s="86"/>
      <c r="G396" s="86"/>
      <c r="H396" s="86"/>
    </row>
    <row r="397" spans="1:8" ht="15.75">
      <c r="A397" s="19"/>
      <c r="D397" s="86"/>
      <c r="E397" s="86"/>
      <c r="F397" s="86"/>
      <c r="G397" s="86"/>
      <c r="H397" s="86"/>
    </row>
    <row r="398" spans="1:8" ht="15.75">
      <c r="A398" s="19"/>
      <c r="D398" s="86"/>
      <c r="E398" s="86"/>
      <c r="F398" s="86"/>
      <c r="G398" s="86"/>
      <c r="H398" s="86"/>
    </row>
    <row r="399" spans="1:8" ht="15.75">
      <c r="A399" s="19"/>
      <c r="D399" s="86"/>
      <c r="E399" s="86"/>
      <c r="F399" s="86"/>
      <c r="G399" s="86"/>
      <c r="H399" s="86"/>
    </row>
    <row r="400" spans="1:8" ht="15.75">
      <c r="A400" s="19"/>
      <c r="D400" s="86"/>
      <c r="E400" s="86"/>
      <c r="F400" s="86"/>
      <c r="G400" s="86"/>
      <c r="H400" s="86"/>
    </row>
    <row r="401" spans="1:8" ht="15.75">
      <c r="A401" s="19"/>
      <c r="D401" s="86"/>
      <c r="E401" s="86"/>
      <c r="F401" s="86"/>
      <c r="G401" s="86"/>
      <c r="H401" s="86"/>
    </row>
    <row r="402" spans="1:8" ht="15.75">
      <c r="A402" s="19"/>
      <c r="D402" s="86"/>
      <c r="E402" s="86"/>
      <c r="F402" s="86"/>
      <c r="G402" s="86"/>
      <c r="H402" s="86"/>
    </row>
    <row r="403" spans="1:8" ht="15.75">
      <c r="A403" s="19"/>
      <c r="D403" s="86"/>
      <c r="E403" s="86"/>
      <c r="F403" s="86"/>
      <c r="G403" s="86"/>
      <c r="H403" s="86"/>
    </row>
    <row r="404" spans="1:8" ht="15.75">
      <c r="A404" s="19"/>
      <c r="D404" s="86"/>
      <c r="E404" s="86"/>
      <c r="F404" s="86"/>
      <c r="G404" s="86"/>
      <c r="H404" s="86"/>
    </row>
    <row r="405" spans="1:8" ht="15.75">
      <c r="A405" s="19"/>
      <c r="D405" s="86"/>
      <c r="E405" s="86"/>
      <c r="F405" s="86"/>
      <c r="G405" s="86"/>
      <c r="H405" s="86"/>
    </row>
    <row r="406" spans="1:8" ht="15.75">
      <c r="A406" s="19"/>
      <c r="D406" s="86"/>
      <c r="E406" s="86"/>
      <c r="F406" s="86"/>
      <c r="G406" s="86"/>
      <c r="H406" s="86"/>
    </row>
    <row r="407" spans="1:8" ht="15.75">
      <c r="A407" s="19"/>
      <c r="D407" s="86"/>
      <c r="E407" s="86"/>
      <c r="F407" s="86"/>
      <c r="G407" s="86"/>
      <c r="H407" s="86"/>
    </row>
    <row r="408" spans="1:8" ht="15.75">
      <c r="A408" s="19"/>
      <c r="D408" s="86"/>
      <c r="E408" s="86"/>
      <c r="F408" s="86"/>
      <c r="G408" s="86"/>
      <c r="H408" s="86"/>
    </row>
    <row r="409" spans="1:8" ht="15.75">
      <c r="A409" s="19"/>
      <c r="D409" s="86"/>
      <c r="E409" s="86"/>
      <c r="F409" s="86"/>
      <c r="G409" s="86"/>
      <c r="H409" s="86"/>
    </row>
    <row r="410" spans="1:8" ht="15.75">
      <c r="A410" s="19"/>
      <c r="D410" s="86"/>
      <c r="E410" s="86"/>
      <c r="F410" s="86"/>
      <c r="G410" s="86"/>
      <c r="H410" s="86"/>
    </row>
    <row r="411" spans="1:8" ht="15.75">
      <c r="A411" s="19"/>
      <c r="D411" s="86"/>
      <c r="E411" s="86"/>
      <c r="F411" s="86"/>
      <c r="G411" s="86"/>
      <c r="H411" s="86"/>
    </row>
    <row r="412" spans="1:8" ht="15.75">
      <c r="A412" s="19"/>
      <c r="D412" s="86"/>
      <c r="E412" s="86"/>
      <c r="F412" s="86"/>
      <c r="G412" s="86"/>
      <c r="H412" s="86"/>
    </row>
    <row r="413" spans="1:8" ht="15.75">
      <c r="A413" s="19"/>
      <c r="D413" s="86"/>
      <c r="E413" s="86"/>
      <c r="F413" s="86"/>
      <c r="G413" s="86"/>
      <c r="H413" s="86"/>
    </row>
    <row r="414" spans="1:8" ht="15.75">
      <c r="A414" s="19"/>
      <c r="D414" s="86"/>
      <c r="E414" s="86"/>
      <c r="F414" s="86"/>
      <c r="G414" s="86"/>
      <c r="H414" s="86"/>
    </row>
    <row r="415" spans="1:8" ht="15.75">
      <c r="A415" s="19"/>
      <c r="D415" s="86"/>
      <c r="E415" s="86"/>
      <c r="F415" s="86"/>
      <c r="G415" s="86"/>
      <c r="H415" s="86"/>
    </row>
    <row r="416" spans="1:8" ht="15.75">
      <c r="A416" s="19"/>
      <c r="D416" s="86"/>
      <c r="E416" s="86"/>
      <c r="F416" s="86"/>
      <c r="G416" s="86"/>
      <c r="H416" s="86"/>
    </row>
    <row r="417" spans="1:8" ht="15.75">
      <c r="A417" s="19"/>
      <c r="D417" s="86"/>
      <c r="E417" s="86"/>
      <c r="F417" s="86"/>
      <c r="G417" s="86"/>
      <c r="H417" s="86"/>
    </row>
    <row r="418" spans="1:8" ht="15.75">
      <c r="A418" s="19"/>
      <c r="D418" s="86"/>
      <c r="E418" s="86"/>
      <c r="F418" s="86"/>
      <c r="G418" s="86"/>
      <c r="H418" s="86"/>
    </row>
    <row r="419" spans="1:8" ht="15.75">
      <c r="A419" s="19"/>
      <c r="D419" s="86"/>
      <c r="E419" s="86"/>
      <c r="F419" s="86"/>
      <c r="G419" s="86"/>
      <c r="H419" s="86"/>
    </row>
    <row r="420" spans="1:8" ht="15.75">
      <c r="A420" s="19"/>
      <c r="D420" s="86"/>
      <c r="E420" s="86"/>
      <c r="F420" s="86"/>
      <c r="G420" s="86"/>
      <c r="H420" s="86"/>
    </row>
    <row r="421" spans="1:8" ht="15.75">
      <c r="A421" s="19"/>
      <c r="D421" s="86"/>
      <c r="E421" s="86"/>
      <c r="F421" s="86"/>
      <c r="G421" s="86"/>
      <c r="H421" s="86"/>
    </row>
    <row r="422" spans="1:8" ht="15.75">
      <c r="A422" s="19"/>
      <c r="D422" s="86"/>
      <c r="E422" s="86"/>
      <c r="F422" s="86"/>
      <c r="G422" s="86"/>
      <c r="H422" s="86"/>
    </row>
    <row r="423" spans="1:8" ht="15.75">
      <c r="A423" s="19"/>
      <c r="D423" s="86"/>
      <c r="E423" s="86"/>
      <c r="F423" s="86"/>
      <c r="G423" s="86"/>
      <c r="H423" s="86"/>
    </row>
    <row r="424" spans="1:8" ht="15.75">
      <c r="A424" s="19"/>
      <c r="D424" s="86"/>
      <c r="E424" s="86"/>
      <c r="F424" s="86"/>
      <c r="G424" s="86"/>
      <c r="H424" s="86"/>
    </row>
    <row r="425" spans="1:8" ht="15.75">
      <c r="A425" s="19"/>
      <c r="D425" s="86"/>
      <c r="E425" s="86"/>
      <c r="F425" s="86"/>
      <c r="G425" s="86"/>
      <c r="H425" s="86"/>
    </row>
    <row r="426" spans="1:8" ht="15.75">
      <c r="A426" s="19"/>
      <c r="D426" s="86"/>
      <c r="E426" s="86"/>
      <c r="F426" s="86"/>
      <c r="G426" s="86"/>
      <c r="H426" s="86"/>
    </row>
    <row r="427" spans="1:8" ht="15.75">
      <c r="A427" s="19"/>
      <c r="D427" s="86"/>
      <c r="E427" s="86"/>
      <c r="F427" s="86"/>
      <c r="G427" s="86"/>
      <c r="H427" s="86"/>
    </row>
    <row r="428" spans="1:8" ht="15.75">
      <c r="A428" s="19"/>
      <c r="D428" s="86"/>
      <c r="E428" s="86"/>
      <c r="F428" s="86"/>
      <c r="G428" s="86"/>
      <c r="H428" s="86"/>
    </row>
    <row r="429" spans="1:8" ht="15.75">
      <c r="A429" s="19"/>
      <c r="D429" s="86"/>
      <c r="E429" s="86"/>
      <c r="F429" s="86"/>
      <c r="G429" s="86"/>
      <c r="H429" s="86"/>
    </row>
    <row r="430" spans="1:8" ht="15.75">
      <c r="A430" s="19"/>
      <c r="D430" s="86"/>
      <c r="E430" s="86"/>
      <c r="F430" s="86"/>
      <c r="G430" s="86"/>
      <c r="H430" s="86"/>
    </row>
    <row r="431" spans="1:8" ht="15.75">
      <c r="A431" s="19"/>
      <c r="D431" s="86"/>
      <c r="E431" s="86"/>
      <c r="F431" s="86"/>
      <c r="G431" s="86"/>
      <c r="H431" s="86"/>
    </row>
    <row r="432" spans="1:8" ht="15.75">
      <c r="A432" s="19"/>
      <c r="D432" s="86"/>
      <c r="E432" s="86"/>
      <c r="F432" s="86"/>
      <c r="G432" s="86"/>
      <c r="H432" s="86"/>
    </row>
    <row r="433" spans="1:8" ht="15.75">
      <c r="A433" s="19"/>
      <c r="D433" s="86"/>
      <c r="E433" s="86"/>
      <c r="F433" s="86"/>
      <c r="G433" s="86"/>
      <c r="H433" s="86"/>
    </row>
    <row r="434" spans="1:8" ht="15.75">
      <c r="A434" s="19"/>
      <c r="D434" s="86"/>
      <c r="E434" s="86"/>
      <c r="F434" s="86"/>
      <c r="G434" s="86"/>
      <c r="H434" s="86"/>
    </row>
    <row r="435" spans="1:8" ht="15.75">
      <c r="A435" s="19"/>
      <c r="D435" s="86"/>
      <c r="E435" s="86"/>
      <c r="F435" s="86"/>
      <c r="G435" s="86"/>
      <c r="H435" s="86"/>
    </row>
    <row r="436" spans="1:8" ht="15.75">
      <c r="A436" s="19"/>
      <c r="D436" s="86"/>
      <c r="E436" s="86"/>
      <c r="F436" s="86"/>
      <c r="G436" s="86"/>
      <c r="H436" s="86"/>
    </row>
    <row r="437" spans="1:8" ht="15.75">
      <c r="A437" s="19"/>
      <c r="D437" s="86"/>
      <c r="E437" s="86"/>
      <c r="F437" s="86"/>
      <c r="G437" s="86"/>
      <c r="H437" s="86"/>
    </row>
    <row r="438" spans="1:8" ht="15.75">
      <c r="A438" s="19"/>
      <c r="D438" s="86"/>
      <c r="E438" s="86"/>
      <c r="F438" s="86"/>
      <c r="G438" s="86"/>
      <c r="H438" s="86"/>
    </row>
    <row r="439" spans="1:8" ht="15.75">
      <c r="A439" s="19"/>
      <c r="D439" s="86"/>
      <c r="E439" s="86"/>
      <c r="F439" s="86"/>
      <c r="G439" s="86"/>
      <c r="H439" s="86"/>
    </row>
    <row r="440" spans="1:8" ht="15.75">
      <c r="A440" s="19"/>
      <c r="D440" s="86"/>
      <c r="E440" s="86"/>
      <c r="F440" s="86"/>
      <c r="G440" s="86"/>
      <c r="H440" s="86"/>
    </row>
    <row r="441" spans="1:8" ht="15.75">
      <c r="A441" s="19"/>
      <c r="D441" s="86"/>
      <c r="E441" s="86"/>
      <c r="F441" s="86"/>
      <c r="G441" s="86"/>
      <c r="H441" s="86"/>
    </row>
    <row r="442" spans="1:8" ht="15.75">
      <c r="A442" s="19"/>
      <c r="D442" s="86"/>
      <c r="E442" s="86"/>
      <c r="F442" s="86"/>
      <c r="G442" s="86"/>
      <c r="H442" s="86"/>
    </row>
    <row r="443" spans="1:8" ht="15.75">
      <c r="A443" s="19"/>
      <c r="D443" s="86"/>
      <c r="E443" s="86"/>
      <c r="F443" s="86"/>
      <c r="G443" s="86"/>
      <c r="H443" s="86"/>
    </row>
    <row r="444" spans="1:8" ht="15.75">
      <c r="A444" s="19"/>
      <c r="D444" s="86"/>
      <c r="E444" s="86"/>
      <c r="F444" s="86"/>
      <c r="G444" s="86"/>
      <c r="H444" s="86"/>
    </row>
    <row r="445" spans="1:8" ht="15.75">
      <c r="A445" s="19"/>
      <c r="D445" s="86"/>
      <c r="E445" s="86"/>
      <c r="F445" s="86"/>
      <c r="G445" s="86"/>
      <c r="H445" s="86"/>
    </row>
    <row r="446" spans="1:8" ht="15.75">
      <c r="A446" s="19"/>
      <c r="D446" s="86"/>
      <c r="E446" s="86"/>
      <c r="F446" s="86"/>
      <c r="G446" s="86"/>
      <c r="H446" s="86"/>
    </row>
    <row r="447" spans="1:8" ht="15.75">
      <c r="A447" s="19"/>
      <c r="D447" s="86"/>
      <c r="E447" s="86"/>
      <c r="F447" s="86"/>
      <c r="G447" s="86"/>
      <c r="H447" s="86"/>
    </row>
    <row r="448" spans="1:8" ht="15.75">
      <c r="A448" s="19"/>
      <c r="D448" s="86"/>
      <c r="E448" s="86"/>
      <c r="F448" s="86"/>
      <c r="G448" s="86"/>
      <c r="H448" s="86"/>
    </row>
    <row r="449" spans="1:8" ht="15.75">
      <c r="A449" s="19"/>
      <c r="D449" s="86"/>
      <c r="E449" s="86"/>
      <c r="F449" s="86"/>
      <c r="G449" s="86"/>
      <c r="H449" s="86"/>
    </row>
    <row r="450" spans="1:8" ht="15.75">
      <c r="A450" s="19"/>
      <c r="D450" s="86"/>
      <c r="E450" s="86"/>
      <c r="F450" s="86"/>
      <c r="G450" s="86"/>
      <c r="H450" s="86"/>
    </row>
    <row r="451" spans="1:8" ht="15.75">
      <c r="A451" s="19"/>
      <c r="D451" s="86"/>
      <c r="E451" s="86"/>
      <c r="F451" s="86"/>
      <c r="G451" s="86"/>
      <c r="H451" s="86"/>
    </row>
    <row r="452" spans="1:8" ht="15.75">
      <c r="A452" s="19"/>
      <c r="D452" s="86"/>
      <c r="E452" s="86"/>
      <c r="F452" s="86"/>
      <c r="G452" s="86"/>
      <c r="H452" s="86"/>
    </row>
    <row r="453" spans="1:8" ht="15.75">
      <c r="A453" s="19"/>
      <c r="D453" s="86"/>
      <c r="E453" s="86"/>
      <c r="F453" s="86"/>
      <c r="G453" s="86"/>
      <c r="H453" s="86"/>
    </row>
    <row r="454" spans="1:8" ht="15.75">
      <c r="A454" s="19"/>
      <c r="D454" s="86"/>
      <c r="E454" s="86"/>
      <c r="F454" s="86"/>
      <c r="G454" s="86"/>
      <c r="H454" s="86"/>
    </row>
    <row r="455" spans="1:8" ht="15.75">
      <c r="A455" s="19"/>
      <c r="D455" s="86"/>
      <c r="E455" s="86"/>
      <c r="F455" s="86"/>
      <c r="G455" s="86"/>
      <c r="H455" s="86"/>
    </row>
    <row r="456" spans="1:8" ht="15.75">
      <c r="A456" s="19"/>
      <c r="D456" s="86"/>
      <c r="E456" s="86"/>
      <c r="F456" s="86"/>
      <c r="G456" s="86"/>
      <c r="H456" s="86"/>
    </row>
    <row r="457" spans="1:8" ht="15.75">
      <c r="A457" s="19"/>
      <c r="D457" s="86"/>
      <c r="E457" s="86"/>
      <c r="F457" s="86"/>
      <c r="G457" s="86"/>
      <c r="H457" s="86"/>
    </row>
    <row r="458" spans="1:8" ht="15.75">
      <c r="A458" s="19"/>
      <c r="D458" s="86"/>
      <c r="E458" s="86"/>
      <c r="F458" s="86"/>
      <c r="G458" s="86"/>
      <c r="H458" s="86"/>
    </row>
    <row r="459" spans="1:8" ht="15.75">
      <c r="A459" s="19"/>
      <c r="D459" s="86"/>
      <c r="E459" s="86"/>
      <c r="F459" s="86"/>
      <c r="G459" s="86"/>
      <c r="H459" s="86"/>
    </row>
    <row r="460" spans="1:8" ht="15.75">
      <c r="A460" s="19"/>
      <c r="D460" s="86"/>
      <c r="E460" s="86"/>
      <c r="F460" s="86"/>
      <c r="G460" s="86"/>
      <c r="H460" s="86"/>
    </row>
    <row r="461" spans="1:8" ht="15.75">
      <c r="A461" s="19"/>
      <c r="D461" s="86"/>
      <c r="E461" s="86"/>
      <c r="F461" s="86"/>
      <c r="G461" s="86"/>
      <c r="H461" s="86"/>
    </row>
    <row r="462" spans="1:8" ht="15.75">
      <c r="A462" s="19"/>
      <c r="D462" s="86"/>
      <c r="E462" s="86"/>
      <c r="F462" s="86"/>
      <c r="G462" s="86"/>
      <c r="H462" s="86"/>
    </row>
    <row r="463" spans="1:8" ht="15.75">
      <c r="A463" s="19"/>
      <c r="D463" s="86"/>
      <c r="E463" s="86"/>
      <c r="F463" s="86"/>
      <c r="G463" s="86"/>
      <c r="H463" s="86"/>
    </row>
    <row r="464" spans="1:8" ht="15.75">
      <c r="A464" s="19"/>
      <c r="D464" s="86"/>
      <c r="E464" s="86"/>
      <c r="F464" s="86"/>
      <c r="G464" s="86"/>
      <c r="H464" s="86"/>
    </row>
    <row r="465" spans="1:8" ht="15.75">
      <c r="A465" s="19"/>
      <c r="D465" s="86"/>
      <c r="E465" s="86"/>
      <c r="F465" s="86"/>
      <c r="G465" s="86"/>
      <c r="H465" s="86"/>
    </row>
    <row r="466" spans="1:8" ht="15.75">
      <c r="A466" s="19"/>
      <c r="D466" s="86"/>
      <c r="E466" s="86"/>
      <c r="F466" s="86"/>
      <c r="G466" s="86"/>
      <c r="H466" s="86"/>
    </row>
    <row r="467" spans="1:8" ht="15.75">
      <c r="A467" s="19"/>
      <c r="D467" s="86"/>
      <c r="E467" s="86"/>
      <c r="F467" s="86"/>
      <c r="G467" s="86"/>
      <c r="H467" s="86"/>
    </row>
    <row r="468" spans="1:8" ht="15.75">
      <c r="A468" s="19"/>
      <c r="D468" s="86"/>
      <c r="E468" s="86"/>
      <c r="F468" s="86"/>
      <c r="G468" s="86"/>
      <c r="H468" s="86"/>
    </row>
    <row r="469" spans="1:8" ht="15.75">
      <c r="A469" s="19"/>
      <c r="D469" s="86"/>
      <c r="E469" s="86"/>
      <c r="F469" s="86"/>
      <c r="G469" s="86"/>
      <c r="H469" s="86"/>
    </row>
    <row r="470" spans="1:8" ht="15.75">
      <c r="A470" s="19"/>
      <c r="D470" s="86"/>
      <c r="E470" s="86"/>
      <c r="F470" s="86"/>
      <c r="G470" s="86"/>
      <c r="H470" s="86"/>
    </row>
    <row r="471" spans="1:8" ht="15.75">
      <c r="A471" s="19"/>
      <c r="D471" s="86"/>
      <c r="E471" s="86"/>
      <c r="F471" s="86"/>
      <c r="G471" s="86"/>
      <c r="H471" s="86"/>
    </row>
    <row r="472" spans="1:8" ht="15.75">
      <c r="A472" s="19"/>
      <c r="D472" s="86"/>
      <c r="E472" s="86"/>
      <c r="F472" s="86"/>
      <c r="G472" s="86"/>
      <c r="H472" s="86"/>
    </row>
    <row r="473" spans="1:8" ht="15.75">
      <c r="A473" s="19"/>
      <c r="D473" s="86"/>
      <c r="E473" s="86"/>
      <c r="F473" s="86"/>
      <c r="G473" s="86"/>
      <c r="H473" s="86"/>
    </row>
    <row r="474" spans="1:8" ht="15.75">
      <c r="A474" s="19"/>
      <c r="D474" s="86"/>
      <c r="E474" s="86"/>
      <c r="F474" s="86"/>
      <c r="G474" s="86"/>
      <c r="H474" s="86"/>
    </row>
    <row r="475" spans="1:8" ht="15.75">
      <c r="A475" s="19"/>
      <c r="D475" s="86"/>
      <c r="E475" s="86"/>
      <c r="F475" s="86"/>
      <c r="G475" s="86"/>
      <c r="H475" s="86"/>
    </row>
    <row r="476" spans="1:8" ht="15.75">
      <c r="A476" s="19"/>
      <c r="D476" s="86"/>
      <c r="E476" s="86"/>
      <c r="F476" s="86"/>
      <c r="G476" s="86"/>
      <c r="H476" s="86"/>
    </row>
    <row r="477" spans="1:8" ht="15.75">
      <c r="A477" s="19"/>
      <c r="D477" s="86"/>
      <c r="E477" s="86"/>
      <c r="F477" s="86"/>
      <c r="G477" s="86"/>
      <c r="H477" s="86"/>
    </row>
    <row r="478" spans="1:8" ht="15.75">
      <c r="A478" s="19"/>
      <c r="D478" s="86"/>
      <c r="E478" s="86"/>
      <c r="F478" s="86"/>
      <c r="G478" s="86"/>
      <c r="H478" s="86"/>
    </row>
    <row r="479" spans="1:8" ht="15.75">
      <c r="A479" s="19"/>
      <c r="D479" s="86"/>
      <c r="E479" s="86"/>
      <c r="F479" s="86"/>
      <c r="G479" s="86"/>
      <c r="H479" s="86"/>
    </row>
    <row r="480" spans="1:8" ht="15.75">
      <c r="A480" s="19"/>
      <c r="D480" s="86"/>
      <c r="E480" s="86"/>
      <c r="F480" s="86"/>
      <c r="G480" s="86"/>
      <c r="H480" s="86"/>
    </row>
    <row r="481" spans="1:8" ht="15.75">
      <c r="A481" s="19"/>
      <c r="D481" s="86"/>
      <c r="E481" s="86"/>
      <c r="F481" s="86"/>
      <c r="G481" s="86"/>
      <c r="H481" s="86"/>
    </row>
    <row r="482" spans="1:8" ht="15.75">
      <c r="A482" s="19"/>
      <c r="D482" s="86"/>
      <c r="E482" s="86"/>
      <c r="F482" s="86"/>
      <c r="G482" s="86"/>
      <c r="H482" s="86"/>
    </row>
    <row r="483" spans="1:8" ht="15.75">
      <c r="A483" s="19"/>
      <c r="D483" s="86"/>
      <c r="E483" s="86"/>
      <c r="F483" s="86"/>
      <c r="G483" s="86"/>
      <c r="H483" s="86"/>
    </row>
    <row r="484" spans="1:8" ht="15.75">
      <c r="A484" s="19"/>
      <c r="D484" s="86"/>
      <c r="E484" s="86"/>
      <c r="F484" s="86"/>
      <c r="G484" s="86"/>
      <c r="H484" s="86"/>
    </row>
    <row r="485" spans="1:8" ht="15.75">
      <c r="A485" s="19"/>
      <c r="D485" s="86"/>
      <c r="E485" s="86"/>
      <c r="F485" s="86"/>
      <c r="G485" s="86"/>
      <c r="H485" s="86"/>
    </row>
    <row r="486" spans="1:8" ht="15.75">
      <c r="A486" s="19"/>
      <c r="D486" s="86"/>
      <c r="E486" s="86"/>
      <c r="F486" s="86"/>
      <c r="G486" s="86"/>
      <c r="H486" s="86"/>
    </row>
    <row r="487" spans="1:8" ht="15.75">
      <c r="A487" s="19"/>
      <c r="D487" s="86"/>
      <c r="E487" s="86"/>
      <c r="F487" s="86"/>
      <c r="G487" s="86"/>
      <c r="H487" s="86"/>
    </row>
    <row r="488" spans="1:8" ht="15.75">
      <c r="A488" s="19"/>
      <c r="D488" s="86"/>
      <c r="E488" s="86"/>
      <c r="F488" s="86"/>
      <c r="G488" s="86"/>
      <c r="H488" s="86"/>
    </row>
    <row r="489" spans="1:8" ht="15.75">
      <c r="A489" s="19"/>
      <c r="D489" s="86"/>
      <c r="E489" s="86"/>
      <c r="F489" s="86"/>
      <c r="G489" s="86"/>
      <c r="H489" s="86"/>
    </row>
    <row r="490" spans="1:8" ht="15.75">
      <c r="A490" s="19"/>
      <c r="D490" s="86"/>
      <c r="E490" s="86"/>
      <c r="F490" s="86"/>
      <c r="G490" s="86"/>
      <c r="H490" s="86"/>
    </row>
    <row r="491" spans="1:8" ht="15.75">
      <c r="A491" s="19"/>
      <c r="D491" s="86"/>
      <c r="E491" s="86"/>
      <c r="F491" s="86"/>
      <c r="G491" s="86"/>
      <c r="H491" s="86"/>
    </row>
    <row r="492" spans="1:8" ht="15.75">
      <c r="A492" s="19"/>
      <c r="D492" s="86"/>
      <c r="E492" s="86"/>
      <c r="F492" s="86"/>
      <c r="G492" s="86"/>
      <c r="H492" s="86"/>
    </row>
    <row r="493" spans="1:8" ht="15.75">
      <c r="A493" s="19"/>
      <c r="D493" s="86"/>
      <c r="E493" s="86"/>
      <c r="F493" s="86"/>
      <c r="G493" s="86"/>
      <c r="H493" s="86"/>
    </row>
    <row r="494" spans="1:8" ht="15.75">
      <c r="A494" s="19"/>
      <c r="D494" s="86"/>
      <c r="E494" s="86"/>
      <c r="F494" s="86"/>
      <c r="G494" s="86"/>
      <c r="H494" s="86"/>
    </row>
    <row r="495" spans="1:8" ht="15.75">
      <c r="A495" s="19"/>
      <c r="D495" s="86"/>
      <c r="E495" s="86"/>
      <c r="F495" s="86"/>
      <c r="G495" s="86"/>
      <c r="H495" s="86"/>
    </row>
    <row r="496" spans="1:8" ht="15.75">
      <c r="A496" s="19"/>
      <c r="D496" s="86"/>
      <c r="E496" s="86"/>
      <c r="F496" s="86"/>
      <c r="G496" s="86"/>
      <c r="H496" s="86"/>
    </row>
    <row r="497" spans="1:8" ht="15.75">
      <c r="A497" s="19"/>
      <c r="D497" s="86"/>
      <c r="E497" s="86"/>
      <c r="F497" s="86"/>
      <c r="G497" s="86"/>
      <c r="H497" s="86"/>
    </row>
    <row r="498" spans="1:8" ht="15.75">
      <c r="A498" s="19"/>
      <c r="D498" s="86"/>
      <c r="E498" s="86"/>
      <c r="F498" s="86"/>
      <c r="G498" s="86"/>
      <c r="H498" s="86"/>
    </row>
    <row r="499" spans="1:8" ht="15.75">
      <c r="A499" s="19"/>
      <c r="D499" s="86"/>
      <c r="E499" s="86"/>
      <c r="F499" s="86"/>
      <c r="G499" s="86"/>
      <c r="H499" s="86"/>
    </row>
    <row r="500" spans="1:8" ht="15.75">
      <c r="A500" s="19"/>
      <c r="D500" s="86"/>
      <c r="E500" s="86"/>
      <c r="F500" s="86"/>
      <c r="G500" s="86"/>
      <c r="H500" s="86"/>
    </row>
    <row r="501" spans="1:8" ht="15.75">
      <c r="A501" s="19"/>
      <c r="D501" s="86"/>
      <c r="E501" s="86"/>
      <c r="F501" s="86"/>
      <c r="G501" s="86"/>
      <c r="H501" s="86"/>
    </row>
    <row r="502" spans="1:8" ht="15.75">
      <c r="A502" s="19"/>
      <c r="D502" s="86"/>
      <c r="E502" s="86"/>
      <c r="F502" s="86"/>
      <c r="G502" s="86"/>
      <c r="H502" s="86"/>
    </row>
    <row r="503" spans="1:8" ht="15.75">
      <c r="A503" s="19"/>
      <c r="D503" s="86"/>
      <c r="E503" s="86"/>
      <c r="F503" s="86"/>
      <c r="G503" s="86"/>
      <c r="H503" s="86"/>
    </row>
    <row r="504" spans="1:8" ht="15.75">
      <c r="A504" s="19"/>
      <c r="D504" s="86"/>
      <c r="E504" s="86"/>
      <c r="F504" s="86"/>
      <c r="G504" s="86"/>
      <c r="H504" s="86"/>
    </row>
    <row r="505" spans="1:8" ht="15.75">
      <c r="A505" s="19"/>
      <c r="D505" s="86"/>
      <c r="E505" s="86"/>
      <c r="F505" s="86"/>
      <c r="G505" s="86"/>
      <c r="H505" s="86"/>
    </row>
    <row r="506" spans="1:8" ht="15.75">
      <c r="A506" s="19"/>
      <c r="D506" s="86"/>
      <c r="E506" s="86"/>
      <c r="F506" s="86"/>
      <c r="G506" s="86"/>
      <c r="H506" s="86"/>
    </row>
    <row r="507" spans="1:8" ht="15.75">
      <c r="A507" s="19"/>
      <c r="D507" s="86"/>
      <c r="E507" s="86"/>
      <c r="F507" s="86"/>
      <c r="G507" s="86"/>
      <c r="H507" s="86"/>
    </row>
    <row r="508" spans="1:8" ht="15.75">
      <c r="A508" s="19"/>
      <c r="D508" s="86"/>
      <c r="E508" s="86"/>
      <c r="F508" s="86"/>
      <c r="G508" s="86"/>
      <c r="H508" s="86"/>
    </row>
    <row r="509" spans="1:8" ht="15.75">
      <c r="A509" s="19"/>
      <c r="D509" s="86"/>
      <c r="E509" s="86"/>
      <c r="F509" s="86"/>
      <c r="G509" s="86"/>
      <c r="H509" s="86"/>
    </row>
    <row r="510" spans="1:8" ht="15.75">
      <c r="A510" s="19"/>
      <c r="D510" s="86"/>
      <c r="E510" s="86"/>
      <c r="F510" s="86"/>
      <c r="G510" s="86"/>
      <c r="H510" s="86"/>
    </row>
    <row r="511" spans="1:8" ht="15.75">
      <c r="A511" s="19"/>
      <c r="D511" s="86"/>
      <c r="E511" s="86"/>
      <c r="F511" s="86"/>
      <c r="G511" s="86"/>
      <c r="H511" s="86"/>
    </row>
    <row r="512" spans="1:8" ht="15.75">
      <c r="A512" s="19"/>
      <c r="D512" s="86"/>
      <c r="E512" s="86"/>
      <c r="F512" s="86"/>
      <c r="G512" s="86"/>
      <c r="H512" s="86"/>
    </row>
    <row r="513" spans="1:8" ht="15.75">
      <c r="A513" s="19"/>
      <c r="D513" s="86"/>
      <c r="E513" s="86"/>
      <c r="F513" s="86"/>
      <c r="G513" s="86"/>
      <c r="H513" s="86"/>
    </row>
    <row r="514" spans="1:8" ht="15.75">
      <c r="A514" s="19"/>
      <c r="D514" s="86"/>
      <c r="E514" s="86"/>
      <c r="F514" s="86"/>
      <c r="G514" s="86"/>
      <c r="H514" s="86"/>
    </row>
    <row r="515" spans="1:8" ht="15.75">
      <c r="A515" s="19"/>
      <c r="D515" s="86"/>
      <c r="E515" s="86"/>
      <c r="F515" s="86"/>
      <c r="G515" s="86"/>
      <c r="H515" s="86"/>
    </row>
    <row r="516" spans="1:8" ht="15.75">
      <c r="A516" s="19"/>
      <c r="D516" s="86"/>
      <c r="E516" s="86"/>
      <c r="F516" s="86"/>
      <c r="G516" s="86"/>
      <c r="H516" s="86"/>
    </row>
    <row r="517" spans="1:8" ht="15.75">
      <c r="A517" s="19"/>
      <c r="D517" s="86"/>
      <c r="E517" s="86"/>
      <c r="F517" s="86"/>
      <c r="G517" s="86"/>
      <c r="H517" s="86"/>
    </row>
    <row r="518" spans="1:8" ht="15.75">
      <c r="A518" s="19"/>
      <c r="D518" s="86"/>
      <c r="E518" s="86"/>
      <c r="F518" s="86"/>
      <c r="G518" s="86"/>
      <c r="H518" s="86"/>
    </row>
    <row r="519" spans="1:8" ht="15.75">
      <c r="A519" s="19"/>
      <c r="D519" s="86"/>
      <c r="E519" s="86"/>
      <c r="F519" s="86"/>
      <c r="G519" s="86"/>
      <c r="H519" s="86"/>
    </row>
    <row r="520" spans="1:8" ht="15.75">
      <c r="A520" s="19"/>
      <c r="D520" s="86"/>
      <c r="E520" s="86"/>
      <c r="F520" s="86"/>
      <c r="G520" s="86"/>
      <c r="H520" s="86"/>
    </row>
    <row r="521" spans="1:8" ht="15.75">
      <c r="A521" s="19"/>
      <c r="D521" s="86"/>
      <c r="E521" s="86"/>
      <c r="F521" s="86"/>
      <c r="G521" s="86"/>
      <c r="H521" s="86"/>
    </row>
    <row r="522" spans="1:8" ht="15.75">
      <c r="A522" s="19"/>
      <c r="D522" s="86"/>
      <c r="E522" s="86"/>
      <c r="F522" s="86"/>
      <c r="G522" s="86"/>
      <c r="H522" s="86"/>
    </row>
    <row r="523" spans="1:8" ht="15.75">
      <c r="A523" s="19"/>
      <c r="D523" s="86"/>
      <c r="E523" s="86"/>
      <c r="F523" s="86"/>
      <c r="G523" s="86"/>
      <c r="H523" s="86"/>
    </row>
    <row r="524" spans="1:8" ht="15.75">
      <c r="A524" s="19"/>
      <c r="D524" s="86"/>
      <c r="E524" s="86"/>
      <c r="F524" s="86"/>
      <c r="G524" s="86"/>
      <c r="H524" s="86"/>
    </row>
    <row r="525" spans="1:8" ht="15.75">
      <c r="A525" s="19"/>
      <c r="D525" s="86"/>
      <c r="E525" s="86"/>
      <c r="F525" s="86"/>
      <c r="G525" s="86"/>
      <c r="H525" s="86"/>
    </row>
    <row r="526" spans="1:8" ht="15.75">
      <c r="A526" s="19"/>
      <c r="D526" s="86"/>
      <c r="E526" s="86"/>
      <c r="F526" s="86"/>
      <c r="G526" s="86"/>
      <c r="H526" s="86"/>
    </row>
    <row r="527" spans="1:8" ht="15.75">
      <c r="A527" s="19"/>
      <c r="D527" s="86"/>
      <c r="E527" s="86"/>
      <c r="F527" s="86"/>
      <c r="G527" s="86"/>
      <c r="H527" s="86"/>
    </row>
    <row r="528" spans="1:8" ht="15.75">
      <c r="A528" s="19"/>
      <c r="D528" s="86"/>
      <c r="E528" s="86"/>
      <c r="F528" s="86"/>
      <c r="G528" s="86"/>
      <c r="H528" s="86"/>
    </row>
    <row r="529" spans="1:8" ht="15.75">
      <c r="A529" s="19"/>
      <c r="D529" s="86"/>
      <c r="E529" s="86"/>
      <c r="F529" s="86"/>
      <c r="G529" s="86"/>
      <c r="H529" s="86"/>
    </row>
    <row r="530" spans="1:8" ht="15.75">
      <c r="A530" s="19"/>
      <c r="D530" s="86"/>
      <c r="E530" s="86"/>
      <c r="F530" s="86"/>
      <c r="G530" s="86"/>
      <c r="H530" s="86"/>
    </row>
    <row r="531" spans="1:8" ht="15.75">
      <c r="A531" s="19"/>
      <c r="D531" s="86"/>
      <c r="E531" s="86"/>
      <c r="F531" s="86"/>
      <c r="G531" s="86"/>
      <c r="H531" s="86"/>
    </row>
    <row r="532" spans="1:8" ht="15.75">
      <c r="A532" s="19"/>
      <c r="D532" s="86"/>
      <c r="E532" s="86"/>
      <c r="F532" s="86"/>
      <c r="G532" s="86"/>
      <c r="H532" s="86"/>
    </row>
    <row r="533" spans="1:8" ht="15.75">
      <c r="A533" s="19"/>
      <c r="D533" s="86"/>
      <c r="E533" s="86"/>
      <c r="F533" s="86"/>
      <c r="G533" s="86"/>
      <c r="H533" s="86"/>
    </row>
    <row r="534" spans="1:8" ht="15.75">
      <c r="A534" s="19"/>
      <c r="D534" s="86"/>
      <c r="E534" s="86"/>
      <c r="F534" s="86"/>
      <c r="G534" s="86"/>
      <c r="H534" s="86"/>
    </row>
    <row r="535" spans="1:8" ht="15.75">
      <c r="A535" s="19"/>
      <c r="D535" s="86"/>
      <c r="E535" s="86"/>
      <c r="F535" s="86"/>
      <c r="G535" s="86"/>
      <c r="H535" s="86"/>
    </row>
    <row r="536" spans="1:8" ht="15.75">
      <c r="A536" s="19"/>
      <c r="D536" s="86"/>
      <c r="E536" s="86"/>
      <c r="F536" s="86"/>
      <c r="G536" s="86"/>
      <c r="H536" s="86"/>
    </row>
    <row r="537" spans="1:8" ht="15.75">
      <c r="A537" s="19"/>
      <c r="D537" s="86"/>
      <c r="E537" s="86"/>
      <c r="F537" s="86"/>
      <c r="G537" s="86"/>
      <c r="H537" s="86"/>
    </row>
    <row r="538" spans="1:8" ht="15.75">
      <c r="A538" s="19"/>
      <c r="D538" s="86"/>
      <c r="E538" s="86"/>
      <c r="F538" s="86"/>
      <c r="G538" s="86"/>
      <c r="H538" s="86"/>
    </row>
    <row r="539" spans="1:8" ht="15.75">
      <c r="A539" s="19"/>
      <c r="D539" s="86"/>
      <c r="E539" s="86"/>
      <c r="F539" s="86"/>
      <c r="G539" s="86"/>
      <c r="H539" s="86"/>
    </row>
    <row r="540" spans="1:8" ht="15.75">
      <c r="A540" s="19"/>
      <c r="D540" s="86"/>
      <c r="E540" s="86"/>
      <c r="F540" s="86"/>
      <c r="G540" s="86"/>
      <c r="H540" s="86"/>
    </row>
    <row r="541" spans="1:8" ht="15.75">
      <c r="A541" s="19"/>
      <c r="D541" s="86"/>
      <c r="E541" s="86"/>
      <c r="F541" s="86"/>
      <c r="G541" s="86"/>
      <c r="H541" s="86"/>
    </row>
    <row r="542" spans="1:8" ht="15.75">
      <c r="A542" s="19"/>
      <c r="D542" s="86"/>
      <c r="E542" s="86"/>
      <c r="F542" s="86"/>
      <c r="G542" s="86"/>
      <c r="H542" s="86"/>
    </row>
    <row r="543" spans="1:8" ht="15.75">
      <c r="A543" s="19"/>
      <c r="D543" s="86"/>
      <c r="E543" s="86"/>
      <c r="F543" s="86"/>
      <c r="G543" s="86"/>
      <c r="H543" s="86"/>
    </row>
    <row r="544" spans="1:8" ht="15.75">
      <c r="A544" s="19"/>
      <c r="D544" s="86"/>
      <c r="E544" s="86"/>
      <c r="F544" s="86"/>
      <c r="G544" s="86"/>
      <c r="H544" s="86"/>
    </row>
    <row r="545" spans="1:8" ht="15.75">
      <c r="A545" s="19"/>
      <c r="D545" s="86"/>
      <c r="E545" s="86"/>
      <c r="F545" s="86"/>
      <c r="G545" s="86"/>
      <c r="H545" s="86"/>
    </row>
    <row r="546" spans="1:8" ht="15.75">
      <c r="A546" s="19"/>
      <c r="D546" s="86"/>
      <c r="E546" s="86"/>
      <c r="F546" s="86"/>
      <c r="G546" s="86"/>
      <c r="H546" s="86"/>
    </row>
    <row r="547" spans="1:8" ht="15.75">
      <c r="A547" s="19"/>
      <c r="D547" s="86"/>
      <c r="E547" s="86"/>
      <c r="F547" s="86"/>
      <c r="G547" s="86"/>
      <c r="H547" s="86"/>
    </row>
    <row r="548" spans="1:8" ht="15.75">
      <c r="A548" s="19"/>
      <c r="D548" s="86"/>
      <c r="E548" s="86"/>
      <c r="F548" s="86"/>
      <c r="G548" s="86"/>
      <c r="H548" s="86"/>
    </row>
    <row r="549" spans="1:8" ht="15.75">
      <c r="A549" s="19"/>
      <c r="D549" s="86"/>
      <c r="E549" s="86"/>
      <c r="F549" s="86"/>
      <c r="G549" s="86"/>
      <c r="H549" s="86"/>
    </row>
    <row r="550" spans="1:8" ht="15.75">
      <c r="A550" s="19"/>
      <c r="D550" s="86"/>
      <c r="E550" s="86"/>
      <c r="F550" s="86"/>
      <c r="G550" s="86"/>
      <c r="H550" s="86"/>
    </row>
    <row r="551" spans="1:8" ht="15.75">
      <c r="A551" s="19"/>
      <c r="D551" s="86"/>
      <c r="E551" s="86"/>
      <c r="F551" s="86"/>
      <c r="G551" s="86"/>
      <c r="H551" s="86"/>
    </row>
    <row r="552" spans="1:8" ht="15.75">
      <c r="A552" s="19"/>
      <c r="D552" s="86"/>
      <c r="E552" s="86"/>
      <c r="F552" s="86"/>
      <c r="G552" s="86"/>
      <c r="H552" s="86"/>
    </row>
    <row r="553" spans="1:8" ht="15.75">
      <c r="A553" s="19"/>
      <c r="D553" s="86"/>
      <c r="E553" s="86"/>
      <c r="F553" s="86"/>
      <c r="G553" s="86"/>
      <c r="H553" s="86"/>
    </row>
    <row r="554" spans="1:8" ht="15.75">
      <c r="A554" s="19"/>
      <c r="D554" s="86"/>
      <c r="E554" s="86"/>
      <c r="F554" s="86"/>
      <c r="G554" s="86"/>
      <c r="H554" s="86"/>
    </row>
    <row r="555" spans="1:8" ht="15.75">
      <c r="A555" s="19"/>
      <c r="D555" s="86"/>
      <c r="E555" s="86"/>
      <c r="F555" s="86"/>
      <c r="G555" s="86"/>
      <c r="H555" s="86"/>
    </row>
    <row r="556" spans="1:8" ht="15.75">
      <c r="A556" s="19"/>
      <c r="D556" s="86"/>
      <c r="E556" s="86"/>
      <c r="F556" s="86"/>
      <c r="G556" s="86"/>
      <c r="H556" s="86"/>
    </row>
    <row r="557" spans="1:8" ht="15.75">
      <c r="A557" s="19"/>
      <c r="D557" s="86"/>
      <c r="E557" s="86"/>
      <c r="F557" s="86"/>
      <c r="G557" s="86"/>
      <c r="H557" s="86"/>
    </row>
    <row r="558" spans="1:8" ht="15.75">
      <c r="A558" s="19"/>
      <c r="D558" s="86"/>
      <c r="E558" s="86"/>
      <c r="F558" s="86"/>
      <c r="G558" s="86"/>
      <c r="H558" s="86"/>
    </row>
    <row r="559" spans="1:8" ht="15.75">
      <c r="A559" s="19"/>
      <c r="D559" s="86"/>
      <c r="E559" s="86"/>
      <c r="F559" s="86"/>
      <c r="G559" s="86"/>
      <c r="H559" s="86"/>
    </row>
    <row r="560" spans="1:8" ht="15.75">
      <c r="A560" s="19"/>
      <c r="D560" s="86"/>
      <c r="E560" s="86"/>
      <c r="F560" s="86"/>
      <c r="G560" s="86"/>
      <c r="H560" s="86"/>
    </row>
    <row r="561" spans="1:8" ht="15.75">
      <c r="A561" s="19"/>
      <c r="D561" s="86"/>
      <c r="E561" s="86"/>
      <c r="F561" s="86"/>
      <c r="G561" s="86"/>
      <c r="H561" s="86"/>
    </row>
    <row r="562" spans="1:8" ht="15.75">
      <c r="A562" s="19"/>
      <c r="D562" s="86"/>
      <c r="E562" s="86"/>
      <c r="F562" s="86"/>
      <c r="G562" s="86"/>
      <c r="H562" s="86"/>
    </row>
    <row r="563" spans="1:8" ht="15.75">
      <c r="A563" s="19"/>
      <c r="D563" s="86"/>
      <c r="E563" s="86"/>
      <c r="F563" s="86"/>
      <c r="G563" s="86"/>
      <c r="H563" s="86"/>
    </row>
    <row r="564" spans="1:8" ht="15.75">
      <c r="A564" s="19"/>
      <c r="D564" s="86"/>
      <c r="E564" s="86"/>
      <c r="F564" s="86"/>
      <c r="G564" s="86"/>
      <c r="H564" s="86"/>
    </row>
    <row r="565" spans="1:8" ht="15.75">
      <c r="A565" s="19"/>
      <c r="D565" s="86"/>
      <c r="E565" s="86"/>
      <c r="F565" s="86"/>
      <c r="G565" s="86"/>
      <c r="H565" s="86"/>
    </row>
    <row r="566" spans="1:8" ht="15.75">
      <c r="A566" s="19"/>
      <c r="D566" s="86"/>
      <c r="E566" s="86"/>
      <c r="F566" s="86"/>
      <c r="G566" s="86"/>
      <c r="H566" s="86"/>
    </row>
    <row r="567" spans="1:8" ht="15.75">
      <c r="A567" s="19"/>
      <c r="D567" s="86"/>
      <c r="E567" s="86"/>
      <c r="F567" s="86"/>
      <c r="G567" s="86"/>
      <c r="H567" s="86"/>
    </row>
    <row r="568" spans="1:8" ht="15.75">
      <c r="A568" s="19"/>
      <c r="D568" s="86"/>
      <c r="E568" s="86"/>
      <c r="F568" s="86"/>
      <c r="G568" s="86"/>
      <c r="H568" s="86"/>
    </row>
    <row r="569" spans="1:8" ht="15.75">
      <c r="A569" s="19"/>
      <c r="D569" s="86"/>
      <c r="E569" s="86"/>
      <c r="F569" s="86"/>
      <c r="G569" s="86"/>
      <c r="H569" s="86"/>
    </row>
    <row r="570" spans="1:8" ht="15.75">
      <c r="A570" s="19"/>
      <c r="D570" s="86"/>
      <c r="E570" s="86"/>
      <c r="F570" s="86"/>
      <c r="G570" s="86"/>
      <c r="H570" s="86"/>
    </row>
    <row r="571" spans="1:8" ht="15.75">
      <c r="A571" s="19"/>
      <c r="D571" s="86"/>
      <c r="E571" s="86"/>
      <c r="F571" s="86"/>
      <c r="G571" s="86"/>
      <c r="H571" s="86"/>
    </row>
    <row r="572" spans="1:8" ht="15.75">
      <c r="A572" s="19"/>
      <c r="D572" s="86"/>
      <c r="E572" s="86"/>
      <c r="F572" s="86"/>
      <c r="G572" s="86"/>
      <c r="H572" s="86"/>
    </row>
    <row r="573" spans="1:8" ht="15.75">
      <c r="A573" s="19"/>
      <c r="D573" s="86"/>
      <c r="E573" s="86"/>
      <c r="F573" s="86"/>
      <c r="G573" s="86"/>
      <c r="H573" s="86"/>
    </row>
    <row r="574" spans="1:8" ht="15.75">
      <c r="A574" s="19"/>
      <c r="D574" s="86"/>
      <c r="E574" s="86"/>
      <c r="F574" s="86"/>
      <c r="G574" s="86"/>
      <c r="H574" s="86"/>
    </row>
    <row r="575" spans="1:8" ht="15.75">
      <c r="A575" s="19"/>
      <c r="D575" s="86"/>
      <c r="E575" s="86"/>
      <c r="F575" s="86"/>
      <c r="G575" s="86"/>
      <c r="H575" s="86"/>
    </row>
    <row r="576" spans="1:8" ht="15.75">
      <c r="A576" s="19"/>
      <c r="D576" s="86"/>
      <c r="E576" s="86"/>
      <c r="F576" s="86"/>
      <c r="G576" s="86"/>
      <c r="H576" s="86"/>
    </row>
    <row r="577" spans="1:8" ht="15.75">
      <c r="A577" s="19"/>
      <c r="D577" s="86"/>
      <c r="E577" s="86"/>
      <c r="F577" s="86"/>
      <c r="G577" s="86"/>
      <c r="H577" s="86"/>
    </row>
    <row r="578" spans="1:8" ht="15.75">
      <c r="A578" s="19"/>
      <c r="D578" s="86"/>
      <c r="E578" s="86"/>
      <c r="F578" s="86"/>
      <c r="G578" s="86"/>
      <c r="H578" s="86"/>
    </row>
    <row r="579" spans="1:8" ht="15.75">
      <c r="A579" s="19"/>
      <c r="D579" s="86"/>
      <c r="E579" s="86"/>
      <c r="F579" s="86"/>
      <c r="G579" s="86"/>
      <c r="H579" s="86"/>
    </row>
    <row r="580" spans="1:8" ht="15.75">
      <c r="A580" s="19"/>
      <c r="D580" s="86"/>
      <c r="E580" s="86"/>
      <c r="F580" s="86"/>
      <c r="G580" s="86"/>
      <c r="H580" s="86"/>
    </row>
    <row r="581" spans="1:8" ht="15.75">
      <c r="A581" s="19"/>
      <c r="D581" s="86"/>
      <c r="E581" s="86"/>
      <c r="F581" s="86"/>
      <c r="G581" s="86"/>
      <c r="H581" s="86"/>
    </row>
    <row r="582" spans="1:8" ht="15.75">
      <c r="A582" s="19"/>
      <c r="D582" s="86"/>
      <c r="E582" s="86"/>
      <c r="F582" s="86"/>
      <c r="G582" s="86"/>
      <c r="H582" s="86"/>
    </row>
    <row r="583" spans="1:8" ht="15.75">
      <c r="A583" s="19"/>
      <c r="D583" s="86"/>
      <c r="E583" s="86"/>
      <c r="F583" s="86"/>
      <c r="G583" s="86"/>
      <c r="H583" s="86"/>
    </row>
    <row r="584" spans="1:8" ht="15.75">
      <c r="A584" s="19"/>
      <c r="D584" s="86"/>
      <c r="E584" s="86"/>
      <c r="F584" s="86"/>
      <c r="G584" s="86"/>
      <c r="H584" s="86"/>
    </row>
    <row r="585" spans="1:8" ht="15.75">
      <c r="A585" s="19"/>
      <c r="D585" s="86"/>
      <c r="E585" s="86"/>
      <c r="F585" s="86"/>
      <c r="G585" s="86"/>
      <c r="H585" s="86"/>
    </row>
    <row r="586" spans="1:8" ht="15.75">
      <c r="A586" s="19"/>
      <c r="D586" s="86"/>
      <c r="E586" s="86"/>
      <c r="F586" s="86"/>
      <c r="G586" s="86"/>
      <c r="H586" s="86"/>
    </row>
    <row r="587" spans="1:8" ht="15.75">
      <c r="A587" s="19"/>
      <c r="D587" s="86"/>
      <c r="E587" s="86"/>
      <c r="F587" s="86"/>
      <c r="G587" s="86"/>
      <c r="H587" s="86"/>
    </row>
    <row r="588" spans="1:8" ht="15.75">
      <c r="A588" s="19"/>
      <c r="D588" s="86"/>
      <c r="E588" s="86"/>
      <c r="F588" s="86"/>
      <c r="G588" s="86"/>
      <c r="H588" s="86"/>
    </row>
    <row r="589" spans="1:8" ht="15.75">
      <c r="A589" s="19"/>
      <c r="D589" s="86"/>
      <c r="E589" s="86"/>
      <c r="F589" s="86"/>
      <c r="G589" s="86"/>
      <c r="H589" s="86"/>
    </row>
    <row r="590" spans="1:8" ht="15.75">
      <c r="A590" s="19"/>
      <c r="D590" s="86"/>
      <c r="E590" s="86"/>
      <c r="F590" s="86"/>
      <c r="G590" s="86"/>
      <c r="H590" s="86"/>
    </row>
    <row r="591" spans="1:8" ht="15.75">
      <c r="A591" s="19"/>
      <c r="D591" s="86"/>
      <c r="E591" s="86"/>
      <c r="F591" s="86"/>
      <c r="G591" s="86"/>
      <c r="H591" s="86"/>
    </row>
    <row r="592" spans="1:8" ht="15.75">
      <c r="A592" s="19"/>
      <c r="D592" s="86"/>
      <c r="E592" s="86"/>
      <c r="F592" s="86"/>
      <c r="G592" s="86"/>
      <c r="H592" s="86"/>
    </row>
    <row r="593" spans="1:8" ht="15.75">
      <c r="A593" s="19"/>
      <c r="D593" s="86"/>
      <c r="E593" s="86"/>
      <c r="F593" s="86"/>
      <c r="G593" s="86"/>
      <c r="H593" s="86"/>
    </row>
    <row r="594" spans="1:8" ht="15.75">
      <c r="A594" s="19"/>
      <c r="D594" s="86"/>
      <c r="E594" s="86"/>
      <c r="F594" s="86"/>
      <c r="G594" s="86"/>
      <c r="H594" s="86"/>
    </row>
    <row r="595" spans="1:8" ht="15.75">
      <c r="A595" s="19"/>
      <c r="D595" s="86"/>
      <c r="E595" s="86"/>
      <c r="F595" s="86"/>
      <c r="G595" s="86"/>
      <c r="H595" s="86"/>
    </row>
    <row r="596" spans="1:8" ht="15.75">
      <c r="A596" s="19"/>
      <c r="D596" s="86"/>
      <c r="E596" s="86"/>
      <c r="F596" s="86"/>
      <c r="G596" s="86"/>
      <c r="H596" s="86"/>
    </row>
    <row r="597" spans="1:8" ht="15.75">
      <c r="A597" s="19"/>
      <c r="D597" s="86"/>
      <c r="E597" s="86"/>
      <c r="F597" s="86"/>
      <c r="G597" s="86"/>
      <c r="H597" s="86"/>
    </row>
    <row r="598" spans="1:8" ht="15.75">
      <c r="A598" s="19"/>
      <c r="D598" s="86"/>
      <c r="E598" s="86"/>
      <c r="F598" s="86"/>
      <c r="G598" s="86"/>
      <c r="H598" s="86"/>
    </row>
    <row r="599" spans="1:8" ht="15.75">
      <c r="A599" s="19"/>
      <c r="D599" s="86"/>
      <c r="E599" s="86"/>
      <c r="F599" s="86"/>
      <c r="G599" s="86"/>
      <c r="H599" s="86"/>
    </row>
    <row r="600" spans="1:8" ht="15.75">
      <c r="A600" s="19"/>
      <c r="D600" s="86"/>
      <c r="E600" s="86"/>
      <c r="F600" s="86"/>
      <c r="G600" s="86"/>
      <c r="H600" s="86"/>
    </row>
    <row r="601" spans="1:8" ht="15.75">
      <c r="A601" s="19"/>
      <c r="D601" s="86"/>
      <c r="E601" s="86"/>
      <c r="F601" s="86"/>
      <c r="G601" s="86"/>
      <c r="H601" s="86"/>
    </row>
    <row r="602" spans="1:8" ht="15.75">
      <c r="A602" s="19"/>
      <c r="D602" s="86"/>
      <c r="E602" s="86"/>
      <c r="F602" s="86"/>
      <c r="G602" s="86"/>
      <c r="H602" s="86"/>
    </row>
    <row r="603" spans="1:8" ht="15.75">
      <c r="A603" s="19"/>
      <c r="D603" s="86"/>
      <c r="E603" s="86"/>
      <c r="F603" s="86"/>
      <c r="G603" s="86"/>
      <c r="H603" s="86"/>
    </row>
    <row r="604" spans="1:8" ht="15.75">
      <c r="A604" s="19"/>
      <c r="D604" s="86"/>
      <c r="E604" s="86"/>
      <c r="F604" s="86"/>
      <c r="G604" s="86"/>
      <c r="H604" s="86"/>
    </row>
    <row r="605" spans="1:8" ht="15.75">
      <c r="A605" s="19"/>
      <c r="D605" s="86"/>
      <c r="E605" s="86"/>
      <c r="F605" s="86"/>
      <c r="G605" s="86"/>
      <c r="H605" s="86"/>
    </row>
    <row r="606" spans="1:8" ht="15.75">
      <c r="A606" s="19"/>
      <c r="D606" s="86"/>
      <c r="E606" s="86"/>
      <c r="F606" s="86"/>
      <c r="G606" s="86"/>
      <c r="H606" s="86"/>
    </row>
    <row r="607" spans="1:8" ht="15.75">
      <c r="A607" s="19"/>
      <c r="D607" s="86"/>
      <c r="E607" s="86"/>
      <c r="F607" s="86"/>
      <c r="G607" s="86"/>
      <c r="H607" s="86"/>
    </row>
    <row r="608" spans="1:8" ht="15.75">
      <c r="A608" s="19"/>
      <c r="D608" s="86"/>
      <c r="E608" s="86"/>
      <c r="F608" s="86"/>
      <c r="G608" s="86"/>
      <c r="H608" s="86"/>
    </row>
    <row r="609" spans="1:8" ht="15.75">
      <c r="A609" s="19"/>
      <c r="D609" s="86"/>
      <c r="E609" s="86"/>
      <c r="F609" s="86"/>
      <c r="G609" s="86"/>
      <c r="H609" s="86"/>
    </row>
    <row r="610" spans="1:8" ht="15.75">
      <c r="A610" s="19"/>
      <c r="D610" s="86"/>
      <c r="E610" s="86"/>
      <c r="F610" s="86"/>
      <c r="G610" s="86"/>
      <c r="H610" s="86"/>
    </row>
    <row r="611" spans="1:8" ht="15.75">
      <c r="A611" s="19"/>
      <c r="D611" s="86"/>
      <c r="E611" s="86"/>
      <c r="F611" s="86"/>
      <c r="G611" s="86"/>
      <c r="H611" s="86"/>
    </row>
    <row r="612" spans="1:8" ht="15.75">
      <c r="A612" s="19"/>
      <c r="D612" s="86"/>
      <c r="E612" s="86"/>
      <c r="F612" s="86"/>
      <c r="G612" s="86"/>
      <c r="H612" s="86"/>
    </row>
    <row r="613" spans="1:8" ht="15.75">
      <c r="A613" s="19"/>
      <c r="D613" s="86"/>
      <c r="E613" s="86"/>
      <c r="F613" s="86"/>
      <c r="G613" s="86"/>
      <c r="H613" s="86"/>
    </row>
    <row r="614" spans="1:8" ht="15.75">
      <c r="A614" s="19"/>
      <c r="D614" s="86"/>
      <c r="E614" s="86"/>
      <c r="F614" s="86"/>
      <c r="G614" s="86"/>
      <c r="H614" s="86"/>
    </row>
    <row r="615" spans="1:8" ht="15.75">
      <c r="A615" s="19"/>
      <c r="D615" s="86"/>
      <c r="E615" s="86"/>
      <c r="F615" s="86"/>
      <c r="G615" s="86"/>
      <c r="H615" s="86"/>
    </row>
    <row r="616" spans="1:8" ht="15.75">
      <c r="A616" s="19"/>
      <c r="D616" s="86"/>
      <c r="E616" s="86"/>
      <c r="F616" s="86"/>
      <c r="G616" s="86"/>
      <c r="H616" s="86"/>
    </row>
    <row r="617" spans="1:8" ht="15.75">
      <c r="A617" s="19"/>
      <c r="D617" s="86"/>
      <c r="E617" s="86"/>
      <c r="F617" s="86"/>
      <c r="G617" s="86"/>
      <c r="H617" s="86"/>
    </row>
    <row r="618" spans="1:8" ht="15.75">
      <c r="A618" s="19"/>
      <c r="D618" s="86"/>
      <c r="E618" s="86"/>
      <c r="F618" s="86"/>
      <c r="G618" s="86"/>
      <c r="H618" s="86"/>
    </row>
    <row r="619" spans="1:8" ht="15.75">
      <c r="A619" s="19"/>
      <c r="D619" s="86"/>
      <c r="E619" s="86"/>
      <c r="F619" s="86"/>
      <c r="G619" s="86"/>
      <c r="H619" s="86"/>
    </row>
    <row r="620" spans="1:8" ht="15.75">
      <c r="A620" s="19"/>
      <c r="D620" s="86"/>
      <c r="E620" s="86"/>
      <c r="F620" s="86"/>
      <c r="G620" s="86"/>
      <c r="H620" s="86"/>
    </row>
    <row r="621" spans="1:8" ht="15.75">
      <c r="A621" s="19"/>
      <c r="D621" s="86"/>
      <c r="E621" s="86"/>
      <c r="F621" s="86"/>
      <c r="G621" s="86"/>
      <c r="H621" s="86"/>
    </row>
    <row r="622" spans="1:8" ht="15.75">
      <c r="A622" s="19"/>
      <c r="D622" s="86"/>
      <c r="E622" s="86"/>
      <c r="F622" s="86"/>
      <c r="G622" s="86"/>
      <c r="H622" s="86"/>
    </row>
    <row r="623" spans="1:8" ht="15.75">
      <c r="A623" s="19"/>
      <c r="D623" s="86"/>
      <c r="E623" s="86"/>
      <c r="F623" s="86"/>
      <c r="G623" s="86"/>
      <c r="H623" s="86"/>
    </row>
    <row r="624" spans="1:8" ht="15.75">
      <c r="A624" s="19"/>
      <c r="D624" s="86"/>
      <c r="E624" s="86"/>
      <c r="F624" s="86"/>
      <c r="G624" s="86"/>
      <c r="H624" s="86"/>
    </row>
    <row r="625" spans="1:8" ht="15.75">
      <c r="A625" s="19"/>
      <c r="D625" s="86"/>
      <c r="E625" s="86"/>
      <c r="F625" s="86"/>
      <c r="G625" s="86"/>
      <c r="H625" s="86"/>
    </row>
    <row r="626" spans="1:8" ht="15.75">
      <c r="A626" s="19"/>
      <c r="D626" s="86"/>
      <c r="E626" s="86"/>
      <c r="F626" s="86"/>
      <c r="G626" s="86"/>
      <c r="H626" s="86"/>
    </row>
    <row r="627" spans="1:8" ht="15.75">
      <c r="A627" s="19"/>
      <c r="D627" s="86"/>
      <c r="E627" s="86"/>
      <c r="F627" s="86"/>
      <c r="G627" s="86"/>
      <c r="H627" s="86"/>
    </row>
    <row r="628" spans="1:8" ht="15.75">
      <c r="A628" s="19"/>
      <c r="D628" s="86"/>
      <c r="E628" s="86"/>
      <c r="F628" s="86"/>
      <c r="G628" s="86"/>
      <c r="H628" s="86"/>
    </row>
    <row r="629" spans="1:8" ht="15.75">
      <c r="A629" s="19"/>
      <c r="D629" s="86"/>
      <c r="E629" s="86"/>
      <c r="F629" s="86"/>
      <c r="G629" s="86"/>
      <c r="H629" s="86"/>
    </row>
    <row r="630" spans="1:8" ht="15.75">
      <c r="A630" s="19"/>
      <c r="D630" s="86"/>
      <c r="E630" s="86"/>
      <c r="F630" s="86"/>
      <c r="G630" s="86"/>
      <c r="H630" s="86"/>
    </row>
    <row r="631" spans="1:8" ht="15.75">
      <c r="A631" s="19"/>
      <c r="D631" s="86"/>
      <c r="E631" s="86"/>
      <c r="F631" s="86"/>
      <c r="G631" s="86"/>
      <c r="H631" s="86"/>
    </row>
    <row r="632" spans="1:8" ht="15.75">
      <c r="A632" s="19"/>
      <c r="D632" s="86"/>
      <c r="E632" s="86"/>
      <c r="F632" s="86"/>
      <c r="G632" s="86"/>
      <c r="H632" s="86"/>
    </row>
    <row r="633" spans="1:8" ht="15.75">
      <c r="A633" s="19"/>
      <c r="D633" s="86"/>
      <c r="E633" s="86"/>
      <c r="F633" s="86"/>
      <c r="G633" s="86"/>
      <c r="H633" s="86"/>
    </row>
    <row r="634" spans="1:8" ht="15.75">
      <c r="A634" s="19"/>
      <c r="D634" s="86"/>
      <c r="E634" s="86"/>
      <c r="F634" s="86"/>
      <c r="G634" s="86"/>
      <c r="H634" s="86"/>
    </row>
    <row r="635" spans="1:8" ht="15.75">
      <c r="A635" s="19"/>
      <c r="D635" s="86"/>
      <c r="E635" s="86"/>
      <c r="F635" s="86"/>
      <c r="G635" s="86"/>
      <c r="H635" s="86"/>
    </row>
    <row r="636" spans="1:8" ht="15.75">
      <c r="A636" s="19"/>
      <c r="D636" s="86"/>
      <c r="E636" s="86"/>
      <c r="F636" s="86"/>
      <c r="G636" s="86"/>
      <c r="H636" s="86"/>
    </row>
    <row r="637" spans="1:8" ht="15.75">
      <c r="A637" s="19"/>
      <c r="D637" s="86"/>
      <c r="E637" s="86"/>
      <c r="F637" s="86"/>
      <c r="G637" s="86"/>
      <c r="H637" s="86"/>
    </row>
    <row r="638" spans="1:8" ht="15.75">
      <c r="A638" s="19"/>
      <c r="D638" s="86"/>
      <c r="E638" s="86"/>
      <c r="F638" s="86"/>
      <c r="G638" s="86"/>
      <c r="H638" s="86"/>
    </row>
    <row r="639" spans="1:8" ht="15.75">
      <c r="A639" s="19"/>
      <c r="D639" s="86"/>
      <c r="E639" s="86"/>
      <c r="F639" s="86"/>
      <c r="G639" s="86"/>
      <c r="H639" s="86"/>
    </row>
    <row r="640" spans="1:8" ht="15.75">
      <c r="A640" s="19"/>
      <c r="D640" s="86"/>
      <c r="E640" s="86"/>
      <c r="F640" s="86"/>
      <c r="G640" s="86"/>
      <c r="H640" s="86"/>
    </row>
    <row r="641" spans="1:8" ht="15.75">
      <c r="A641" s="19"/>
      <c r="D641" s="86"/>
      <c r="E641" s="86"/>
      <c r="F641" s="86"/>
      <c r="G641" s="86"/>
      <c r="H641" s="86"/>
    </row>
    <row r="642" spans="1:8" ht="15.75">
      <c r="A642" s="19"/>
      <c r="D642" s="86"/>
      <c r="E642" s="86"/>
      <c r="F642" s="86"/>
      <c r="G642" s="86"/>
      <c r="H642" s="86"/>
    </row>
    <row r="643" spans="1:8" ht="15.75">
      <c r="A643" s="19"/>
      <c r="D643" s="86"/>
      <c r="E643" s="86"/>
      <c r="F643" s="86"/>
      <c r="G643" s="86"/>
      <c r="H643" s="86"/>
    </row>
    <row r="644" spans="1:8" ht="15.75">
      <c r="A644" s="19"/>
      <c r="D644" s="86"/>
      <c r="E644" s="86"/>
      <c r="F644" s="86"/>
      <c r="G644" s="86"/>
      <c r="H644" s="86"/>
    </row>
    <row r="645" spans="1:8" ht="15.75">
      <c r="A645" s="19"/>
      <c r="D645" s="86"/>
      <c r="E645" s="86"/>
      <c r="F645" s="86"/>
      <c r="G645" s="86"/>
      <c r="H645" s="86"/>
    </row>
    <row r="646" spans="1:8" ht="15.75">
      <c r="A646" s="19"/>
      <c r="D646" s="86"/>
      <c r="E646" s="86"/>
      <c r="F646" s="86"/>
      <c r="G646" s="86"/>
      <c r="H646" s="86"/>
    </row>
    <row r="647" spans="1:8" ht="15.75">
      <c r="A647" s="19"/>
      <c r="D647" s="86"/>
      <c r="E647" s="86"/>
      <c r="F647" s="86"/>
      <c r="G647" s="86"/>
      <c r="H647" s="86"/>
    </row>
    <row r="648" spans="1:8" ht="15.75">
      <c r="A648" s="19"/>
      <c r="D648" s="86"/>
      <c r="E648" s="86"/>
      <c r="F648" s="86"/>
      <c r="G648" s="86"/>
      <c r="H648" s="86"/>
    </row>
    <row r="649" spans="1:8" ht="15.75">
      <c r="A649" s="19"/>
      <c r="D649" s="86"/>
      <c r="E649" s="86"/>
      <c r="F649" s="86"/>
      <c r="G649" s="86"/>
      <c r="H649" s="86"/>
    </row>
    <row r="650" spans="1:8" ht="15.75">
      <c r="A650" s="19"/>
      <c r="D650" s="86"/>
      <c r="E650" s="86"/>
      <c r="F650" s="86"/>
      <c r="G650" s="86"/>
      <c r="H650" s="86"/>
    </row>
    <row r="651" spans="1:8" ht="15.75">
      <c r="A651" s="19"/>
      <c r="D651" s="86"/>
      <c r="E651" s="86"/>
      <c r="F651" s="86"/>
      <c r="G651" s="86"/>
      <c r="H651" s="86"/>
    </row>
    <row r="652" spans="1:8" ht="15.75">
      <c r="A652" s="19"/>
      <c r="D652" s="86"/>
      <c r="E652" s="86"/>
      <c r="F652" s="86"/>
      <c r="G652" s="86"/>
      <c r="H652" s="86"/>
    </row>
    <row r="653" spans="1:8" ht="15.75">
      <c r="A653" s="19"/>
      <c r="D653" s="86"/>
      <c r="E653" s="86"/>
      <c r="F653" s="86"/>
      <c r="G653" s="86"/>
      <c r="H653" s="86"/>
    </row>
    <row r="654" spans="1:8" ht="15.75">
      <c r="A654" s="19"/>
      <c r="D654" s="86"/>
      <c r="E654" s="86"/>
      <c r="F654" s="86"/>
      <c r="G654" s="86"/>
      <c r="H654" s="86"/>
    </row>
    <row r="655" spans="1:8" ht="15.75">
      <c r="A655" s="19"/>
      <c r="D655" s="86"/>
      <c r="E655" s="86"/>
      <c r="F655" s="86"/>
      <c r="G655" s="86"/>
      <c r="H655" s="86"/>
    </row>
    <row r="656" spans="1:8" ht="15.75">
      <c r="A656" s="19"/>
      <c r="D656" s="86"/>
      <c r="E656" s="86"/>
      <c r="F656" s="86"/>
      <c r="G656" s="86"/>
      <c r="H656" s="86"/>
    </row>
    <row r="657" spans="1:8" ht="15.75">
      <c r="A657" s="19"/>
      <c r="D657" s="86"/>
      <c r="E657" s="86"/>
      <c r="F657" s="86"/>
      <c r="G657" s="86"/>
      <c r="H657" s="86"/>
    </row>
    <row r="658" spans="1:8" ht="15.75">
      <c r="A658" s="19"/>
      <c r="D658" s="86"/>
      <c r="E658" s="86"/>
      <c r="F658" s="86"/>
      <c r="G658" s="86"/>
      <c r="H658" s="86"/>
    </row>
    <row r="659" spans="1:8" ht="15.75">
      <c r="A659" s="19"/>
      <c r="D659" s="86"/>
      <c r="E659" s="86"/>
      <c r="F659" s="86"/>
      <c r="G659" s="86"/>
      <c r="H659" s="86"/>
    </row>
    <row r="660" spans="1:8" ht="15.75">
      <c r="A660" s="19"/>
      <c r="D660" s="86"/>
      <c r="E660" s="86"/>
      <c r="F660" s="86"/>
      <c r="G660" s="86"/>
      <c r="H660" s="86"/>
    </row>
    <row r="661" spans="1:8" ht="15.75">
      <c r="A661" s="19"/>
      <c r="D661" s="86"/>
      <c r="E661" s="86"/>
      <c r="F661" s="86"/>
      <c r="G661" s="86"/>
      <c r="H661" s="86"/>
    </row>
    <row r="662" spans="1:8" ht="15.75">
      <c r="A662" s="19"/>
      <c r="D662" s="86"/>
      <c r="E662" s="86"/>
      <c r="F662" s="86"/>
      <c r="G662" s="86"/>
      <c r="H662" s="86"/>
    </row>
    <row r="663" spans="1:8" ht="15.75">
      <c r="A663" s="19"/>
      <c r="D663" s="86"/>
      <c r="E663" s="86"/>
      <c r="F663" s="86"/>
      <c r="G663" s="86"/>
      <c r="H663" s="86"/>
    </row>
    <row r="664" spans="1:8" ht="15.75">
      <c r="A664" s="19"/>
      <c r="D664" s="86"/>
      <c r="E664" s="86"/>
      <c r="F664" s="86"/>
      <c r="G664" s="86"/>
      <c r="H664" s="86"/>
    </row>
    <row r="665" spans="1:8" ht="15.75">
      <c r="A665" s="19"/>
      <c r="D665" s="86"/>
      <c r="E665" s="86"/>
      <c r="F665" s="86"/>
      <c r="G665" s="86"/>
      <c r="H665" s="86"/>
    </row>
    <row r="666" spans="1:8" ht="15.75">
      <c r="A666" s="19"/>
      <c r="D666" s="86"/>
      <c r="E666" s="86"/>
      <c r="F666" s="86"/>
      <c r="G666" s="86"/>
      <c r="H666" s="86"/>
    </row>
    <row r="667" spans="1:8" ht="15.75">
      <c r="A667" s="19"/>
      <c r="D667" s="86"/>
      <c r="E667" s="86"/>
      <c r="F667" s="86"/>
      <c r="G667" s="86"/>
      <c r="H667" s="86"/>
    </row>
    <row r="668" spans="1:8" ht="15.75">
      <c r="A668" s="19"/>
      <c r="D668" s="86"/>
      <c r="E668" s="86"/>
      <c r="F668" s="86"/>
      <c r="G668" s="86"/>
      <c r="H668" s="86"/>
    </row>
    <row r="669" spans="1:8" ht="15.75">
      <c r="A669" s="19"/>
      <c r="D669" s="86"/>
      <c r="E669" s="86"/>
      <c r="F669" s="86"/>
      <c r="G669" s="86"/>
      <c r="H669" s="86"/>
    </row>
    <row r="670" spans="1:8" ht="15.75">
      <c r="A670" s="19"/>
      <c r="D670" s="86"/>
      <c r="E670" s="86"/>
      <c r="F670" s="86"/>
      <c r="G670" s="86"/>
      <c r="H670" s="86"/>
    </row>
    <row r="671" spans="1:8" ht="15.75">
      <c r="A671" s="19"/>
      <c r="D671" s="86"/>
      <c r="E671" s="86"/>
      <c r="F671" s="86"/>
      <c r="G671" s="86"/>
      <c r="H671" s="86"/>
    </row>
    <row r="672" spans="1:8" ht="15.75">
      <c r="A672" s="19"/>
      <c r="D672" s="86"/>
      <c r="E672" s="86"/>
      <c r="F672" s="86"/>
      <c r="G672" s="86"/>
      <c r="H672" s="86"/>
    </row>
    <row r="673" spans="1:8" ht="15.75">
      <c r="A673" s="19"/>
      <c r="D673" s="86"/>
      <c r="E673" s="86"/>
      <c r="F673" s="86"/>
      <c r="G673" s="86"/>
      <c r="H673" s="86"/>
    </row>
    <row r="674" spans="1:8" ht="15.75">
      <c r="A674" s="19"/>
      <c r="D674" s="86"/>
      <c r="E674" s="86"/>
      <c r="F674" s="86"/>
      <c r="G674" s="86"/>
      <c r="H674" s="86"/>
    </row>
    <row r="675" spans="1:8" ht="15.75">
      <c r="A675" s="19"/>
      <c r="D675" s="86"/>
      <c r="E675" s="86"/>
      <c r="F675" s="86"/>
      <c r="G675" s="86"/>
      <c r="H675" s="86"/>
    </row>
    <row r="676" spans="1:8" ht="15.75">
      <c r="A676" s="19"/>
      <c r="D676" s="86"/>
      <c r="E676" s="86"/>
      <c r="F676" s="86"/>
      <c r="G676" s="86"/>
      <c r="H676" s="86"/>
    </row>
    <row r="677" spans="1:8" ht="15.75">
      <c r="A677" s="19"/>
      <c r="D677" s="86"/>
      <c r="E677" s="86"/>
      <c r="F677" s="86"/>
      <c r="G677" s="86"/>
      <c r="H677" s="86"/>
    </row>
    <row r="678" spans="1:8" ht="15.75">
      <c r="A678" s="19"/>
      <c r="D678" s="86"/>
      <c r="E678" s="86"/>
      <c r="F678" s="86"/>
      <c r="G678" s="86"/>
      <c r="H678" s="86"/>
    </row>
    <row r="679" spans="1:8" ht="15.75">
      <c r="A679" s="19"/>
      <c r="D679" s="86"/>
      <c r="E679" s="86"/>
      <c r="F679" s="86"/>
      <c r="G679" s="86"/>
      <c r="H679" s="86"/>
    </row>
    <row r="680" spans="1:8" ht="15.75">
      <c r="A680" s="19"/>
      <c r="D680" s="86"/>
      <c r="E680" s="86"/>
      <c r="F680" s="86"/>
      <c r="G680" s="86"/>
      <c r="H680" s="86"/>
    </row>
    <row r="681" spans="1:8" ht="15.75">
      <c r="A681" s="19"/>
      <c r="D681" s="86"/>
      <c r="E681" s="86"/>
      <c r="F681" s="86"/>
      <c r="G681" s="86"/>
      <c r="H681" s="86"/>
    </row>
    <row r="682" spans="1:8" ht="15.75">
      <c r="A682" s="19"/>
      <c r="D682" s="86"/>
      <c r="E682" s="86"/>
      <c r="F682" s="86"/>
      <c r="G682" s="86"/>
      <c r="H682" s="86"/>
    </row>
    <row r="683" spans="1:8" ht="15.75">
      <c r="A683" s="19"/>
      <c r="D683" s="86"/>
      <c r="E683" s="86"/>
      <c r="F683" s="86"/>
      <c r="G683" s="86"/>
      <c r="H683" s="86"/>
    </row>
    <row r="684" spans="1:8" ht="15.75">
      <c r="A684" s="19"/>
      <c r="D684" s="86"/>
      <c r="E684" s="86"/>
      <c r="F684" s="86"/>
      <c r="G684" s="86"/>
      <c r="H684" s="86"/>
    </row>
    <row r="685" spans="1:8" ht="15.75">
      <c r="A685" s="19"/>
      <c r="D685" s="86"/>
      <c r="E685" s="86"/>
      <c r="F685" s="86"/>
      <c r="G685" s="86"/>
      <c r="H685" s="86"/>
    </row>
    <row r="686" spans="1:8" ht="15.75">
      <c r="A686" s="19"/>
      <c r="D686" s="86"/>
      <c r="E686" s="86"/>
      <c r="F686" s="86"/>
      <c r="G686" s="86"/>
      <c r="H686" s="86"/>
    </row>
    <row r="687" spans="1:8" ht="15.75">
      <c r="A687" s="19"/>
      <c r="D687" s="86"/>
      <c r="E687" s="86"/>
      <c r="F687" s="86"/>
      <c r="G687" s="86"/>
      <c r="H687" s="86"/>
    </row>
    <row r="688" spans="1:8" ht="15.75">
      <c r="A688" s="19"/>
      <c r="D688" s="86"/>
      <c r="E688" s="86"/>
      <c r="F688" s="86"/>
      <c r="G688" s="86"/>
      <c r="H688" s="86"/>
    </row>
    <row r="689" spans="1:8" ht="15.75">
      <c r="A689" s="19"/>
      <c r="D689" s="86"/>
      <c r="E689" s="86"/>
      <c r="F689" s="86"/>
      <c r="G689" s="86"/>
      <c r="H689" s="86"/>
    </row>
    <row r="690" spans="1:8" ht="15.75">
      <c r="A690" s="19"/>
      <c r="D690" s="86"/>
      <c r="E690" s="86"/>
      <c r="F690" s="86"/>
      <c r="G690" s="86"/>
      <c r="H690" s="86"/>
    </row>
    <row r="691" spans="1:8" ht="15.75">
      <c r="A691" s="19"/>
      <c r="D691" s="86"/>
      <c r="E691" s="86"/>
      <c r="F691" s="86"/>
      <c r="G691" s="86"/>
      <c r="H691" s="86"/>
    </row>
    <row r="692" spans="1:8" ht="15.75">
      <c r="A692" s="19"/>
      <c r="D692" s="86"/>
      <c r="E692" s="86"/>
      <c r="F692" s="86"/>
      <c r="G692" s="86"/>
      <c r="H692" s="86"/>
    </row>
    <row r="693" spans="1:8" ht="15.75">
      <c r="A693" s="19"/>
      <c r="D693" s="86"/>
      <c r="E693" s="86"/>
      <c r="F693" s="86"/>
      <c r="G693" s="86"/>
      <c r="H693" s="86"/>
    </row>
    <row r="694" spans="1:8" ht="15.75">
      <c r="A694" s="19"/>
      <c r="D694" s="86"/>
      <c r="E694" s="86"/>
      <c r="F694" s="86"/>
      <c r="G694" s="86"/>
      <c r="H694" s="86"/>
    </row>
    <row r="695" spans="1:8" ht="15.75">
      <c r="A695" s="19"/>
      <c r="D695" s="86"/>
      <c r="E695" s="86"/>
      <c r="F695" s="86"/>
      <c r="G695" s="86"/>
      <c r="H695" s="86"/>
    </row>
    <row r="696" spans="1:8" ht="15.75">
      <c r="A696" s="19"/>
      <c r="D696" s="86"/>
      <c r="E696" s="86"/>
      <c r="F696" s="86"/>
      <c r="G696" s="86"/>
      <c r="H696" s="86"/>
    </row>
    <row r="697" spans="1:8" ht="15.75">
      <c r="A697" s="19"/>
      <c r="D697" s="86"/>
      <c r="E697" s="86"/>
      <c r="F697" s="86"/>
      <c r="G697" s="86"/>
      <c r="H697" s="86"/>
    </row>
    <row r="698" spans="1:8" ht="15.75">
      <c r="A698" s="19"/>
      <c r="D698" s="86"/>
      <c r="E698" s="86"/>
      <c r="F698" s="86"/>
      <c r="G698" s="86"/>
      <c r="H698" s="86"/>
    </row>
    <row r="699" spans="1:8" ht="15.75">
      <c r="A699" s="19"/>
      <c r="D699" s="86"/>
      <c r="E699" s="86"/>
      <c r="F699" s="86"/>
      <c r="G699" s="86"/>
      <c r="H699" s="86"/>
    </row>
    <row r="700" spans="1:8" ht="15.75">
      <c r="A700" s="19"/>
      <c r="D700" s="86"/>
      <c r="E700" s="86"/>
      <c r="F700" s="86"/>
      <c r="G700" s="86"/>
      <c r="H700" s="86"/>
    </row>
    <row r="701" spans="1:8" ht="15.75">
      <c r="A701" s="19"/>
      <c r="D701" s="86"/>
      <c r="E701" s="86"/>
      <c r="F701" s="86"/>
      <c r="G701" s="86"/>
      <c r="H701" s="86"/>
    </row>
    <row r="702" spans="1:8" ht="15.75">
      <c r="A702" s="19"/>
      <c r="D702" s="86"/>
      <c r="E702" s="86"/>
      <c r="F702" s="86"/>
      <c r="G702" s="86"/>
      <c r="H702" s="86"/>
    </row>
    <row r="703" spans="1:8" ht="15.75">
      <c r="A703" s="19"/>
      <c r="D703" s="86"/>
      <c r="E703" s="86"/>
      <c r="F703" s="86"/>
      <c r="G703" s="86"/>
      <c r="H703" s="86"/>
    </row>
    <row r="704" spans="1:8" ht="15.75">
      <c r="A704" s="19"/>
      <c r="D704" s="86"/>
      <c r="E704" s="86"/>
      <c r="F704" s="86"/>
      <c r="G704" s="86"/>
      <c r="H704" s="86"/>
    </row>
    <row r="705" spans="1:8" ht="15.75">
      <c r="A705" s="19"/>
      <c r="D705" s="86"/>
      <c r="E705" s="86"/>
      <c r="F705" s="86"/>
      <c r="G705" s="86"/>
      <c r="H705" s="86"/>
    </row>
    <row r="706" spans="1:8" ht="15.75">
      <c r="A706" s="19"/>
      <c r="D706" s="86"/>
      <c r="E706" s="86"/>
      <c r="F706" s="86"/>
      <c r="G706" s="86"/>
      <c r="H706" s="86"/>
    </row>
    <row r="707" spans="1:8" ht="15.75">
      <c r="A707" s="19"/>
      <c r="D707" s="86"/>
      <c r="E707" s="86"/>
      <c r="F707" s="86"/>
      <c r="G707" s="86"/>
      <c r="H707" s="86"/>
    </row>
    <row r="708" spans="1:8" ht="15.75">
      <c r="A708" s="19"/>
      <c r="D708" s="86"/>
      <c r="E708" s="86"/>
      <c r="F708" s="86"/>
      <c r="G708" s="86"/>
      <c r="H708" s="86"/>
    </row>
    <row r="709" spans="1:8" ht="15.75">
      <c r="A709" s="19"/>
      <c r="D709" s="86"/>
      <c r="E709" s="86"/>
      <c r="F709" s="86"/>
      <c r="G709" s="86"/>
      <c r="H709" s="86"/>
    </row>
    <row r="710" spans="1:8" ht="15.75">
      <c r="A710" s="19"/>
      <c r="D710" s="86"/>
      <c r="E710" s="86"/>
      <c r="F710" s="86"/>
      <c r="G710" s="86"/>
      <c r="H710" s="86"/>
    </row>
    <row r="711" spans="1:8" ht="15.75">
      <c r="A711" s="19"/>
      <c r="D711" s="86"/>
      <c r="E711" s="86"/>
      <c r="F711" s="86"/>
      <c r="G711" s="86"/>
      <c r="H711" s="86"/>
    </row>
    <row r="712" spans="1:8" ht="15.75">
      <c r="A712" s="19"/>
      <c r="D712" s="86"/>
      <c r="E712" s="86"/>
      <c r="F712" s="86"/>
      <c r="G712" s="86"/>
      <c r="H712" s="86"/>
    </row>
    <row r="713" spans="1:8" ht="15.75">
      <c r="A713" s="19"/>
      <c r="D713" s="86"/>
      <c r="E713" s="86"/>
      <c r="F713" s="86"/>
      <c r="G713" s="86"/>
      <c r="H713" s="86"/>
    </row>
    <row r="714" spans="1:8" ht="15.75">
      <c r="A714" s="19"/>
      <c r="D714" s="86"/>
      <c r="E714" s="86"/>
      <c r="F714" s="86"/>
      <c r="G714" s="86"/>
      <c r="H714" s="86"/>
    </row>
    <row r="715" spans="1:8" ht="15.75">
      <c r="A715" s="19"/>
      <c r="D715" s="86"/>
      <c r="E715" s="86"/>
      <c r="F715" s="86"/>
      <c r="G715" s="86"/>
      <c r="H715" s="86"/>
    </row>
    <row r="716" spans="1:8" ht="15.75">
      <c r="A716" s="19"/>
      <c r="D716" s="86"/>
      <c r="E716" s="86"/>
      <c r="F716" s="86"/>
      <c r="G716" s="86"/>
      <c r="H716" s="86"/>
    </row>
    <row r="717" spans="1:8" ht="15.75">
      <c r="A717" s="19"/>
      <c r="D717" s="86"/>
      <c r="E717" s="86"/>
      <c r="F717" s="86"/>
      <c r="G717" s="86"/>
      <c r="H717" s="86"/>
    </row>
    <row r="718" spans="1:8" ht="15.75">
      <c r="A718" s="19"/>
      <c r="D718" s="86"/>
      <c r="E718" s="86"/>
      <c r="F718" s="86"/>
      <c r="G718" s="86"/>
      <c r="H718" s="86"/>
    </row>
    <row r="719" spans="1:8" ht="15.75">
      <c r="A719" s="19"/>
      <c r="D719" s="86"/>
      <c r="E719" s="86"/>
      <c r="F719" s="86"/>
      <c r="G719" s="86"/>
      <c r="H719" s="86"/>
    </row>
    <row r="720" spans="1:8" ht="15.75">
      <c r="A720" s="19"/>
      <c r="D720" s="86"/>
      <c r="E720" s="86"/>
      <c r="F720" s="86"/>
      <c r="G720" s="86"/>
      <c r="H720" s="86"/>
    </row>
    <row r="721" spans="1:8" ht="15.75">
      <c r="A721" s="19"/>
      <c r="D721" s="86"/>
      <c r="E721" s="86"/>
      <c r="F721" s="86"/>
      <c r="G721" s="86"/>
      <c r="H721" s="86"/>
    </row>
    <row r="722" spans="1:8" ht="15.75">
      <c r="A722" s="19"/>
      <c r="D722" s="86"/>
      <c r="E722" s="86"/>
      <c r="F722" s="86"/>
      <c r="G722" s="86"/>
      <c r="H722" s="86"/>
    </row>
    <row r="723" spans="1:8" ht="15.75">
      <c r="A723" s="19"/>
      <c r="D723" s="86"/>
      <c r="E723" s="86"/>
      <c r="F723" s="86"/>
      <c r="G723" s="86"/>
      <c r="H723" s="86"/>
    </row>
    <row r="724" spans="1:8" ht="15.75">
      <c r="A724" s="19"/>
      <c r="D724" s="86"/>
      <c r="E724" s="86"/>
      <c r="F724" s="86"/>
      <c r="G724" s="86"/>
      <c r="H724" s="86"/>
    </row>
    <row r="725" spans="1:8" ht="15.75">
      <c r="A725" s="19"/>
      <c r="D725" s="86"/>
      <c r="E725" s="86"/>
      <c r="F725" s="86"/>
      <c r="G725" s="86"/>
      <c r="H725" s="86"/>
    </row>
    <row r="726" spans="1:8" ht="15.75">
      <c r="A726" s="19"/>
      <c r="D726" s="86"/>
      <c r="E726" s="86"/>
      <c r="F726" s="86"/>
      <c r="G726" s="86"/>
      <c r="H726" s="86"/>
    </row>
    <row r="727" spans="1:8" ht="15.75">
      <c r="A727" s="19"/>
      <c r="D727" s="86"/>
      <c r="E727" s="86"/>
      <c r="F727" s="86"/>
      <c r="G727" s="86"/>
      <c r="H727" s="86"/>
    </row>
    <row r="728" spans="1:8" ht="15.75">
      <c r="A728" s="19"/>
      <c r="D728" s="86"/>
      <c r="E728" s="86"/>
      <c r="F728" s="86"/>
      <c r="G728" s="86"/>
      <c r="H728" s="86"/>
    </row>
    <row r="729" spans="1:8" ht="15.75">
      <c r="A729" s="19"/>
      <c r="D729" s="86"/>
      <c r="E729" s="86"/>
      <c r="F729" s="86"/>
      <c r="G729" s="86"/>
      <c r="H729" s="86"/>
    </row>
    <row r="730" spans="1:8" ht="15.75">
      <c r="A730" s="19"/>
      <c r="D730" s="86"/>
      <c r="E730" s="86"/>
      <c r="F730" s="86"/>
      <c r="G730" s="86"/>
      <c r="H730" s="86"/>
    </row>
    <row r="731" spans="1:8" ht="15.75">
      <c r="A731" s="19"/>
      <c r="D731" s="86"/>
      <c r="E731" s="86"/>
      <c r="F731" s="86"/>
      <c r="G731" s="86"/>
      <c r="H731" s="86"/>
    </row>
    <row r="732" spans="1:8" ht="15.75">
      <c r="A732" s="19"/>
      <c r="D732" s="86"/>
      <c r="E732" s="86"/>
      <c r="F732" s="86"/>
      <c r="G732" s="86"/>
      <c r="H732" s="86"/>
    </row>
    <row r="733" spans="1:8" ht="15.75">
      <c r="A733" s="19"/>
      <c r="D733" s="86"/>
      <c r="E733" s="86"/>
      <c r="F733" s="86"/>
      <c r="G733" s="86"/>
      <c r="H733" s="86"/>
    </row>
    <row r="734" spans="1:8" ht="15.75">
      <c r="A734" s="19"/>
      <c r="D734" s="86"/>
      <c r="E734" s="86"/>
      <c r="F734" s="86"/>
      <c r="G734" s="86"/>
      <c r="H734" s="86"/>
    </row>
    <row r="735" spans="1:8" ht="15.75">
      <c r="A735" s="19"/>
      <c r="D735" s="86"/>
      <c r="E735" s="86"/>
      <c r="F735" s="86"/>
      <c r="G735" s="86"/>
      <c r="H735" s="86"/>
    </row>
    <row r="736" spans="1:8" ht="15.75">
      <c r="A736" s="19"/>
      <c r="D736" s="86"/>
      <c r="E736" s="86"/>
      <c r="F736" s="86"/>
      <c r="G736" s="86"/>
      <c r="H736" s="86"/>
    </row>
    <row r="737" spans="1:8" ht="15.75">
      <c r="A737" s="19"/>
      <c r="D737" s="86"/>
      <c r="E737" s="86"/>
      <c r="F737" s="86"/>
      <c r="G737" s="86"/>
      <c r="H737" s="86"/>
    </row>
    <row r="738" spans="1:8" ht="15.75">
      <c r="A738" s="19"/>
      <c r="D738" s="86"/>
      <c r="E738" s="86"/>
      <c r="F738" s="86"/>
      <c r="G738" s="86"/>
      <c r="H738" s="86"/>
    </row>
    <row r="739" spans="1:8" ht="15.75">
      <c r="A739" s="19"/>
      <c r="D739" s="86"/>
      <c r="E739" s="86"/>
      <c r="F739" s="86"/>
      <c r="G739" s="86"/>
      <c r="H739" s="86"/>
    </row>
    <row r="740" spans="1:8" ht="15.75">
      <c r="A740" s="19"/>
      <c r="D740" s="86"/>
      <c r="E740" s="86"/>
      <c r="F740" s="86"/>
      <c r="G740" s="86"/>
      <c r="H740" s="86"/>
    </row>
    <row r="741" spans="1:8" ht="15.75">
      <c r="A741" s="19"/>
      <c r="D741" s="86"/>
      <c r="E741" s="86"/>
      <c r="F741" s="86"/>
      <c r="G741" s="86"/>
      <c r="H741" s="86"/>
    </row>
    <row r="742" spans="1:8" ht="15.75">
      <c r="A742" s="19"/>
      <c r="D742" s="86"/>
      <c r="E742" s="86"/>
      <c r="F742" s="86"/>
      <c r="G742" s="86"/>
      <c r="H742" s="86"/>
    </row>
    <row r="743" spans="1:8" ht="15.75">
      <c r="A743" s="19"/>
      <c r="D743" s="86"/>
      <c r="E743" s="86"/>
      <c r="F743" s="86"/>
      <c r="G743" s="86"/>
      <c r="H743" s="86"/>
    </row>
    <row r="744" spans="1:8" ht="15.75">
      <c r="A744" s="19"/>
      <c r="D744" s="86"/>
      <c r="E744" s="86"/>
      <c r="F744" s="86"/>
      <c r="G744" s="86"/>
      <c r="H744" s="86"/>
    </row>
    <row r="745" spans="1:8" ht="15.75">
      <c r="A745" s="19"/>
      <c r="D745" s="86"/>
      <c r="E745" s="86"/>
      <c r="F745" s="86"/>
      <c r="G745" s="86"/>
      <c r="H745" s="86"/>
    </row>
    <row r="746" spans="1:8" ht="15.75">
      <c r="A746" s="19"/>
      <c r="D746" s="86"/>
      <c r="E746" s="86"/>
      <c r="F746" s="86"/>
      <c r="G746" s="86"/>
      <c r="H746" s="86"/>
    </row>
    <row r="747" spans="1:8" ht="15.75">
      <c r="A747" s="19"/>
      <c r="D747" s="86"/>
      <c r="E747" s="86"/>
      <c r="F747" s="86"/>
      <c r="G747" s="86"/>
      <c r="H747" s="86"/>
    </row>
    <row r="748" spans="1:8" ht="15.75">
      <c r="A748" s="19"/>
      <c r="D748" s="86"/>
      <c r="E748" s="86"/>
      <c r="F748" s="86"/>
      <c r="G748" s="86"/>
      <c r="H748" s="86"/>
    </row>
    <row r="749" spans="1:8" ht="15.75">
      <c r="A749" s="19"/>
      <c r="D749" s="86"/>
      <c r="E749" s="86"/>
      <c r="F749" s="86"/>
      <c r="G749" s="86"/>
      <c r="H749" s="86"/>
    </row>
    <row r="750" spans="1:8" ht="15.75">
      <c r="A750" s="19"/>
      <c r="D750" s="86"/>
      <c r="E750" s="86"/>
      <c r="F750" s="86"/>
      <c r="G750" s="86"/>
      <c r="H750" s="86"/>
    </row>
    <row r="751" spans="1:8" ht="15.75">
      <c r="A751" s="19"/>
      <c r="D751" s="86"/>
      <c r="E751" s="86"/>
      <c r="F751" s="86"/>
      <c r="G751" s="86"/>
      <c r="H751" s="86"/>
    </row>
    <row r="752" spans="1:8" ht="15.75">
      <c r="A752" s="19"/>
      <c r="D752" s="86"/>
      <c r="E752" s="86"/>
      <c r="F752" s="86"/>
      <c r="G752" s="86"/>
      <c r="H752" s="86"/>
    </row>
    <row r="753" spans="1:8" ht="15.75">
      <c r="A753" s="19"/>
      <c r="D753" s="86"/>
      <c r="E753" s="86"/>
      <c r="F753" s="86"/>
      <c r="G753" s="86"/>
      <c r="H753" s="86"/>
    </row>
    <row r="754" spans="1:8" ht="15.75">
      <c r="A754" s="19"/>
      <c r="D754" s="86"/>
      <c r="E754" s="86"/>
      <c r="F754" s="86"/>
      <c r="G754" s="86"/>
      <c r="H754" s="86"/>
    </row>
    <row r="755" spans="1:8" ht="15.75">
      <c r="A755" s="19"/>
      <c r="D755" s="86"/>
      <c r="E755" s="86"/>
      <c r="F755" s="86"/>
      <c r="G755" s="86"/>
      <c r="H755" s="86"/>
    </row>
    <row r="756" spans="1:8" ht="15.75">
      <c r="A756" s="19"/>
      <c r="D756" s="86"/>
      <c r="E756" s="86"/>
      <c r="F756" s="86"/>
      <c r="G756" s="86"/>
      <c r="H756" s="86"/>
    </row>
    <row r="757" spans="1:8" ht="15.75">
      <c r="A757" s="19"/>
      <c r="D757" s="86"/>
      <c r="E757" s="86"/>
      <c r="F757" s="86"/>
      <c r="G757" s="86"/>
      <c r="H757" s="86"/>
    </row>
    <row r="758" spans="1:8" ht="15.75">
      <c r="A758" s="19"/>
      <c r="D758" s="86"/>
      <c r="E758" s="86"/>
      <c r="F758" s="86"/>
      <c r="G758" s="86"/>
      <c r="H758" s="86"/>
    </row>
    <row r="759" spans="1:8" ht="15.75">
      <c r="A759" s="19"/>
      <c r="D759" s="86"/>
      <c r="E759" s="86"/>
      <c r="F759" s="86"/>
      <c r="G759" s="86"/>
      <c r="H759" s="86"/>
    </row>
    <row r="760" spans="1:8" ht="15.75">
      <c r="A760" s="19"/>
      <c r="D760" s="86"/>
      <c r="E760" s="86"/>
      <c r="F760" s="86"/>
      <c r="G760" s="86"/>
      <c r="H760" s="86"/>
    </row>
    <row r="761" spans="1:8" ht="15.75">
      <c r="A761" s="19"/>
      <c r="D761" s="86"/>
      <c r="E761" s="86"/>
      <c r="F761" s="86"/>
      <c r="G761" s="86"/>
      <c r="H761" s="86"/>
    </row>
    <row r="762" spans="1:8" ht="15.75">
      <c r="A762" s="19"/>
      <c r="D762" s="86"/>
      <c r="E762" s="86"/>
      <c r="F762" s="86"/>
      <c r="G762" s="86"/>
      <c r="H762" s="86"/>
    </row>
    <row r="763" spans="1:8" ht="15.75">
      <c r="A763" s="19"/>
      <c r="D763" s="86"/>
      <c r="E763" s="86"/>
      <c r="F763" s="86"/>
      <c r="G763" s="86"/>
      <c r="H763" s="86"/>
    </row>
    <row r="764" spans="1:8" ht="15.75">
      <c r="A764" s="19"/>
      <c r="D764" s="86"/>
      <c r="E764" s="86"/>
      <c r="F764" s="86"/>
      <c r="G764" s="86"/>
      <c r="H764" s="86"/>
    </row>
    <row r="765" spans="1:8" ht="15.75">
      <c r="A765" s="19"/>
      <c r="D765" s="86"/>
      <c r="E765" s="86"/>
      <c r="F765" s="86"/>
      <c r="G765" s="86"/>
      <c r="H765" s="86"/>
    </row>
    <row r="766" spans="1:8" ht="15.75">
      <c r="A766" s="19"/>
      <c r="D766" s="86"/>
      <c r="E766" s="86"/>
      <c r="F766" s="86"/>
      <c r="G766" s="86"/>
      <c r="H766" s="86"/>
    </row>
    <row r="767" spans="1:8" ht="15.75">
      <c r="A767" s="19"/>
      <c r="D767" s="86"/>
      <c r="E767" s="86"/>
      <c r="F767" s="86"/>
      <c r="G767" s="86"/>
      <c r="H767" s="86"/>
    </row>
    <row r="768" spans="1:8" ht="15.75">
      <c r="A768" s="19"/>
      <c r="D768" s="86"/>
      <c r="E768" s="86"/>
      <c r="F768" s="86"/>
      <c r="G768" s="86"/>
      <c r="H768" s="86"/>
    </row>
    <row r="769" spans="1:8" ht="15.75">
      <c r="A769" s="19"/>
      <c r="D769" s="86"/>
      <c r="E769" s="86"/>
      <c r="F769" s="86"/>
      <c r="G769" s="86"/>
      <c r="H769" s="86"/>
    </row>
    <row r="770" spans="1:8" ht="15.75">
      <c r="A770" s="19"/>
      <c r="D770" s="86"/>
      <c r="E770" s="86"/>
      <c r="F770" s="86"/>
      <c r="G770" s="86"/>
      <c r="H770" s="86"/>
    </row>
    <row r="771" spans="1:8" ht="15.75">
      <c r="A771" s="19"/>
      <c r="D771" s="86"/>
      <c r="E771" s="86"/>
      <c r="F771" s="86"/>
      <c r="G771" s="86"/>
      <c r="H771" s="86"/>
    </row>
    <row r="772" spans="1:8" ht="15.75">
      <c r="A772" s="19"/>
      <c r="D772" s="86"/>
      <c r="E772" s="86"/>
      <c r="F772" s="86"/>
      <c r="G772" s="86"/>
      <c r="H772" s="86"/>
    </row>
    <row r="773" spans="1:8" ht="15.75">
      <c r="A773" s="19"/>
      <c r="D773" s="86"/>
      <c r="E773" s="86"/>
      <c r="F773" s="86"/>
      <c r="G773" s="86"/>
      <c r="H773" s="86"/>
    </row>
    <row r="774" spans="1:8" ht="15.75">
      <c r="A774" s="19"/>
      <c r="D774" s="86"/>
      <c r="E774" s="86"/>
      <c r="F774" s="86"/>
      <c r="G774" s="86"/>
      <c r="H774" s="86"/>
    </row>
    <row r="775" spans="1:8" ht="15.75">
      <c r="A775" s="19"/>
      <c r="D775" s="86"/>
      <c r="E775" s="86"/>
      <c r="F775" s="86"/>
      <c r="G775" s="86"/>
      <c r="H775" s="86"/>
    </row>
    <row r="776" spans="1:8" ht="15.75">
      <c r="A776" s="19"/>
      <c r="D776" s="86"/>
      <c r="E776" s="86"/>
      <c r="F776" s="86"/>
      <c r="G776" s="86"/>
      <c r="H776" s="86"/>
    </row>
    <row r="777" spans="1:8" ht="15.75">
      <c r="A777" s="19"/>
      <c r="D777" s="86"/>
      <c r="E777" s="86"/>
      <c r="F777" s="86"/>
      <c r="G777" s="86"/>
      <c r="H777" s="86"/>
    </row>
    <row r="778" spans="1:8" ht="15.75">
      <c r="A778" s="19"/>
      <c r="D778" s="86"/>
      <c r="E778" s="86"/>
      <c r="F778" s="86"/>
      <c r="G778" s="86"/>
      <c r="H778" s="86"/>
    </row>
    <row r="779" spans="1:8" ht="15.75">
      <c r="A779" s="19"/>
      <c r="D779" s="86"/>
      <c r="E779" s="86"/>
      <c r="F779" s="86"/>
      <c r="G779" s="86"/>
      <c r="H779" s="86"/>
    </row>
    <row r="780" spans="1:8" ht="15.75">
      <c r="A780" s="19"/>
      <c r="D780" s="86"/>
      <c r="E780" s="86"/>
      <c r="F780" s="86"/>
      <c r="G780" s="86"/>
      <c r="H780" s="86"/>
    </row>
    <row r="781" spans="1:8" ht="15.75">
      <c r="A781" s="19"/>
      <c r="D781" s="86"/>
      <c r="E781" s="86"/>
      <c r="F781" s="86"/>
      <c r="G781" s="86"/>
      <c r="H781" s="86"/>
    </row>
    <row r="782" spans="1:8" ht="15.75">
      <c r="A782" s="19"/>
      <c r="D782" s="86"/>
      <c r="E782" s="86"/>
      <c r="F782" s="86"/>
      <c r="G782" s="86"/>
      <c r="H782" s="86"/>
    </row>
    <row r="783" spans="1:8" ht="15.75">
      <c r="A783" s="19"/>
      <c r="D783" s="86"/>
      <c r="E783" s="86"/>
      <c r="F783" s="86"/>
      <c r="G783" s="86"/>
      <c r="H783" s="86"/>
    </row>
    <row r="784" spans="1:8" ht="15.75">
      <c r="A784" s="19"/>
      <c r="D784" s="86"/>
      <c r="E784" s="86"/>
      <c r="F784" s="86"/>
      <c r="G784" s="86"/>
      <c r="H784" s="86"/>
    </row>
    <row r="785" spans="1:8" ht="15.75">
      <c r="A785" s="19"/>
      <c r="D785" s="86"/>
      <c r="E785" s="86"/>
      <c r="F785" s="86"/>
      <c r="G785" s="86"/>
      <c r="H785" s="86"/>
    </row>
    <row r="786" spans="1:8" ht="15.75">
      <c r="A786" s="19"/>
      <c r="D786" s="86"/>
      <c r="E786" s="86"/>
      <c r="F786" s="86"/>
      <c r="G786" s="86"/>
      <c r="H786" s="86"/>
    </row>
    <row r="787" spans="1:8" ht="15.75">
      <c r="A787" s="19"/>
      <c r="D787" s="86"/>
      <c r="E787" s="86"/>
      <c r="F787" s="86"/>
      <c r="G787" s="86"/>
      <c r="H787" s="86"/>
    </row>
    <row r="788" spans="1:8" ht="15.75">
      <c r="A788" s="19"/>
      <c r="D788" s="86"/>
      <c r="E788" s="86"/>
      <c r="F788" s="86"/>
      <c r="G788" s="86"/>
      <c r="H788" s="86"/>
    </row>
    <row r="789" spans="1:8" ht="15.75">
      <c r="A789" s="19"/>
      <c r="D789" s="86"/>
      <c r="E789" s="86"/>
      <c r="F789" s="86"/>
      <c r="G789" s="86"/>
      <c r="H789" s="86"/>
    </row>
    <row r="790" spans="1:8" ht="15.75">
      <c r="A790" s="19"/>
      <c r="D790" s="86"/>
      <c r="E790" s="86"/>
      <c r="F790" s="86"/>
      <c r="G790" s="86"/>
      <c r="H790" s="86"/>
    </row>
    <row r="791" spans="1:8" ht="15.75">
      <c r="A791" s="19"/>
      <c r="D791" s="86"/>
      <c r="E791" s="86"/>
      <c r="F791" s="86"/>
      <c r="G791" s="86"/>
      <c r="H791" s="86"/>
    </row>
    <row r="792" spans="1:8" ht="15.75">
      <c r="A792" s="19"/>
      <c r="D792" s="86"/>
      <c r="E792" s="86"/>
      <c r="F792" s="86"/>
      <c r="G792" s="86"/>
      <c r="H792" s="86"/>
    </row>
    <row r="793" spans="1:8" ht="15.75">
      <c r="A793" s="19"/>
      <c r="D793" s="86"/>
      <c r="E793" s="86"/>
      <c r="F793" s="86"/>
      <c r="G793" s="86"/>
      <c r="H793" s="86"/>
    </row>
    <row r="794" spans="1:8" ht="15.75">
      <c r="A794" s="19"/>
      <c r="D794" s="86"/>
      <c r="E794" s="86"/>
      <c r="F794" s="86"/>
      <c r="G794" s="86"/>
      <c r="H794" s="86"/>
    </row>
    <row r="795" spans="1:8" ht="15.75">
      <c r="A795" s="19"/>
      <c r="D795" s="86"/>
      <c r="E795" s="86"/>
      <c r="F795" s="86"/>
      <c r="G795" s="86"/>
      <c r="H795" s="86"/>
    </row>
    <row r="796" spans="1:8" ht="15.75">
      <c r="A796" s="19"/>
      <c r="D796" s="86"/>
      <c r="E796" s="86"/>
      <c r="F796" s="86"/>
      <c r="G796" s="86"/>
      <c r="H796" s="86"/>
    </row>
    <row r="797" spans="1:8" ht="15.75">
      <c r="A797" s="19"/>
      <c r="D797" s="86"/>
      <c r="E797" s="86"/>
      <c r="F797" s="86"/>
      <c r="G797" s="86"/>
      <c r="H797" s="86"/>
    </row>
    <row r="798" spans="1:8" ht="15.75">
      <c r="A798" s="19"/>
      <c r="D798" s="86"/>
      <c r="E798" s="86"/>
      <c r="F798" s="86"/>
      <c r="G798" s="86"/>
      <c r="H798" s="86"/>
    </row>
    <row r="799" spans="1:8" ht="15.75">
      <c r="A799" s="19"/>
      <c r="D799" s="86"/>
      <c r="E799" s="86"/>
      <c r="F799" s="86"/>
      <c r="G799" s="86"/>
      <c r="H799" s="86"/>
    </row>
    <row r="800" spans="1:8" ht="15.75">
      <c r="A800" s="19"/>
      <c r="D800" s="86"/>
      <c r="E800" s="86"/>
      <c r="F800" s="86"/>
      <c r="G800" s="86"/>
      <c r="H800" s="86"/>
    </row>
    <row r="801" spans="1:8" ht="15.75">
      <c r="A801" s="19"/>
      <c r="D801" s="86"/>
      <c r="E801" s="86"/>
      <c r="F801" s="86"/>
      <c r="G801" s="86"/>
      <c r="H801" s="86"/>
    </row>
    <row r="802" spans="1:8" ht="15.75">
      <c r="A802" s="19"/>
      <c r="D802" s="86"/>
      <c r="E802" s="86"/>
      <c r="F802" s="86"/>
      <c r="G802" s="86"/>
      <c r="H802" s="86"/>
    </row>
    <row r="803" spans="1:8" ht="15.75">
      <c r="A803" s="19"/>
      <c r="D803" s="86"/>
      <c r="E803" s="86"/>
      <c r="F803" s="86"/>
      <c r="G803" s="86"/>
      <c r="H803" s="86"/>
    </row>
    <row r="804" spans="1:8" ht="15.75">
      <c r="A804" s="19"/>
      <c r="D804" s="86"/>
      <c r="E804" s="86"/>
      <c r="F804" s="86"/>
      <c r="G804" s="86"/>
      <c r="H804" s="86"/>
    </row>
    <row r="805" spans="1:8" ht="15.75">
      <c r="A805" s="19"/>
      <c r="D805" s="86"/>
      <c r="E805" s="86"/>
      <c r="F805" s="86"/>
      <c r="G805" s="86"/>
      <c r="H805" s="86"/>
    </row>
    <row r="806" spans="1:8" ht="15.75">
      <c r="A806" s="19"/>
      <c r="D806" s="86"/>
      <c r="E806" s="86"/>
      <c r="F806" s="86"/>
      <c r="G806" s="86"/>
      <c r="H806" s="86"/>
    </row>
    <row r="807" spans="1:8" ht="15.75">
      <c r="A807" s="19"/>
      <c r="D807" s="86"/>
      <c r="E807" s="86"/>
      <c r="F807" s="86"/>
      <c r="G807" s="86"/>
      <c r="H807" s="86"/>
    </row>
    <row r="808" spans="1:8" ht="15.75">
      <c r="A808" s="19"/>
      <c r="D808" s="86"/>
      <c r="E808" s="86"/>
      <c r="F808" s="86"/>
      <c r="G808" s="86"/>
      <c r="H808" s="86"/>
    </row>
    <row r="809" spans="1:8" ht="15.75">
      <c r="A809" s="19"/>
      <c r="D809" s="86"/>
      <c r="E809" s="86"/>
      <c r="F809" s="86"/>
      <c r="G809" s="86"/>
      <c r="H809" s="86"/>
    </row>
    <row r="810" spans="1:8" ht="15.75">
      <c r="A810" s="19"/>
      <c r="D810" s="86"/>
      <c r="E810" s="86"/>
      <c r="F810" s="86"/>
      <c r="G810" s="86"/>
      <c r="H810" s="86"/>
    </row>
    <row r="811" spans="1:8" ht="15.75">
      <c r="A811" s="19"/>
      <c r="D811" s="86"/>
      <c r="E811" s="86"/>
      <c r="F811" s="86"/>
      <c r="G811" s="86"/>
      <c r="H811" s="86"/>
    </row>
    <row r="812" spans="1:8" ht="15.75">
      <c r="A812" s="19"/>
      <c r="D812" s="86"/>
      <c r="E812" s="86"/>
      <c r="F812" s="86"/>
      <c r="G812" s="86"/>
      <c r="H812" s="86"/>
    </row>
    <row r="813" spans="1:8" ht="15.75">
      <c r="A813" s="19"/>
      <c r="D813" s="86"/>
      <c r="E813" s="86"/>
      <c r="F813" s="86"/>
      <c r="G813" s="86"/>
      <c r="H813" s="86"/>
    </row>
    <row r="814" spans="1:8" ht="15.75">
      <c r="A814" s="19"/>
      <c r="D814" s="86"/>
      <c r="E814" s="86"/>
      <c r="F814" s="86"/>
      <c r="G814" s="86"/>
      <c r="H814" s="86"/>
    </row>
    <row r="815" spans="1:8" ht="15.75">
      <c r="A815" s="19"/>
      <c r="D815" s="86"/>
      <c r="E815" s="86"/>
      <c r="F815" s="86"/>
      <c r="G815" s="86"/>
      <c r="H815" s="86"/>
    </row>
    <row r="816" spans="1:8" ht="15.75">
      <c r="A816" s="19"/>
      <c r="D816" s="86"/>
      <c r="E816" s="86"/>
      <c r="F816" s="86"/>
      <c r="G816" s="86"/>
      <c r="H816" s="86"/>
    </row>
    <row r="817" spans="1:8" ht="15.75">
      <c r="A817" s="19"/>
      <c r="D817" s="86"/>
      <c r="E817" s="86"/>
      <c r="F817" s="86"/>
      <c r="G817" s="86"/>
      <c r="H817" s="86"/>
    </row>
    <row r="818" spans="1:8" ht="15.75">
      <c r="A818" s="19"/>
      <c r="D818" s="86"/>
      <c r="E818" s="86"/>
      <c r="F818" s="86"/>
      <c r="G818" s="86"/>
      <c r="H818" s="86"/>
    </row>
    <row r="819" spans="1:8" ht="15.75">
      <c r="A819" s="19"/>
      <c r="D819" s="86"/>
      <c r="E819" s="86"/>
      <c r="F819" s="86"/>
      <c r="G819" s="86"/>
      <c r="H819" s="86"/>
    </row>
    <row r="820" spans="1:8" ht="15.75">
      <c r="A820" s="19"/>
      <c r="D820" s="86"/>
      <c r="E820" s="86"/>
      <c r="F820" s="86"/>
      <c r="G820" s="86"/>
      <c r="H820" s="86"/>
    </row>
    <row r="821" spans="1:8" ht="15.75">
      <c r="A821" s="19"/>
      <c r="D821" s="86"/>
      <c r="E821" s="86"/>
      <c r="F821" s="86"/>
      <c r="G821" s="86"/>
      <c r="H821" s="86"/>
    </row>
    <row r="822" spans="1:8" ht="15.75">
      <c r="A822" s="19"/>
      <c r="D822" s="86"/>
      <c r="E822" s="86"/>
      <c r="F822" s="86"/>
      <c r="G822" s="86"/>
      <c r="H822" s="86"/>
    </row>
    <row r="823" spans="1:8" ht="15.75">
      <c r="A823" s="19"/>
      <c r="D823" s="86"/>
      <c r="E823" s="86"/>
      <c r="F823" s="86"/>
      <c r="G823" s="86"/>
      <c r="H823" s="86"/>
    </row>
    <row r="824" spans="1:8" ht="15.75">
      <c r="A824" s="19"/>
      <c r="D824" s="86"/>
      <c r="E824" s="86"/>
      <c r="F824" s="86"/>
      <c r="G824" s="86"/>
      <c r="H824" s="86"/>
    </row>
    <row r="825" spans="1:8" ht="15.75">
      <c r="A825" s="19"/>
      <c r="D825" s="86"/>
      <c r="E825" s="86"/>
      <c r="F825" s="86"/>
      <c r="G825" s="86"/>
      <c r="H825" s="86"/>
    </row>
    <row r="826" spans="1:8" ht="15.75">
      <c r="A826" s="19"/>
      <c r="D826" s="86"/>
      <c r="E826" s="86"/>
      <c r="F826" s="86"/>
      <c r="G826" s="86"/>
      <c r="H826" s="86"/>
    </row>
    <row r="827" spans="1:8" ht="15.75">
      <c r="A827" s="19"/>
      <c r="D827" s="86"/>
      <c r="E827" s="86"/>
      <c r="F827" s="86"/>
      <c r="G827" s="86"/>
      <c r="H827" s="86"/>
    </row>
    <row r="828" spans="1:8" ht="15.75">
      <c r="A828" s="19"/>
      <c r="D828" s="86"/>
      <c r="E828" s="86"/>
      <c r="F828" s="86"/>
      <c r="G828" s="86"/>
      <c r="H828" s="86"/>
    </row>
    <row r="829" spans="1:8" ht="15.75">
      <c r="A829" s="19"/>
      <c r="D829" s="86"/>
      <c r="E829" s="86"/>
      <c r="F829" s="86"/>
      <c r="G829" s="86"/>
      <c r="H829" s="86"/>
    </row>
    <row r="830" spans="1:8" ht="15.75">
      <c r="A830" s="19"/>
      <c r="D830" s="86"/>
      <c r="E830" s="86"/>
      <c r="F830" s="86"/>
      <c r="G830" s="86"/>
      <c r="H830" s="86"/>
    </row>
    <row r="831" spans="1:8" ht="15.75">
      <c r="A831" s="19"/>
      <c r="D831" s="86"/>
      <c r="E831" s="86"/>
      <c r="F831" s="86"/>
      <c r="G831" s="86"/>
      <c r="H831" s="86"/>
    </row>
    <row r="832" spans="1:8" ht="15.75">
      <c r="A832" s="19"/>
      <c r="D832" s="86"/>
      <c r="E832" s="86"/>
      <c r="F832" s="86"/>
      <c r="G832" s="86"/>
      <c r="H832" s="86"/>
    </row>
    <row r="833" spans="1:8" ht="15.75">
      <c r="A833" s="19"/>
      <c r="D833" s="86"/>
      <c r="E833" s="86"/>
      <c r="F833" s="86"/>
      <c r="G833" s="86"/>
      <c r="H833" s="86"/>
    </row>
    <row r="834" spans="1:8" ht="15.75">
      <c r="A834" s="19"/>
      <c r="D834" s="86"/>
      <c r="E834" s="86"/>
      <c r="F834" s="86"/>
      <c r="G834" s="86"/>
      <c r="H834" s="86"/>
    </row>
    <row r="835" spans="1:8" ht="15.75">
      <c r="A835" s="19"/>
      <c r="D835" s="86"/>
      <c r="E835" s="86"/>
      <c r="F835" s="86"/>
      <c r="G835" s="86"/>
      <c r="H835" s="86"/>
    </row>
    <row r="836" spans="1:8" ht="15.75">
      <c r="A836" s="19"/>
      <c r="D836" s="86"/>
      <c r="E836" s="86"/>
      <c r="F836" s="86"/>
      <c r="G836" s="86"/>
      <c r="H836" s="86"/>
    </row>
    <row r="837" spans="1:8" ht="15.75">
      <c r="A837" s="19"/>
      <c r="D837" s="86"/>
      <c r="E837" s="86"/>
      <c r="F837" s="86"/>
      <c r="G837" s="86"/>
      <c r="H837" s="86"/>
    </row>
    <row r="838" spans="1:8" ht="15.75">
      <c r="A838" s="19"/>
      <c r="D838" s="86"/>
      <c r="E838" s="86"/>
      <c r="F838" s="86"/>
      <c r="G838" s="86"/>
      <c r="H838" s="86"/>
    </row>
    <row r="839" spans="1:8" ht="15.75">
      <c r="A839" s="19"/>
      <c r="D839" s="86"/>
      <c r="E839" s="86"/>
      <c r="F839" s="86"/>
      <c r="G839" s="86"/>
      <c r="H839" s="86"/>
    </row>
    <row r="840" spans="1:8" ht="15.75">
      <c r="A840" s="19"/>
      <c r="D840" s="86"/>
      <c r="E840" s="86"/>
      <c r="F840" s="86"/>
      <c r="G840" s="86"/>
      <c r="H840" s="86"/>
    </row>
    <row r="841" spans="1:8" ht="15.75">
      <c r="A841" s="19"/>
      <c r="D841" s="86"/>
      <c r="E841" s="86"/>
      <c r="F841" s="86"/>
      <c r="G841" s="86"/>
      <c r="H841" s="86"/>
    </row>
    <row r="842" spans="1:8" ht="15.75">
      <c r="A842" s="19"/>
      <c r="D842" s="86"/>
      <c r="E842" s="86"/>
      <c r="F842" s="86"/>
      <c r="G842" s="86"/>
      <c r="H842" s="86"/>
    </row>
    <row r="843" spans="1:8" ht="15.75">
      <c r="A843" s="19"/>
      <c r="D843" s="86"/>
      <c r="E843" s="86"/>
      <c r="F843" s="86"/>
      <c r="G843" s="86"/>
      <c r="H843" s="86"/>
    </row>
    <row r="844" spans="1:8" ht="15.75">
      <c r="A844" s="19"/>
      <c r="D844" s="86"/>
      <c r="E844" s="86"/>
      <c r="F844" s="86"/>
      <c r="G844" s="86"/>
      <c r="H844" s="86"/>
    </row>
    <row r="845" spans="1:8" ht="15.75">
      <c r="A845" s="19"/>
      <c r="D845" s="86"/>
      <c r="E845" s="86"/>
      <c r="F845" s="86"/>
      <c r="G845" s="86"/>
      <c r="H845" s="86"/>
    </row>
    <row r="846" spans="1:8" ht="15.75">
      <c r="A846" s="19"/>
      <c r="D846" s="86"/>
      <c r="E846" s="86"/>
      <c r="F846" s="86"/>
      <c r="G846" s="86"/>
      <c r="H846" s="86"/>
    </row>
    <row r="847" spans="1:8" ht="15.75">
      <c r="A847" s="19"/>
      <c r="D847" s="86"/>
      <c r="E847" s="86"/>
      <c r="F847" s="86"/>
      <c r="G847" s="86"/>
      <c r="H847" s="86"/>
    </row>
    <row r="848" spans="1:8" ht="15.75">
      <c r="A848" s="19"/>
      <c r="D848" s="86"/>
      <c r="E848" s="86"/>
      <c r="F848" s="86"/>
      <c r="G848" s="86"/>
      <c r="H848" s="86"/>
    </row>
    <row r="849" spans="1:8" ht="15.75">
      <c r="A849" s="19"/>
      <c r="D849" s="86"/>
      <c r="E849" s="86"/>
      <c r="F849" s="86"/>
      <c r="G849" s="86"/>
      <c r="H849" s="86"/>
    </row>
    <row r="850" spans="1:8" ht="15.75">
      <c r="A850" s="19"/>
      <c r="D850" s="86"/>
      <c r="E850" s="86"/>
      <c r="F850" s="86"/>
      <c r="G850" s="86"/>
      <c r="H850" s="86"/>
    </row>
    <row r="851" spans="1:8" ht="15.75">
      <c r="A851" s="19"/>
      <c r="D851" s="86"/>
      <c r="E851" s="86"/>
      <c r="F851" s="86"/>
      <c r="G851" s="86"/>
      <c r="H851" s="86"/>
    </row>
    <row r="852" spans="1:8" ht="15.75">
      <c r="A852" s="19"/>
      <c r="D852" s="86"/>
      <c r="E852" s="86"/>
      <c r="F852" s="86"/>
      <c r="G852" s="86"/>
      <c r="H852" s="86"/>
    </row>
    <row r="853" spans="1:8" ht="15.75">
      <c r="A853" s="19"/>
      <c r="D853" s="86"/>
      <c r="E853" s="86"/>
      <c r="F853" s="86"/>
      <c r="G853" s="86"/>
      <c r="H853" s="86"/>
    </row>
    <row r="854" spans="1:8" ht="15.75">
      <c r="A854" s="19"/>
      <c r="D854" s="86"/>
      <c r="E854" s="86"/>
      <c r="F854" s="86"/>
      <c r="G854" s="86"/>
      <c r="H854" s="86"/>
    </row>
    <row r="855" spans="1:8" ht="15.75">
      <c r="A855" s="19"/>
      <c r="D855" s="86"/>
      <c r="E855" s="86"/>
      <c r="F855" s="86"/>
      <c r="G855" s="86"/>
      <c r="H855" s="86"/>
    </row>
    <row r="856" spans="1:8" ht="15.75">
      <c r="A856" s="19"/>
      <c r="D856" s="86"/>
      <c r="E856" s="86"/>
      <c r="F856" s="86"/>
      <c r="G856" s="86"/>
      <c r="H856" s="86"/>
    </row>
    <row r="857" spans="1:8" ht="15.75">
      <c r="A857" s="19"/>
      <c r="D857" s="86"/>
      <c r="E857" s="86"/>
      <c r="F857" s="86"/>
      <c r="G857" s="86"/>
      <c r="H857" s="86"/>
    </row>
    <row r="858" spans="1:8" ht="15.75">
      <c r="A858" s="19"/>
      <c r="D858" s="86"/>
      <c r="E858" s="86"/>
      <c r="F858" s="86"/>
      <c r="G858" s="86"/>
      <c r="H858" s="86"/>
    </row>
    <row r="859" spans="1:8" ht="15.75">
      <c r="A859" s="19"/>
      <c r="D859" s="86"/>
      <c r="E859" s="86"/>
      <c r="F859" s="86"/>
      <c r="G859" s="86"/>
      <c r="H859" s="86"/>
    </row>
    <row r="860" spans="1:8" ht="15.75">
      <c r="A860" s="19"/>
      <c r="D860" s="86"/>
      <c r="E860" s="86"/>
      <c r="F860" s="86"/>
      <c r="G860" s="86"/>
      <c r="H860" s="86"/>
    </row>
    <row r="861" spans="1:8" ht="15.75">
      <c r="A861" s="19"/>
      <c r="D861" s="86"/>
      <c r="E861" s="86"/>
      <c r="F861" s="86"/>
      <c r="G861" s="86"/>
      <c r="H861" s="86"/>
    </row>
    <row r="862" spans="1:8" ht="15.75">
      <c r="A862" s="19"/>
      <c r="D862" s="86"/>
      <c r="E862" s="86"/>
      <c r="F862" s="86"/>
      <c r="G862" s="86"/>
      <c r="H862" s="86"/>
    </row>
    <row r="863" spans="1:8" ht="15.75">
      <c r="A863" s="19"/>
      <c r="D863" s="86"/>
      <c r="E863" s="86"/>
      <c r="F863" s="86"/>
      <c r="G863" s="86"/>
      <c r="H863" s="86"/>
    </row>
    <row r="864" spans="1:8" ht="15.75">
      <c r="A864" s="19"/>
      <c r="D864" s="86"/>
      <c r="E864" s="86"/>
      <c r="F864" s="86"/>
      <c r="G864" s="86"/>
      <c r="H864" s="86"/>
    </row>
    <row r="865" spans="1:8" ht="15.75">
      <c r="A865" s="19"/>
      <c r="D865" s="86"/>
      <c r="E865" s="86"/>
      <c r="F865" s="86"/>
      <c r="G865" s="86"/>
      <c r="H865" s="86"/>
    </row>
    <row r="866" spans="1:8" ht="15.75">
      <c r="A866" s="19"/>
      <c r="D866" s="86"/>
      <c r="E866" s="86"/>
      <c r="F866" s="86"/>
      <c r="G866" s="86"/>
      <c r="H866" s="86"/>
    </row>
    <row r="867" spans="1:8" ht="15.75">
      <c r="A867" s="19"/>
      <c r="D867" s="86"/>
      <c r="E867" s="86"/>
      <c r="F867" s="86"/>
      <c r="G867" s="86"/>
      <c r="H867" s="86"/>
    </row>
    <row r="868" spans="1:8" ht="15.75">
      <c r="A868" s="19"/>
      <c r="D868" s="86"/>
      <c r="E868" s="86"/>
      <c r="F868" s="86"/>
      <c r="G868" s="86"/>
      <c r="H868" s="86"/>
    </row>
    <row r="869" spans="1:8" ht="15.75">
      <c r="A869" s="19"/>
      <c r="D869" s="86"/>
      <c r="E869" s="86"/>
      <c r="F869" s="86"/>
      <c r="G869" s="86"/>
      <c r="H869" s="86"/>
    </row>
    <row r="870" spans="1:8" ht="15.75">
      <c r="A870" s="19"/>
      <c r="D870" s="86"/>
      <c r="E870" s="86"/>
      <c r="F870" s="86"/>
      <c r="G870" s="86"/>
      <c r="H870" s="86"/>
    </row>
    <row r="871" spans="1:8" ht="15.75">
      <c r="A871" s="19"/>
      <c r="D871" s="86"/>
      <c r="E871" s="86"/>
      <c r="F871" s="86"/>
      <c r="G871" s="86"/>
      <c r="H871" s="86"/>
    </row>
    <row r="872" spans="1:8" ht="15.75">
      <c r="A872" s="19"/>
      <c r="D872" s="86"/>
      <c r="E872" s="86"/>
      <c r="F872" s="86"/>
      <c r="G872" s="86"/>
      <c r="H872" s="86"/>
    </row>
    <row r="873" spans="1:8" ht="15.75">
      <c r="A873" s="19"/>
      <c r="D873" s="86"/>
      <c r="E873" s="86"/>
      <c r="F873" s="86"/>
      <c r="G873" s="86"/>
      <c r="H873" s="86"/>
    </row>
    <row r="874" spans="1:8" ht="15.75">
      <c r="A874" s="19"/>
      <c r="D874" s="86"/>
      <c r="E874" s="86"/>
      <c r="F874" s="86"/>
      <c r="G874" s="86"/>
      <c r="H874" s="86"/>
    </row>
    <row r="875" spans="1:8" ht="15.75">
      <c r="A875" s="19"/>
      <c r="D875" s="86"/>
      <c r="E875" s="86"/>
      <c r="F875" s="86"/>
      <c r="G875" s="86"/>
      <c r="H875" s="86"/>
    </row>
    <row r="876" spans="1:8" ht="15.75">
      <c r="A876" s="19"/>
      <c r="D876" s="86"/>
      <c r="E876" s="86"/>
      <c r="F876" s="86"/>
      <c r="G876" s="86"/>
      <c r="H876" s="86"/>
    </row>
    <row r="877" spans="1:8" ht="15.75">
      <c r="A877" s="19"/>
      <c r="D877" s="86"/>
      <c r="E877" s="86"/>
      <c r="F877" s="86"/>
      <c r="G877" s="86"/>
      <c r="H877" s="86"/>
    </row>
    <row r="878" spans="1:8" ht="15.75">
      <c r="A878" s="19"/>
      <c r="D878" s="86"/>
      <c r="E878" s="86"/>
      <c r="F878" s="86"/>
      <c r="G878" s="86"/>
      <c r="H878" s="86"/>
    </row>
    <row r="879" spans="1:8" ht="15.75">
      <c r="A879" s="19"/>
      <c r="D879" s="86"/>
      <c r="E879" s="86"/>
      <c r="F879" s="86"/>
      <c r="G879" s="86"/>
      <c r="H879" s="86"/>
    </row>
    <row r="880" spans="1:8" ht="15.75">
      <c r="A880" s="19"/>
      <c r="D880" s="86"/>
      <c r="E880" s="86"/>
      <c r="F880" s="86"/>
      <c r="G880" s="86"/>
      <c r="H880" s="86"/>
    </row>
    <row r="881" spans="1:8" ht="15.75">
      <c r="A881" s="19"/>
      <c r="D881" s="86"/>
      <c r="E881" s="86"/>
      <c r="F881" s="86"/>
      <c r="G881" s="86"/>
      <c r="H881" s="86"/>
    </row>
    <row r="882" spans="1:8" ht="15.75">
      <c r="A882" s="19"/>
      <c r="D882" s="86"/>
      <c r="E882" s="86"/>
      <c r="F882" s="86"/>
      <c r="G882" s="86"/>
      <c r="H882" s="86"/>
    </row>
    <row r="883" spans="1:8" ht="15.75">
      <c r="A883" s="19"/>
      <c r="D883" s="86"/>
      <c r="E883" s="86"/>
      <c r="F883" s="86"/>
      <c r="G883" s="86"/>
      <c r="H883" s="86"/>
    </row>
    <row r="884" spans="1:8" ht="15.75">
      <c r="A884" s="19"/>
      <c r="D884" s="86"/>
      <c r="E884" s="86"/>
      <c r="F884" s="86"/>
      <c r="G884" s="86"/>
      <c r="H884" s="86"/>
    </row>
    <row r="885" spans="1:8" ht="15.75">
      <c r="A885" s="19"/>
      <c r="D885" s="86"/>
      <c r="E885" s="86"/>
      <c r="F885" s="86"/>
      <c r="G885" s="86"/>
      <c r="H885" s="86"/>
    </row>
    <row r="886" spans="1:8" ht="15.75">
      <c r="A886" s="19"/>
      <c r="D886" s="86"/>
      <c r="E886" s="86"/>
      <c r="F886" s="86"/>
      <c r="G886" s="86"/>
      <c r="H886" s="86"/>
    </row>
    <row r="887" spans="1:8" ht="15.75">
      <c r="A887" s="19"/>
      <c r="D887" s="86"/>
      <c r="E887" s="86"/>
      <c r="F887" s="86"/>
      <c r="G887" s="86"/>
      <c r="H887" s="86"/>
    </row>
    <row r="888" spans="1:8" ht="15.75">
      <c r="A888" s="19"/>
      <c r="D888" s="86"/>
      <c r="E888" s="86"/>
      <c r="F888" s="86"/>
      <c r="G888" s="86"/>
      <c r="H888" s="86"/>
    </row>
    <row r="889" spans="1:8" ht="15.75">
      <c r="A889" s="19"/>
      <c r="D889" s="86"/>
      <c r="E889" s="86"/>
      <c r="F889" s="86"/>
      <c r="G889" s="86"/>
      <c r="H889" s="86"/>
    </row>
    <row r="890" spans="1:8" ht="15.75">
      <c r="A890" s="19"/>
      <c r="D890" s="86"/>
      <c r="E890" s="86"/>
      <c r="F890" s="86"/>
      <c r="G890" s="86"/>
      <c r="H890" s="86"/>
    </row>
    <row r="891" spans="1:8" ht="15.75">
      <c r="A891" s="19"/>
      <c r="D891" s="86"/>
      <c r="E891" s="86"/>
      <c r="F891" s="86"/>
      <c r="G891" s="86"/>
      <c r="H891" s="86"/>
    </row>
    <row r="892" spans="1:8" ht="15.75">
      <c r="A892" s="19"/>
      <c r="D892" s="86"/>
      <c r="E892" s="86"/>
      <c r="F892" s="86"/>
      <c r="G892" s="86"/>
      <c r="H892" s="86"/>
    </row>
    <row r="893" spans="1:8" ht="15.75">
      <c r="A893" s="19"/>
      <c r="D893" s="86"/>
      <c r="E893" s="86"/>
      <c r="F893" s="86"/>
      <c r="G893" s="86"/>
      <c r="H893" s="86"/>
    </row>
    <row r="894" spans="1:8" ht="15.75">
      <c r="A894" s="19"/>
      <c r="D894" s="86"/>
      <c r="E894" s="86"/>
      <c r="F894" s="86"/>
      <c r="G894" s="86"/>
      <c r="H894" s="86"/>
    </row>
    <row r="895" spans="1:8" ht="15.75">
      <c r="A895" s="19"/>
      <c r="D895" s="86"/>
      <c r="E895" s="86"/>
      <c r="F895" s="86"/>
      <c r="G895" s="86"/>
      <c r="H895" s="86"/>
    </row>
    <row r="896" spans="1:8" ht="15.75">
      <c r="A896" s="19"/>
      <c r="D896" s="86"/>
      <c r="E896" s="86"/>
      <c r="F896" s="86"/>
      <c r="G896" s="86"/>
      <c r="H896" s="86"/>
    </row>
    <row r="897" spans="1:8" ht="15.75">
      <c r="A897" s="19"/>
      <c r="D897" s="86"/>
      <c r="E897" s="86"/>
      <c r="F897" s="86"/>
      <c r="G897" s="86"/>
      <c r="H897" s="86"/>
    </row>
    <row r="898" spans="1:8" ht="15.75">
      <c r="A898" s="19"/>
      <c r="D898" s="86"/>
      <c r="E898" s="86"/>
      <c r="F898" s="86"/>
      <c r="G898" s="86"/>
      <c r="H898" s="86"/>
    </row>
    <row r="899" spans="1:8" ht="15.75">
      <c r="A899" s="19"/>
      <c r="D899" s="86"/>
      <c r="E899" s="86"/>
      <c r="F899" s="86"/>
      <c r="G899" s="86"/>
      <c r="H899" s="86"/>
    </row>
    <row r="900" spans="1:8" ht="15.75">
      <c r="A900" s="19"/>
      <c r="D900" s="86"/>
      <c r="E900" s="86"/>
      <c r="F900" s="86"/>
      <c r="G900" s="86"/>
      <c r="H900" s="86"/>
    </row>
    <row r="901" spans="1:8" ht="15.75">
      <c r="A901" s="19"/>
      <c r="D901" s="86"/>
      <c r="E901" s="86"/>
      <c r="F901" s="86"/>
      <c r="G901" s="86"/>
      <c r="H901" s="86"/>
    </row>
    <row r="902" spans="1:8" ht="15.75">
      <c r="A902" s="19"/>
      <c r="D902" s="86"/>
      <c r="E902" s="86"/>
      <c r="F902" s="86"/>
      <c r="G902" s="86"/>
      <c r="H902" s="86"/>
    </row>
    <row r="903" spans="1:8" ht="15.75">
      <c r="A903" s="19"/>
      <c r="D903" s="86"/>
      <c r="E903" s="86"/>
      <c r="F903" s="86"/>
      <c r="G903" s="86"/>
      <c r="H903" s="86"/>
    </row>
    <row r="904" spans="1:8" ht="15.75">
      <c r="A904" s="19"/>
      <c r="D904" s="86"/>
      <c r="E904" s="86"/>
      <c r="F904" s="86"/>
      <c r="G904" s="86"/>
      <c r="H904" s="86"/>
    </row>
    <row r="905" spans="1:8" ht="15.75">
      <c r="A905" s="19"/>
      <c r="D905" s="86"/>
      <c r="E905" s="86"/>
      <c r="F905" s="86"/>
      <c r="G905" s="86"/>
      <c r="H905" s="86"/>
    </row>
    <row r="906" spans="1:8" ht="15.75">
      <c r="A906" s="19"/>
      <c r="D906" s="86"/>
      <c r="E906" s="86"/>
      <c r="F906" s="86"/>
      <c r="G906" s="86"/>
      <c r="H906" s="86"/>
    </row>
    <row r="907" spans="1:8" ht="15.75">
      <c r="A907" s="19"/>
      <c r="D907" s="86"/>
      <c r="E907" s="86"/>
      <c r="F907" s="86"/>
      <c r="G907" s="86"/>
      <c r="H907" s="86"/>
    </row>
    <row r="908" spans="1:8" ht="15.75">
      <c r="A908" s="19"/>
      <c r="D908" s="86"/>
      <c r="E908" s="86"/>
      <c r="F908" s="86"/>
      <c r="G908" s="86"/>
      <c r="H908" s="86"/>
    </row>
    <row r="909" spans="1:8" ht="15.75">
      <c r="A909" s="19"/>
      <c r="D909" s="86"/>
      <c r="E909" s="86"/>
      <c r="F909" s="86"/>
      <c r="G909" s="86"/>
      <c r="H909" s="86"/>
    </row>
    <row r="910" spans="1:8" ht="15.75">
      <c r="A910" s="19"/>
      <c r="D910" s="86"/>
      <c r="E910" s="86"/>
      <c r="F910" s="86"/>
      <c r="G910" s="86"/>
      <c r="H910" s="86"/>
    </row>
    <row r="911" spans="1:8" ht="15.75">
      <c r="A911" s="19"/>
      <c r="D911" s="86"/>
      <c r="E911" s="86"/>
      <c r="F911" s="86"/>
      <c r="G911" s="86"/>
      <c r="H911" s="86"/>
    </row>
    <row r="912" spans="1:8" ht="15.75">
      <c r="A912" s="19"/>
      <c r="D912" s="86"/>
      <c r="E912" s="86"/>
      <c r="F912" s="86"/>
      <c r="G912" s="86"/>
      <c r="H912" s="86"/>
    </row>
    <row r="913" spans="1:8" ht="15.75">
      <c r="A913" s="19"/>
      <c r="D913" s="86"/>
      <c r="E913" s="86"/>
      <c r="F913" s="86"/>
      <c r="G913" s="86"/>
      <c r="H913" s="86"/>
    </row>
    <row r="914" spans="1:8" ht="15.75">
      <c r="A914" s="19"/>
      <c r="D914" s="86"/>
      <c r="E914" s="86"/>
      <c r="F914" s="86"/>
      <c r="G914" s="86"/>
      <c r="H914" s="86"/>
    </row>
    <row r="915" spans="1:8" ht="15.75">
      <c r="A915" s="19"/>
      <c r="D915" s="86"/>
      <c r="E915" s="86"/>
      <c r="F915" s="86"/>
      <c r="G915" s="86"/>
      <c r="H915" s="86"/>
    </row>
    <row r="916" spans="1:8" ht="15.75">
      <c r="A916" s="19"/>
      <c r="D916" s="86"/>
      <c r="E916" s="86"/>
      <c r="F916" s="86"/>
      <c r="G916" s="86"/>
      <c r="H916" s="86"/>
    </row>
    <row r="917" spans="1:8" ht="15.75">
      <c r="A917" s="19"/>
      <c r="D917" s="86"/>
      <c r="E917" s="86"/>
      <c r="F917" s="86"/>
      <c r="G917" s="86"/>
      <c r="H917" s="86"/>
    </row>
    <row r="918" spans="1:8" ht="15.75">
      <c r="A918" s="19"/>
      <c r="D918" s="86"/>
      <c r="E918" s="86"/>
      <c r="F918" s="86"/>
      <c r="G918" s="86"/>
      <c r="H918" s="86"/>
    </row>
    <row r="919" spans="1:8" ht="15.75">
      <c r="A919" s="19"/>
      <c r="D919" s="86"/>
      <c r="E919" s="86"/>
      <c r="F919" s="86"/>
      <c r="G919" s="86"/>
      <c r="H919" s="86"/>
    </row>
    <row r="920" spans="1:8" ht="15.75">
      <c r="A920" s="19"/>
      <c r="D920" s="86"/>
      <c r="E920" s="86"/>
      <c r="F920" s="86"/>
      <c r="G920" s="86"/>
      <c r="H920" s="86"/>
    </row>
    <row r="921" spans="1:8" ht="15.75">
      <c r="A921" s="19"/>
      <c r="D921" s="86"/>
      <c r="E921" s="86"/>
      <c r="F921" s="86"/>
      <c r="G921" s="86"/>
      <c r="H921" s="86"/>
    </row>
    <row r="922" spans="1:8" ht="15.75">
      <c r="A922" s="19"/>
      <c r="D922" s="86"/>
      <c r="E922" s="86"/>
      <c r="F922" s="86"/>
      <c r="G922" s="86"/>
      <c r="H922" s="86"/>
    </row>
    <row r="923" spans="1:8" ht="15.75">
      <c r="A923" s="19"/>
      <c r="D923" s="86"/>
      <c r="E923" s="86"/>
      <c r="F923" s="86"/>
      <c r="G923" s="86"/>
      <c r="H923" s="86"/>
    </row>
    <row r="924" spans="1:8" ht="15.75">
      <c r="A924" s="19"/>
      <c r="D924" s="86"/>
      <c r="E924" s="86"/>
      <c r="F924" s="86"/>
      <c r="G924" s="86"/>
      <c r="H924" s="86"/>
    </row>
    <row r="925" spans="1:8" ht="15.75">
      <c r="A925" s="19"/>
      <c r="D925" s="86"/>
      <c r="E925" s="86"/>
      <c r="F925" s="86"/>
      <c r="G925" s="86"/>
      <c r="H925" s="86"/>
    </row>
    <row r="926" spans="1:8" ht="15.75">
      <c r="A926" s="19"/>
      <c r="D926" s="86"/>
      <c r="E926" s="86"/>
      <c r="F926" s="86"/>
      <c r="G926" s="86"/>
      <c r="H926" s="86"/>
    </row>
    <row r="927" spans="1:8" ht="15.75">
      <c r="A927" s="19"/>
      <c r="D927" s="86"/>
      <c r="E927" s="86"/>
      <c r="F927" s="86"/>
      <c r="G927" s="86"/>
      <c r="H927" s="86"/>
    </row>
    <row r="928" spans="1:8" ht="15.75">
      <c r="A928" s="19"/>
      <c r="D928" s="86"/>
      <c r="E928" s="86"/>
      <c r="F928" s="86"/>
      <c r="G928" s="86"/>
      <c r="H928" s="86"/>
    </row>
    <row r="929" spans="1:8" ht="15.75">
      <c r="A929" s="19"/>
      <c r="D929" s="86"/>
      <c r="E929" s="86"/>
      <c r="F929" s="86"/>
      <c r="G929" s="86"/>
      <c r="H929" s="86"/>
    </row>
    <row r="930" spans="1:8" ht="15.75">
      <c r="A930" s="19"/>
      <c r="D930" s="86"/>
      <c r="E930" s="86"/>
      <c r="F930" s="86"/>
      <c r="G930" s="86"/>
      <c r="H930" s="86"/>
    </row>
    <row r="931" spans="1:8" ht="15.75">
      <c r="A931" s="19"/>
      <c r="D931" s="86"/>
      <c r="E931" s="86"/>
      <c r="F931" s="86"/>
      <c r="G931" s="86"/>
      <c r="H931" s="86"/>
    </row>
    <row r="932" spans="1:8" ht="15.75">
      <c r="A932" s="19"/>
      <c r="D932" s="86"/>
      <c r="E932" s="86"/>
      <c r="F932" s="86"/>
      <c r="G932" s="86"/>
      <c r="H932" s="86"/>
    </row>
    <row r="933" spans="1:8" ht="15.75">
      <c r="A933" s="19"/>
      <c r="D933" s="86"/>
      <c r="E933" s="86"/>
      <c r="F933" s="86"/>
      <c r="G933" s="86"/>
      <c r="H933" s="86"/>
    </row>
    <row r="934" spans="1:8" ht="15.75">
      <c r="A934" s="19"/>
      <c r="D934" s="86"/>
      <c r="E934" s="86"/>
      <c r="F934" s="86"/>
      <c r="G934" s="86"/>
      <c r="H934" s="86"/>
    </row>
  </sheetData>
  <mergeCells count="24">
    <mergeCell ref="D4:H4"/>
    <mergeCell ref="D5:H5"/>
    <mergeCell ref="D6:H6"/>
    <mergeCell ref="D7:H7"/>
    <mergeCell ref="D13:H13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14:H14"/>
    <mergeCell ref="D15:H15"/>
    <mergeCell ref="D23:H23"/>
    <mergeCell ref="D24:H24"/>
    <mergeCell ref="D25:H25"/>
    <mergeCell ref="D27:H27"/>
    <mergeCell ref="D28:H28"/>
    <mergeCell ref="D29:H29"/>
    <mergeCell ref="D30:H30"/>
  </mergeCells>
  <printOptions gridLines="1"/>
  <pageMargins left="0.31496062992125984" right="0.31496062992125984" top="0.74803149606299213" bottom="0.74803149606299213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Hoja3!$R$4:$R$99</xm:f>
          </x14:formula1>
          <xm:sqref>B38 B40 B44:B47</xm:sqref>
        </x14:dataValidation>
        <x14:dataValidation type="list" allowBlank="1" showErrorMessage="1">
          <x14:formula1>
            <xm:f>Hoja3!$R$3:$R$99</xm:f>
          </x14:formula1>
          <xm:sqref>B35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G19"/>
  <sheetViews>
    <sheetView workbookViewId="0"/>
  </sheetViews>
  <sheetFormatPr baseColWidth="10" defaultColWidth="14.42578125" defaultRowHeight="15" customHeight="1"/>
  <cols>
    <col min="1" max="1" width="30.28515625" customWidth="1"/>
    <col min="2" max="2" width="20.28515625" customWidth="1"/>
  </cols>
  <sheetData>
    <row r="1" spans="1:7">
      <c r="A1" s="99" t="str">
        <f ca="1">IFERROR(__xludf.DUMMYFUNCTION("QUERY(MIR!A32:AF49,""select C, M, O, AE where A='FIN'"",1)"),"RESUMEN NARRATIVO")</f>
        <v>RESUMEN NARRATIVO</v>
      </c>
      <c r="B1" s="100" t="str">
        <f ca="1">IFERROR(__xludf.DUMMYFUNCTION("""COMPUTED_VALUE"""),"UNIDAD DE MEDIDA")</f>
        <v>UNIDAD DE MEDIDA</v>
      </c>
      <c r="C1" s="100" t="str">
        <f ca="1">IFERROR(__xludf.DUMMYFUNCTION("""COMPUTED_VALUE"""),"META PROGRAMADA")</f>
        <v>META PROGRAMADA</v>
      </c>
      <c r="D1" s="100" t="str">
        <f ca="1">IFERROR(__xludf.DUMMYFUNCTION("""COMPUTED_VALUE"""),"Total acumulado")</f>
        <v>Total acumulado</v>
      </c>
      <c r="E1" s="101" t="s">
        <v>246</v>
      </c>
      <c r="F1" s="101" t="s">
        <v>247</v>
      </c>
      <c r="G1" s="183" t="s">
        <v>74</v>
      </c>
    </row>
    <row r="2" spans="1:7">
      <c r="A2" s="102" t="str">
        <f ca="1">IFERROR(__xludf.DUMMYFUNCTION("""COMPUTED_VALUE"""),"COMPONENTE 1")</f>
        <v>COMPONENTE 1</v>
      </c>
      <c r="B2" s="98" t="str">
        <f ca="1">IFERROR(__xludf.DUMMYFUNCTION("""COMPUTED_VALUE"""),"Promedio")</f>
        <v>Promedio</v>
      </c>
      <c r="C2" s="6">
        <f ca="1">IFERROR(__xludf.DUMMYFUNCTION("""COMPUTED_VALUE"""),372)</f>
        <v>372</v>
      </c>
      <c r="D2" s="6">
        <f ca="1">IFERROR(__xludf.DUMMYFUNCTION("""COMPUTED_VALUE"""),1308)</f>
        <v>1308</v>
      </c>
      <c r="E2" s="98">
        <f t="shared" ref="E2:E5" ca="1" si="0">C2/3</f>
        <v>124</v>
      </c>
      <c r="F2" s="98">
        <f t="shared" ref="F2:F5" ca="1" si="1">D2/6</f>
        <v>218</v>
      </c>
      <c r="G2" s="184"/>
    </row>
    <row r="3" spans="1:7">
      <c r="A3" s="102" t="str">
        <f ca="1">IFERROR(__xludf.DUMMYFUNCTION("""COMPUTED_VALUE"""),"COMPONENTE 2")</f>
        <v>COMPONENTE 2</v>
      </c>
      <c r="B3" s="98" t="str">
        <f ca="1">IFERROR(__xludf.DUMMYFUNCTION("""COMPUTED_VALUE"""),"Promedio")</f>
        <v>Promedio</v>
      </c>
      <c r="C3" s="6">
        <f ca="1">IFERROR(__xludf.DUMMYFUNCTION("""COMPUTED_VALUE"""),450)</f>
        <v>450</v>
      </c>
      <c r="D3" s="6">
        <f ca="1">IFERROR(__xludf.DUMMYFUNCTION("""COMPUTED_VALUE"""),1430)</f>
        <v>1430</v>
      </c>
      <c r="E3" s="98">
        <f t="shared" ca="1" si="0"/>
        <v>150</v>
      </c>
      <c r="F3" s="98">
        <f t="shared" ca="1" si="1"/>
        <v>238.33333333333334</v>
      </c>
      <c r="G3" s="184"/>
    </row>
    <row r="4" spans="1:7">
      <c r="A4" s="102" t="str">
        <f ca="1">IFERROR(__xludf.DUMMYFUNCTION("""COMPUTED_VALUE"""),"ACTIVIDAD 3.1")</f>
        <v>ACTIVIDAD 3.1</v>
      </c>
      <c r="B4" s="98" t="str">
        <f ca="1">IFERROR(__xludf.DUMMYFUNCTION("""COMPUTED_VALUE"""),"Promedio")</f>
        <v>Promedio</v>
      </c>
      <c r="C4" s="6">
        <f ca="1">IFERROR(__xludf.DUMMYFUNCTION("""COMPUTED_VALUE"""),66)</f>
        <v>66</v>
      </c>
      <c r="D4" s="6">
        <f ca="1">IFERROR(__xludf.DUMMYFUNCTION("""COMPUTED_VALUE"""),201)</f>
        <v>201</v>
      </c>
      <c r="E4" s="98">
        <f t="shared" ca="1" si="0"/>
        <v>22</v>
      </c>
      <c r="F4" s="98">
        <f t="shared" ca="1" si="1"/>
        <v>33.5</v>
      </c>
      <c r="G4" s="184"/>
    </row>
    <row r="5" spans="1:7">
      <c r="A5" s="102" t="str">
        <f ca="1">IFERROR(__xludf.DUMMYFUNCTION("""COMPUTED_VALUE"""),"COMPONENTE 4")</f>
        <v>COMPONENTE 4</v>
      </c>
      <c r="B5" s="98" t="str">
        <f ca="1">IFERROR(__xludf.DUMMYFUNCTION("""COMPUTED_VALUE"""),"Promedio")</f>
        <v>Promedio</v>
      </c>
      <c r="C5" s="6">
        <f ca="1">IFERROR(__xludf.DUMMYFUNCTION("""COMPUTED_VALUE"""),6000)</f>
        <v>6000</v>
      </c>
      <c r="D5" s="6">
        <f ca="1">IFERROR(__xludf.DUMMYFUNCTION("""COMPUTED_VALUE"""),22018)</f>
        <v>22018</v>
      </c>
      <c r="E5" s="98">
        <f t="shared" ca="1" si="0"/>
        <v>2000</v>
      </c>
      <c r="F5" s="98">
        <f t="shared" ca="1" si="1"/>
        <v>3669.6666666666665</v>
      </c>
      <c r="G5" s="184"/>
    </row>
    <row r="6" spans="1:7">
      <c r="A6" s="103" t="str">
        <f ca="1">IFERROR(__xludf.DUMMYFUNCTION("""COMPUTED_VALUE"""),"COMPONENTE 5")</f>
        <v>COMPONENTE 5</v>
      </c>
      <c r="B6" s="104" t="str">
        <f ca="1">IFERROR(__xludf.DUMMYFUNCTION("""COMPUTED_VALUE"""),"Porcentaje")</f>
        <v>Porcentaje</v>
      </c>
      <c r="C6" s="105">
        <f ca="1">IFERROR(__xludf.DUMMYFUNCTION("""COMPUTED_VALUE"""),7920)</f>
        <v>7920</v>
      </c>
      <c r="D6" s="105">
        <f ca="1">IFERROR(__xludf.DUMMYFUNCTION("""COMPUTED_VALUE"""),7679)</f>
        <v>7679</v>
      </c>
      <c r="E6" s="105">
        <f t="shared" ref="E6:F6" ca="1" si="2">C6</f>
        <v>7920</v>
      </c>
      <c r="F6" s="6">
        <f t="shared" ca="1" si="2"/>
        <v>7679</v>
      </c>
      <c r="G6" s="167"/>
    </row>
    <row r="8" spans="1:7">
      <c r="E8" s="106">
        <f t="shared" ref="E8:F8" ca="1" si="3">SUM(E2:E6)</f>
        <v>10216</v>
      </c>
      <c r="F8" s="106">
        <f t="shared" ca="1" si="3"/>
        <v>11838.5</v>
      </c>
      <c r="G8" s="107">
        <f ca="1">10216-E8</f>
        <v>0</v>
      </c>
    </row>
    <row r="11" spans="1:7">
      <c r="A11" s="99" t="str">
        <f ca="1">IFERROR(__xludf.DUMMYFUNCTION("QUERY(MIR!A32:AF49,""select C, M, O,AE where A='PROPÓSITO'"",1)"),"RESUMEN NARRATIVO")</f>
        <v>RESUMEN NARRATIVO</v>
      </c>
      <c r="B11" s="100" t="str">
        <f ca="1">IFERROR(__xludf.DUMMYFUNCTION("""COMPUTED_VALUE"""),"UNIDAD DE MEDIDA")</f>
        <v>UNIDAD DE MEDIDA</v>
      </c>
      <c r="C11" s="100" t="str">
        <f ca="1">IFERROR(__xludf.DUMMYFUNCTION("""COMPUTED_VALUE"""),"META PROGRAMADA")</f>
        <v>META PROGRAMADA</v>
      </c>
      <c r="D11" s="100" t="str">
        <f ca="1">IFERROR(__xludf.DUMMYFUNCTION("""COMPUTED_VALUE"""),"Total acumulado")</f>
        <v>Total acumulado</v>
      </c>
      <c r="E11" s="100"/>
      <c r="F11" s="100"/>
      <c r="G11" s="183" t="s">
        <v>88</v>
      </c>
    </row>
    <row r="12" spans="1:7">
      <c r="A12" s="102" t="str">
        <f ca="1">IFERROR(__xludf.DUMMYFUNCTION("""COMPUTED_VALUE"""),"ACTIVIDAD 1.1")</f>
        <v>ACTIVIDAD 1.1</v>
      </c>
      <c r="B12" s="98" t="str">
        <f ca="1">IFERROR(__xludf.DUMMYFUNCTION("""COMPUTED_VALUE"""),"Porcentaje")</f>
        <v>Porcentaje</v>
      </c>
      <c r="C12" s="6">
        <f ca="1">IFERROR(__xludf.DUMMYFUNCTION("""COMPUTED_VALUE"""),810)</f>
        <v>810</v>
      </c>
      <c r="D12" s="6">
        <f ca="1">IFERROR(__xludf.DUMMYFUNCTION("""COMPUTED_VALUE"""),792)</f>
        <v>792</v>
      </c>
      <c r="G12" s="184"/>
    </row>
    <row r="13" spans="1:7">
      <c r="A13" s="102" t="str">
        <f ca="1">IFERROR(__xludf.DUMMYFUNCTION("""COMPUTED_VALUE"""),"ACTIVIDAD 2.1")</f>
        <v>ACTIVIDAD 2.1</v>
      </c>
      <c r="B13" s="98" t="str">
        <f ca="1">IFERROR(__xludf.DUMMYFUNCTION("""COMPUTED_VALUE"""),"Porcentaje")</f>
        <v>Porcentaje</v>
      </c>
      <c r="C13" s="6">
        <f ca="1">IFERROR(__xludf.DUMMYFUNCTION("""COMPUTED_VALUE"""),5600)</f>
        <v>5600</v>
      </c>
      <c r="D13" s="6">
        <f ca="1">IFERROR(__xludf.DUMMYFUNCTION("""COMPUTED_VALUE"""),6032)</f>
        <v>6032</v>
      </c>
      <c r="G13" s="184"/>
    </row>
    <row r="14" spans="1:7">
      <c r="A14" s="102" t="str">
        <f ca="1">IFERROR(__xludf.DUMMYFUNCTION("""COMPUTED_VALUE"""),"COMPONENTE 3")</f>
        <v>COMPONENTE 3</v>
      </c>
      <c r="B14" s="98" t="str">
        <f ca="1">IFERROR(__xludf.DUMMYFUNCTION("""COMPUTED_VALUE"""),"Porcentaje")</f>
        <v>Porcentaje</v>
      </c>
      <c r="C14" s="6">
        <f ca="1">IFERROR(__xludf.DUMMYFUNCTION("""COMPUTED_VALUE"""),470)</f>
        <v>470</v>
      </c>
      <c r="D14" s="6">
        <f ca="1">IFERROR(__xludf.DUMMYFUNCTION("""COMPUTED_VALUE"""),538)</f>
        <v>538</v>
      </c>
      <c r="G14" s="184"/>
    </row>
    <row r="15" spans="1:7">
      <c r="A15" s="102" t="str">
        <f ca="1">IFERROR(__xludf.DUMMYFUNCTION("""COMPUTED_VALUE"""),"ACTIVIDAD 4.2")</f>
        <v>ACTIVIDAD 4.2</v>
      </c>
      <c r="B15" s="98" t="str">
        <f ca="1">IFERROR(__xludf.DUMMYFUNCTION("""COMPUTED_VALUE"""),"Porcentaje")</f>
        <v>Porcentaje</v>
      </c>
      <c r="C15" s="6">
        <f ca="1">IFERROR(__xludf.DUMMYFUNCTION("""COMPUTED_VALUE"""),22000)</f>
        <v>22000</v>
      </c>
      <c r="D15" s="6">
        <f ca="1">IFERROR(__xludf.DUMMYFUNCTION("""COMPUTED_VALUE"""),17240)</f>
        <v>17240</v>
      </c>
      <c r="G15" s="184"/>
    </row>
    <row r="16" spans="1:7">
      <c r="A16" s="102" t="str">
        <f ca="1">IFERROR(__xludf.DUMMYFUNCTION("""COMPUTED_VALUE"""),"ACTIVIDAD 5.1")</f>
        <v>ACTIVIDAD 5.1</v>
      </c>
      <c r="B16" s="98" t="str">
        <f ca="1">IFERROR(__xludf.DUMMYFUNCTION("""COMPUTED_VALUE"""),"Porcentaje")</f>
        <v>Porcentaje</v>
      </c>
      <c r="C16" s="6">
        <f ca="1">IFERROR(__xludf.DUMMYFUNCTION("""COMPUTED_VALUE"""),7250)</f>
        <v>7250</v>
      </c>
      <c r="D16" s="6">
        <f ca="1">IFERROR(__xludf.DUMMYFUNCTION("""COMPUTED_VALUE"""),6628)</f>
        <v>6628</v>
      </c>
      <c r="G16" s="184"/>
    </row>
    <row r="17" spans="1:7">
      <c r="A17" s="103" t="str">
        <f ca="1">IFERROR(__xludf.DUMMYFUNCTION("""COMPUTED_VALUE"""),"ACTIVIDAD 5.2")</f>
        <v>ACTIVIDAD 5.2</v>
      </c>
      <c r="B17" s="104" t="str">
        <f ca="1">IFERROR(__xludf.DUMMYFUNCTION("""COMPUTED_VALUE"""),"Porcentaje")</f>
        <v>Porcentaje</v>
      </c>
      <c r="C17" s="105">
        <f ca="1">IFERROR(__xludf.DUMMYFUNCTION("""COMPUTED_VALUE"""),670)</f>
        <v>670</v>
      </c>
      <c r="D17" s="105">
        <f ca="1">IFERROR(__xludf.DUMMYFUNCTION("""COMPUTED_VALUE"""),1129)</f>
        <v>1129</v>
      </c>
      <c r="E17" s="104"/>
      <c r="F17" s="104"/>
      <c r="G17" s="108"/>
    </row>
    <row r="19" spans="1:7">
      <c r="C19" s="109">
        <f t="shared" ref="C19:D19" ca="1" si="4">SUM(C12:C17)</f>
        <v>36800</v>
      </c>
      <c r="D19" s="6">
        <f t="shared" ca="1" si="4"/>
        <v>32359</v>
      </c>
    </row>
  </sheetData>
  <mergeCells count="2">
    <mergeCell ref="G1:G6"/>
    <mergeCell ref="G11:G1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53"/>
  <sheetViews>
    <sheetView workbookViewId="0"/>
  </sheetViews>
  <sheetFormatPr baseColWidth="10" defaultColWidth="14.42578125" defaultRowHeight="15" customHeight="1"/>
  <cols>
    <col min="1" max="1" width="3.5703125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6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1" width="10.7109375" customWidth="1"/>
    <col min="32" max="33" width="20.5703125" customWidth="1"/>
  </cols>
  <sheetData>
    <row r="1" spans="1:19" ht="15.75">
      <c r="A1" s="2"/>
      <c r="B1" s="3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5"/>
      <c r="Q1" s="3"/>
      <c r="R1" s="3"/>
    </row>
    <row r="2" spans="1:19" ht="15.75">
      <c r="A2" s="2"/>
      <c r="B2" s="3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5"/>
      <c r="Q2" s="3"/>
      <c r="R2" s="3"/>
    </row>
    <row r="3" spans="1:19" ht="15.75">
      <c r="A3" s="2"/>
      <c r="B3" s="3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5"/>
      <c r="Q3" s="3"/>
      <c r="R3" s="3"/>
    </row>
    <row r="4" spans="1:19" ht="15.75">
      <c r="A4" s="2"/>
      <c r="B4" s="3"/>
      <c r="C4" s="3"/>
      <c r="D4" s="180" t="s">
        <v>0</v>
      </c>
      <c r="E4" s="181"/>
      <c r="F4" s="181"/>
      <c r="G4" s="181"/>
      <c r="H4" s="181"/>
      <c r="I4" s="3"/>
      <c r="J4" s="5"/>
      <c r="K4" s="5"/>
      <c r="L4" s="3"/>
      <c r="M4" s="3"/>
      <c r="N4" s="5"/>
      <c r="O4" s="5"/>
      <c r="P4" s="5"/>
      <c r="Q4" s="3"/>
      <c r="R4" s="3"/>
    </row>
    <row r="5" spans="1:19" ht="15.75">
      <c r="A5" s="2"/>
      <c r="B5" s="3"/>
      <c r="C5" s="3"/>
      <c r="D5" s="180" t="s">
        <v>1</v>
      </c>
      <c r="E5" s="181"/>
      <c r="F5" s="181"/>
      <c r="G5" s="181"/>
      <c r="H5" s="181"/>
      <c r="I5" s="3"/>
      <c r="J5" s="5"/>
      <c r="K5" s="5"/>
      <c r="L5" s="3"/>
      <c r="M5" s="3"/>
      <c r="N5" s="5"/>
      <c r="O5" s="5"/>
      <c r="P5" s="5"/>
      <c r="Q5" s="3"/>
      <c r="R5" s="3"/>
    </row>
    <row r="6" spans="1:19" ht="15.75">
      <c r="A6" s="2"/>
      <c r="B6" s="3"/>
      <c r="C6" s="3"/>
      <c r="D6" s="180" t="s">
        <v>2</v>
      </c>
      <c r="E6" s="181"/>
      <c r="F6" s="181"/>
      <c r="G6" s="181"/>
      <c r="H6" s="181"/>
      <c r="I6" s="3"/>
      <c r="J6" s="5"/>
      <c r="K6" s="5"/>
      <c r="L6" s="3"/>
      <c r="M6" s="3"/>
      <c r="N6" s="5"/>
      <c r="O6" s="5"/>
      <c r="P6" s="5"/>
      <c r="Q6" s="3"/>
      <c r="R6" s="3"/>
    </row>
    <row r="7" spans="1:19" ht="15.75">
      <c r="A7" s="2"/>
      <c r="B7" s="3"/>
      <c r="C7" s="3"/>
      <c r="D7" s="180"/>
      <c r="E7" s="181"/>
      <c r="F7" s="181"/>
      <c r="G7" s="181"/>
      <c r="H7" s="181"/>
      <c r="I7" s="3"/>
      <c r="J7" s="5"/>
      <c r="K7" s="5"/>
      <c r="L7" s="3"/>
      <c r="M7" s="3"/>
      <c r="N7" s="5"/>
      <c r="O7" s="5"/>
      <c r="P7" s="5"/>
      <c r="Q7" s="3"/>
      <c r="R7" s="3"/>
    </row>
    <row r="8" spans="1:19" ht="15.75">
      <c r="A8" s="2"/>
      <c r="B8" s="3"/>
      <c r="C8" s="3"/>
      <c r="D8" s="7"/>
      <c r="E8" s="7"/>
      <c r="F8" s="7"/>
      <c r="G8" s="7"/>
      <c r="H8" s="7"/>
      <c r="I8" s="3"/>
      <c r="J8" s="5"/>
      <c r="K8" s="5"/>
      <c r="L8" s="3"/>
      <c r="M8" s="3"/>
      <c r="N8" s="5"/>
      <c r="O8" s="5"/>
      <c r="P8" s="5"/>
      <c r="Q8" s="3"/>
      <c r="R8" s="3"/>
    </row>
    <row r="9" spans="1:19" ht="15.75">
      <c r="A9" s="2"/>
      <c r="B9" s="3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5"/>
      <c r="Q9" s="3"/>
      <c r="R9" s="3"/>
    </row>
    <row r="10" spans="1:19" ht="15.75">
      <c r="A10" s="2"/>
      <c r="B10" s="3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5"/>
      <c r="Q10" s="3"/>
      <c r="R10" s="3"/>
    </row>
    <row r="11" spans="1:19" ht="15.75">
      <c r="A11" s="2"/>
      <c r="B11" s="3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5"/>
      <c r="Q11" s="3"/>
      <c r="R11" s="3"/>
    </row>
    <row r="12" spans="1:19" ht="15.75">
      <c r="A12" s="8"/>
      <c r="B12" s="9"/>
      <c r="C12" s="9"/>
      <c r="D12" s="9"/>
      <c r="E12" s="9"/>
      <c r="F12" s="9"/>
      <c r="G12" s="9"/>
      <c r="H12" s="9"/>
      <c r="I12" s="9"/>
      <c r="J12" s="10"/>
      <c r="K12" s="10"/>
      <c r="L12" s="9"/>
      <c r="M12" s="9"/>
      <c r="N12" s="10"/>
      <c r="O12" s="10"/>
      <c r="P12" s="10"/>
      <c r="Q12" s="9"/>
      <c r="R12" s="9"/>
      <c r="S12" s="11"/>
    </row>
    <row r="13" spans="1:19" ht="15.75">
      <c r="A13" s="8"/>
      <c r="B13" s="9"/>
      <c r="C13" s="12" t="s">
        <v>3</v>
      </c>
      <c r="D13" s="182" t="s">
        <v>4</v>
      </c>
      <c r="E13" s="160"/>
      <c r="F13" s="160"/>
      <c r="G13" s="160"/>
      <c r="H13" s="161"/>
      <c r="I13" s="13"/>
      <c r="J13" s="10"/>
      <c r="K13" s="10"/>
      <c r="L13" s="9"/>
      <c r="M13" s="9"/>
      <c r="N13" s="10"/>
      <c r="O13" s="10"/>
      <c r="P13" s="10"/>
      <c r="Q13" s="9"/>
      <c r="R13" s="9"/>
      <c r="S13" s="11"/>
    </row>
    <row r="14" spans="1:19" ht="15.75">
      <c r="A14" s="8"/>
      <c r="B14" s="9"/>
      <c r="C14" s="12" t="s">
        <v>5</v>
      </c>
      <c r="D14" s="175" t="s">
        <v>6</v>
      </c>
      <c r="E14" s="160"/>
      <c r="F14" s="160"/>
      <c r="G14" s="160"/>
      <c r="H14" s="161"/>
      <c r="I14" s="14" t="s">
        <v>7</v>
      </c>
      <c r="J14" s="10"/>
      <c r="K14" s="10"/>
      <c r="L14" s="9"/>
      <c r="M14" s="9"/>
      <c r="N14" s="10"/>
      <c r="O14" s="10"/>
      <c r="P14" s="10"/>
      <c r="Q14" s="9"/>
      <c r="R14" s="9"/>
      <c r="S14" s="11"/>
    </row>
    <row r="15" spans="1:19" ht="15.75">
      <c r="A15" s="8"/>
      <c r="B15" s="9"/>
      <c r="C15" s="12" t="s">
        <v>8</v>
      </c>
      <c r="D15" s="175" t="s">
        <v>9</v>
      </c>
      <c r="E15" s="160"/>
      <c r="F15" s="160"/>
      <c r="G15" s="160"/>
      <c r="H15" s="161"/>
      <c r="I15" s="14" t="s">
        <v>7</v>
      </c>
      <c r="J15" s="10"/>
      <c r="K15" s="10"/>
      <c r="L15" s="9"/>
      <c r="M15" s="9"/>
      <c r="N15" s="10"/>
      <c r="O15" s="10"/>
      <c r="P15" s="10"/>
      <c r="Q15" s="9"/>
      <c r="R15" s="9"/>
      <c r="S15" s="11"/>
    </row>
    <row r="16" spans="1:19" ht="15.75">
      <c r="A16" s="8"/>
      <c r="B16" s="9"/>
      <c r="C16" s="12" t="s">
        <v>10</v>
      </c>
      <c r="D16" s="175" t="s">
        <v>11</v>
      </c>
      <c r="E16" s="160"/>
      <c r="F16" s="160"/>
      <c r="G16" s="160"/>
      <c r="H16" s="161"/>
      <c r="I16" s="13"/>
      <c r="J16" s="10"/>
      <c r="K16" s="10"/>
      <c r="L16" s="9"/>
      <c r="M16" s="9"/>
      <c r="N16" s="10"/>
      <c r="O16" s="10"/>
      <c r="P16" s="10"/>
      <c r="Q16" s="9"/>
      <c r="R16" s="9"/>
      <c r="S16" s="11"/>
    </row>
    <row r="17" spans="1:33" ht="15.75">
      <c r="A17" s="8"/>
      <c r="B17" s="9"/>
      <c r="C17" s="12" t="s">
        <v>12</v>
      </c>
      <c r="D17" s="175" t="s">
        <v>13</v>
      </c>
      <c r="E17" s="160"/>
      <c r="F17" s="160"/>
      <c r="G17" s="160"/>
      <c r="H17" s="161"/>
      <c r="I17" s="14" t="s">
        <v>7</v>
      </c>
      <c r="J17" s="10"/>
      <c r="K17" s="10"/>
      <c r="L17" s="9"/>
      <c r="M17" s="9"/>
      <c r="N17" s="10"/>
      <c r="O17" s="10"/>
      <c r="P17" s="10"/>
      <c r="Q17" s="9"/>
      <c r="R17" s="9"/>
      <c r="S17" s="11"/>
    </row>
    <row r="18" spans="1:33" ht="15.75">
      <c r="A18" s="15"/>
      <c r="B18" s="16"/>
      <c r="C18" s="12" t="s">
        <v>14</v>
      </c>
      <c r="D18" s="175" t="s">
        <v>15</v>
      </c>
      <c r="E18" s="160"/>
      <c r="F18" s="160"/>
      <c r="G18" s="160"/>
      <c r="H18" s="161"/>
      <c r="I18" s="14" t="s">
        <v>7</v>
      </c>
      <c r="J18" s="10"/>
      <c r="K18" s="10"/>
      <c r="L18" s="9"/>
      <c r="M18" s="9"/>
      <c r="N18" s="10"/>
      <c r="O18" s="10"/>
      <c r="P18" s="10"/>
      <c r="Q18" s="9"/>
      <c r="R18" s="9"/>
      <c r="S18" s="11"/>
    </row>
    <row r="19" spans="1:33" ht="15.75" hidden="1">
      <c r="A19" s="17"/>
      <c r="B19" s="18"/>
      <c r="C19" s="12" t="s">
        <v>16</v>
      </c>
      <c r="D19" s="175"/>
      <c r="E19" s="160"/>
      <c r="F19" s="160"/>
      <c r="G19" s="160"/>
      <c r="H19" s="161"/>
      <c r="I19" s="13"/>
      <c r="J19" s="10"/>
      <c r="K19" s="10"/>
      <c r="L19" s="9"/>
      <c r="M19" s="9"/>
      <c r="N19" s="10"/>
      <c r="O19" s="10"/>
      <c r="P19" s="10"/>
      <c r="Q19" s="9"/>
      <c r="R19" s="9"/>
      <c r="S19" s="11"/>
    </row>
    <row r="20" spans="1:33" ht="15.75">
      <c r="A20" s="19"/>
      <c r="C20" s="12" t="s">
        <v>16</v>
      </c>
      <c r="D20" s="175" t="s">
        <v>17</v>
      </c>
      <c r="E20" s="160"/>
      <c r="F20" s="160"/>
      <c r="G20" s="160"/>
      <c r="H20" s="161"/>
      <c r="I20" s="14" t="s">
        <v>7</v>
      </c>
      <c r="J20" s="10"/>
      <c r="K20" s="10"/>
      <c r="L20" s="9"/>
      <c r="M20" s="9"/>
      <c r="N20" s="10"/>
      <c r="O20" s="10"/>
      <c r="P20" s="10"/>
      <c r="Q20" s="9"/>
      <c r="R20" s="9"/>
      <c r="S20" s="11"/>
    </row>
    <row r="21" spans="1:33" ht="15.75">
      <c r="A21" s="20"/>
      <c r="B21" s="176" t="s">
        <v>18</v>
      </c>
      <c r="C21" s="12" t="s">
        <v>19</v>
      </c>
      <c r="D21" s="175" t="s">
        <v>20</v>
      </c>
      <c r="E21" s="160"/>
      <c r="F21" s="160"/>
      <c r="G21" s="160"/>
      <c r="H21" s="161"/>
      <c r="I21" s="14" t="s">
        <v>7</v>
      </c>
      <c r="K21" s="10"/>
      <c r="L21" s="9"/>
      <c r="M21" s="9"/>
      <c r="N21" s="10"/>
      <c r="O21" s="10"/>
      <c r="P21" s="10"/>
      <c r="Q21" s="9"/>
      <c r="R21" s="9"/>
      <c r="S21" s="11"/>
    </row>
    <row r="22" spans="1:33" ht="15.75">
      <c r="A22" s="20"/>
      <c r="B22" s="177"/>
      <c r="C22" s="12" t="s">
        <v>21</v>
      </c>
      <c r="D22" s="175" t="s">
        <v>22</v>
      </c>
      <c r="E22" s="160"/>
      <c r="F22" s="160"/>
      <c r="G22" s="160"/>
      <c r="H22" s="161"/>
      <c r="I22" s="14" t="s">
        <v>7</v>
      </c>
      <c r="J22" s="10"/>
      <c r="K22" s="10"/>
      <c r="L22" s="9"/>
      <c r="M22" s="9"/>
      <c r="N22" s="10"/>
      <c r="O22" s="10"/>
      <c r="P22" s="10"/>
      <c r="Q22" s="9"/>
      <c r="R22" s="9"/>
      <c r="S22" s="11"/>
    </row>
    <row r="23" spans="1:33" ht="15.75">
      <c r="A23" s="21"/>
      <c r="B23" s="178" t="s">
        <v>23</v>
      </c>
      <c r="C23" s="12" t="s">
        <v>24</v>
      </c>
      <c r="D23" s="164" t="s">
        <v>25</v>
      </c>
      <c r="E23" s="160"/>
      <c r="F23" s="160"/>
      <c r="G23" s="160"/>
      <c r="H23" s="161"/>
      <c r="I23" s="22" t="s">
        <v>7</v>
      </c>
      <c r="J23" s="10"/>
      <c r="K23" s="10"/>
      <c r="L23" s="9"/>
      <c r="M23" s="9"/>
      <c r="N23" s="10"/>
      <c r="O23" s="10"/>
      <c r="P23" s="10"/>
      <c r="Q23" s="9"/>
      <c r="R23" s="9"/>
      <c r="S23" s="11"/>
    </row>
    <row r="24" spans="1:33" ht="31.5">
      <c r="A24" s="21"/>
      <c r="B24" s="179"/>
      <c r="C24" s="12" t="s">
        <v>26</v>
      </c>
      <c r="D24" s="165" t="s">
        <v>27</v>
      </c>
      <c r="E24" s="166"/>
      <c r="F24" s="166"/>
      <c r="G24" s="166"/>
      <c r="H24" s="167"/>
      <c r="I24" s="22" t="s">
        <v>7</v>
      </c>
      <c r="J24" s="10"/>
      <c r="K24" s="10"/>
      <c r="L24" s="9"/>
      <c r="M24" s="9"/>
      <c r="N24" s="10"/>
      <c r="O24" s="10"/>
      <c r="P24" s="10"/>
      <c r="Q24" s="9"/>
      <c r="R24" s="9"/>
      <c r="S24" s="11"/>
    </row>
    <row r="25" spans="1:33" ht="15.75">
      <c r="A25" s="21"/>
      <c r="B25" s="178" t="s">
        <v>28</v>
      </c>
      <c r="C25" s="12" t="s">
        <v>29</v>
      </c>
      <c r="D25" s="165" t="s">
        <v>30</v>
      </c>
      <c r="E25" s="166"/>
      <c r="F25" s="166"/>
      <c r="G25" s="166"/>
      <c r="H25" s="167"/>
      <c r="I25" s="22" t="s">
        <v>7</v>
      </c>
      <c r="J25" s="10"/>
      <c r="K25" s="10"/>
      <c r="L25" s="9"/>
      <c r="M25" s="9"/>
      <c r="N25" s="10"/>
      <c r="O25" s="10"/>
      <c r="P25" s="10"/>
      <c r="Q25" s="9"/>
      <c r="R25" s="9"/>
      <c r="S25" s="11"/>
    </row>
    <row r="26" spans="1:33" ht="15.75">
      <c r="A26" s="21"/>
      <c r="B26" s="177"/>
      <c r="C26" s="12" t="s">
        <v>31</v>
      </c>
      <c r="D26" s="23" t="s">
        <v>32</v>
      </c>
      <c r="E26" s="24"/>
      <c r="F26" s="24"/>
      <c r="G26" s="24"/>
      <c r="H26" s="25"/>
      <c r="I26" s="22" t="s">
        <v>7</v>
      </c>
      <c r="J26" s="10"/>
      <c r="K26" s="10"/>
      <c r="L26" s="9"/>
      <c r="M26" s="9"/>
      <c r="N26" s="10"/>
      <c r="O26" s="10"/>
      <c r="P26" s="10"/>
      <c r="Q26" s="9"/>
      <c r="R26" s="9"/>
      <c r="S26" s="11"/>
    </row>
    <row r="27" spans="1:33" ht="15.75">
      <c r="A27" s="21"/>
      <c r="B27" s="177"/>
      <c r="C27" s="12" t="s">
        <v>33</v>
      </c>
      <c r="D27" s="165" t="s">
        <v>34</v>
      </c>
      <c r="E27" s="166"/>
      <c r="F27" s="166"/>
      <c r="G27" s="166"/>
      <c r="H27" s="167"/>
      <c r="I27" s="22" t="s">
        <v>7</v>
      </c>
      <c r="J27" s="10"/>
      <c r="K27" s="10"/>
      <c r="L27" s="9"/>
      <c r="M27" s="9"/>
      <c r="N27" s="10"/>
      <c r="O27" s="10"/>
      <c r="P27" s="10"/>
      <c r="Q27" s="9"/>
      <c r="R27" s="9"/>
      <c r="S27" s="11"/>
    </row>
    <row r="28" spans="1:33" ht="15.75">
      <c r="A28" s="21"/>
      <c r="B28" s="177"/>
      <c r="C28" s="12" t="s">
        <v>35</v>
      </c>
      <c r="D28" s="165" t="s">
        <v>36</v>
      </c>
      <c r="E28" s="166"/>
      <c r="F28" s="166"/>
      <c r="G28" s="166"/>
      <c r="H28" s="167"/>
      <c r="I28" s="26"/>
      <c r="J28" s="10"/>
      <c r="K28" s="10"/>
      <c r="L28" s="9"/>
      <c r="M28" s="9"/>
      <c r="N28" s="10"/>
      <c r="O28" s="27"/>
      <c r="P28" s="27"/>
      <c r="Q28" s="9"/>
      <c r="R28" s="9"/>
      <c r="S28" s="11"/>
    </row>
    <row r="29" spans="1:33" ht="31.5">
      <c r="A29" s="15"/>
      <c r="B29" s="16"/>
      <c r="C29" s="12" t="s">
        <v>37</v>
      </c>
      <c r="D29" s="168" t="s">
        <v>38</v>
      </c>
      <c r="E29" s="160"/>
      <c r="F29" s="160"/>
      <c r="G29" s="160"/>
      <c r="H29" s="160"/>
      <c r="I29" s="9"/>
      <c r="J29" s="10"/>
      <c r="K29" s="10"/>
      <c r="L29" s="9"/>
      <c r="M29" s="9"/>
      <c r="N29" s="10"/>
      <c r="O29" s="27"/>
      <c r="P29" s="27"/>
      <c r="Q29" s="9"/>
      <c r="R29" s="9"/>
      <c r="S29" s="11"/>
    </row>
    <row r="30" spans="1:33" ht="15.75">
      <c r="A30" s="15"/>
      <c r="B30" s="16"/>
      <c r="C30" s="28" t="s">
        <v>39</v>
      </c>
      <c r="D30" s="169"/>
      <c r="E30" s="160"/>
      <c r="F30" s="160"/>
      <c r="G30" s="160"/>
      <c r="H30" s="161"/>
      <c r="I30" s="13"/>
      <c r="J30" s="10"/>
      <c r="K30" s="10"/>
      <c r="L30" s="9"/>
      <c r="M30" s="9"/>
      <c r="N30" s="10"/>
      <c r="O30" s="10"/>
      <c r="P30" s="10"/>
      <c r="Q30" s="9"/>
      <c r="R30" s="9"/>
      <c r="S30" s="11"/>
    </row>
    <row r="31" spans="1:33" ht="15.75">
      <c r="A31" s="8"/>
      <c r="B31" s="29"/>
      <c r="C31" s="29"/>
      <c r="D31" s="30"/>
      <c r="E31" s="30"/>
      <c r="F31" s="30"/>
      <c r="G31" s="30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AE31" s="107" t="s">
        <v>40</v>
      </c>
      <c r="AF31" s="107" t="s">
        <v>232</v>
      </c>
      <c r="AG31" s="107">
        <v>3</v>
      </c>
    </row>
    <row r="32" spans="1:33" ht="63">
      <c r="A32" s="33"/>
      <c r="B32" s="34" t="s">
        <v>42</v>
      </c>
      <c r="C32" s="35" t="s">
        <v>43</v>
      </c>
      <c r="D32" s="28" t="s">
        <v>44</v>
      </c>
      <c r="E32" s="28" t="s">
        <v>45</v>
      </c>
      <c r="F32" s="28" t="s">
        <v>46</v>
      </c>
      <c r="G32" s="28" t="s">
        <v>47</v>
      </c>
      <c r="H32" s="28" t="s">
        <v>48</v>
      </c>
      <c r="I32" s="28" t="s">
        <v>49</v>
      </c>
      <c r="J32" s="36" t="s">
        <v>50</v>
      </c>
      <c r="K32" s="36" t="s">
        <v>51</v>
      </c>
      <c r="L32" s="28" t="s">
        <v>52</v>
      </c>
      <c r="M32" s="28" t="s">
        <v>53</v>
      </c>
      <c r="N32" s="36" t="s">
        <v>54</v>
      </c>
      <c r="O32" s="36" t="s">
        <v>55</v>
      </c>
      <c r="P32" s="36" t="s">
        <v>56</v>
      </c>
      <c r="Q32" s="28" t="s">
        <v>57</v>
      </c>
      <c r="R32" s="28" t="s">
        <v>58</v>
      </c>
      <c r="S32" s="37" t="s">
        <v>59</v>
      </c>
      <c r="T32" s="38" t="s">
        <v>60</v>
      </c>
      <c r="U32" s="38" t="s">
        <v>61</v>
      </c>
      <c r="V32" s="38" t="s">
        <v>62</v>
      </c>
      <c r="W32" s="38" t="s">
        <v>63</v>
      </c>
      <c r="X32" s="38" t="s">
        <v>64</v>
      </c>
      <c r="Y32" s="38" t="s">
        <v>65</v>
      </c>
      <c r="Z32" s="38" t="s">
        <v>66</v>
      </c>
      <c r="AA32" s="38" t="s">
        <v>67</v>
      </c>
      <c r="AB32" s="38" t="s">
        <v>68</v>
      </c>
      <c r="AC32" s="38" t="s">
        <v>69</v>
      </c>
      <c r="AD32" s="38" t="s">
        <v>70</v>
      </c>
      <c r="AE32" s="39" t="s">
        <v>71</v>
      </c>
      <c r="AF32" s="39" t="s">
        <v>72</v>
      </c>
      <c r="AG32" s="39" t="s">
        <v>73</v>
      </c>
    </row>
    <row r="33" spans="1:33" ht="199.5">
      <c r="A33" s="8"/>
      <c r="B33" s="9"/>
      <c r="C33" s="12" t="s">
        <v>74</v>
      </c>
      <c r="D33" s="40" t="s">
        <v>75</v>
      </c>
      <c r="E33" s="41" t="s">
        <v>76</v>
      </c>
      <c r="F33" s="40" t="s">
        <v>77</v>
      </c>
      <c r="G33" s="41" t="s">
        <v>78</v>
      </c>
      <c r="H33" s="41" t="s">
        <v>79</v>
      </c>
      <c r="I33" s="40" t="s">
        <v>80</v>
      </c>
      <c r="J33" s="42" t="s">
        <v>81</v>
      </c>
      <c r="K33" s="43" t="s">
        <v>82</v>
      </c>
      <c r="L33" s="41" t="s">
        <v>83</v>
      </c>
      <c r="M33" s="41" t="s">
        <v>84</v>
      </c>
      <c r="N33" s="44" t="s">
        <v>85</v>
      </c>
      <c r="O33" s="110">
        <f>(SUMIFS(O35:O60,$A$35:$A$60,"FIN"))+SUMIFS(O35:O60,$A$35:$A$60,"FIN/PROPÓSITO")</f>
        <v>7038</v>
      </c>
      <c r="P33" s="42"/>
      <c r="Q33" s="41" t="s">
        <v>86</v>
      </c>
      <c r="R33" s="40" t="s">
        <v>87</v>
      </c>
      <c r="S33" s="46">
        <v>0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  <c r="AE33" s="111">
        <f ca="1">SUMIF($A$33:$A$49,"FIN",AG35:AG49)+SUMIF($A$33:$A$49,"FIN/PROPÓSITO",AG35:AG49)</f>
        <v>18676</v>
      </c>
      <c r="AF33" s="11"/>
      <c r="AG33" s="11"/>
    </row>
    <row r="34" spans="1:33" ht="270.75">
      <c r="A34" s="49"/>
      <c r="B34" s="50" t="s">
        <v>7</v>
      </c>
      <c r="C34" s="12" t="s">
        <v>88</v>
      </c>
      <c r="D34" s="40" t="s">
        <v>89</v>
      </c>
      <c r="E34" s="40" t="s">
        <v>90</v>
      </c>
      <c r="F34" s="40" t="s">
        <v>91</v>
      </c>
      <c r="G34" s="41" t="s">
        <v>78</v>
      </c>
      <c r="H34" s="41" t="s">
        <v>79</v>
      </c>
      <c r="I34" s="41" t="s">
        <v>92</v>
      </c>
      <c r="J34" s="42" t="s">
        <v>93</v>
      </c>
      <c r="K34" s="42" t="s">
        <v>94</v>
      </c>
      <c r="L34" s="41" t="s">
        <v>83</v>
      </c>
      <c r="M34" s="41" t="s">
        <v>84</v>
      </c>
      <c r="N34" s="44" t="s">
        <v>85</v>
      </c>
      <c r="O34" s="51">
        <f>(SUMIFS(O35:O60,$A$35:$A$60,"PROPÓSITO"))+SUMIFS(O35:O60,$A$35:$A$60,"FIN/PROPÓSITO")</f>
        <v>36800</v>
      </c>
      <c r="P34" s="42"/>
      <c r="Q34" s="41" t="s">
        <v>95</v>
      </c>
      <c r="R34" s="52" t="s">
        <v>96</v>
      </c>
      <c r="S34" s="32">
        <v>0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2">
        <f ca="1">SUMIF($A$33:$A$49,"PROPÓSITO",AG35:AG49)+SUMIF($A$33:$A$49,"FIN/PROPÓSITO",AG35:AG49)</f>
        <v>6861.666666666667</v>
      </c>
      <c r="AF34" s="11"/>
      <c r="AG34" s="11"/>
    </row>
    <row r="35" spans="1:33" ht="185.25">
      <c r="A35" s="53" t="s">
        <v>74</v>
      </c>
      <c r="B35" s="54" t="s">
        <v>97</v>
      </c>
      <c r="C35" s="28" t="s">
        <v>98</v>
      </c>
      <c r="D35" s="40" t="s">
        <v>99</v>
      </c>
      <c r="E35" s="40" t="s">
        <v>100</v>
      </c>
      <c r="F35" s="40" t="s">
        <v>101</v>
      </c>
      <c r="G35" s="40" t="s">
        <v>78</v>
      </c>
      <c r="H35" s="40" t="s">
        <v>79</v>
      </c>
      <c r="I35" s="55" t="s">
        <v>248</v>
      </c>
      <c r="J35" s="55" t="s">
        <v>103</v>
      </c>
      <c r="K35" s="55">
        <v>4</v>
      </c>
      <c r="L35" s="56" t="s">
        <v>104</v>
      </c>
      <c r="M35" s="40" t="s">
        <v>105</v>
      </c>
      <c r="N35" s="40" t="s">
        <v>85</v>
      </c>
      <c r="O35" s="40">
        <v>372</v>
      </c>
      <c r="P35" s="42"/>
      <c r="Q35" s="58" t="s">
        <v>106</v>
      </c>
      <c r="R35" s="40" t="s">
        <v>107</v>
      </c>
      <c r="S35" s="58">
        <f ca="1">IFERROR(__xludf.DUMMYFUNCTION("ARRAYFORMULA( Value(QUERY((importrange(""1oW9Cb2v8ctwHmxFCJfae-MHYgV7KCq0s5iFTt2idb9Q"",""TOTALES!E2:P4"")),""Select*"",1)))"),139)</f>
        <v>139</v>
      </c>
      <c r="T35" s="58">
        <f ca="1">IFERROR(__xludf.DUMMYFUNCTION("""COMPUTED_VALUE"""),139)</f>
        <v>139</v>
      </c>
      <c r="U35" s="58">
        <f ca="1">IFERROR(__xludf.DUMMYFUNCTION("""COMPUTED_VALUE"""),212)</f>
        <v>212</v>
      </c>
      <c r="V35" s="58">
        <f ca="1">IFERROR(__xludf.DUMMYFUNCTION("""COMPUTED_VALUE"""),124)</f>
        <v>124</v>
      </c>
      <c r="W35" s="58">
        <f ca="1">IFERROR(__xludf.DUMMYFUNCTION("""COMPUTED_VALUE"""),166)</f>
        <v>166</v>
      </c>
      <c r="X35" s="58">
        <f ca="1">IFERROR(__xludf.DUMMYFUNCTION("""COMPUTED_VALUE"""),170)</f>
        <v>170</v>
      </c>
      <c r="Y35" s="58">
        <f ca="1">IFERROR(__xludf.DUMMYFUNCTION("""COMPUTED_VALUE"""),98)</f>
        <v>98</v>
      </c>
      <c r="Z35" s="58">
        <f ca="1">IFERROR(__xludf.DUMMYFUNCTION("""COMPUTED_VALUE"""),117)</f>
        <v>117</v>
      </c>
      <c r="AA35" s="58">
        <f ca="1">IFERROR(__xludf.DUMMYFUNCTION("""COMPUTED_VALUE"""),143)</f>
        <v>143</v>
      </c>
      <c r="AB35" s="58">
        <f ca="1">IFERROR(__xludf.DUMMYFUNCTION("""COMPUTED_VALUE"""),0)</f>
        <v>0</v>
      </c>
      <c r="AC35" s="58">
        <f ca="1">IFERROR(__xludf.DUMMYFUNCTION("""COMPUTED_VALUE"""),0)</f>
        <v>0</v>
      </c>
      <c r="AD35" s="58">
        <f ca="1">IFERROR(__xludf.DUMMYFUNCTION("""COMPUTED_VALUE"""),0)</f>
        <v>0</v>
      </c>
      <c r="AE35" s="113">
        <f t="shared" ref="AE35:AE37" ca="1" si="0">SUM(S35:AD35)</f>
        <v>1308</v>
      </c>
      <c r="AF35" s="11">
        <f t="shared" ref="AF35:AF49" ca="1" si="1">IF(M35="Porcentaje",concat( (ROUND(((AE35/O35)*100),1)),"%"),ROUND((AE35/4),1))</f>
        <v>327</v>
      </c>
      <c r="AG35" s="59">
        <f t="shared" ref="AG35:AG49" ca="1" si="2">IF(M35="Promedio",(AE35/$AG$31),AE35)</f>
        <v>436</v>
      </c>
    </row>
    <row r="36" spans="1:33" ht="256.5">
      <c r="A36" s="53" t="s">
        <v>88</v>
      </c>
      <c r="B36" s="60"/>
      <c r="C36" s="61" t="s">
        <v>108</v>
      </c>
      <c r="D36" s="40" t="s">
        <v>109</v>
      </c>
      <c r="E36" s="40" t="s">
        <v>110</v>
      </c>
      <c r="F36" s="40" t="s">
        <v>111</v>
      </c>
      <c r="G36" s="40" t="s">
        <v>78</v>
      </c>
      <c r="H36" s="40" t="s">
        <v>112</v>
      </c>
      <c r="I36" s="62" t="s">
        <v>113</v>
      </c>
      <c r="J36" s="62" t="s">
        <v>114</v>
      </c>
      <c r="K36" s="62" t="s">
        <v>115</v>
      </c>
      <c r="L36" s="56" t="s">
        <v>116</v>
      </c>
      <c r="M36" s="40" t="s">
        <v>84</v>
      </c>
      <c r="N36" s="40" t="s">
        <v>85</v>
      </c>
      <c r="O36" s="40">
        <v>810</v>
      </c>
      <c r="P36" s="63"/>
      <c r="Q36" s="40" t="s">
        <v>117</v>
      </c>
      <c r="R36" s="40" t="s">
        <v>118</v>
      </c>
      <c r="S36" s="58">
        <f ca="1">IFERROR(__xludf.DUMMYFUNCTION("""COMPUTED_VALUE"""),64)</f>
        <v>64</v>
      </c>
      <c r="T36" s="58">
        <f ca="1">IFERROR(__xludf.DUMMYFUNCTION("""COMPUTED_VALUE"""),47)</f>
        <v>47</v>
      </c>
      <c r="U36" s="58">
        <f ca="1">IFERROR(__xludf.DUMMYFUNCTION("""COMPUTED_VALUE"""),55)</f>
        <v>55</v>
      </c>
      <c r="V36" s="58">
        <f ca="1">IFERROR(__xludf.DUMMYFUNCTION("""COMPUTED_VALUE"""),92)</f>
        <v>92</v>
      </c>
      <c r="W36" s="58">
        <f ca="1">IFERROR(__xludf.DUMMYFUNCTION("""COMPUTED_VALUE"""),141)</f>
        <v>141</v>
      </c>
      <c r="X36" s="58">
        <f ca="1">IFERROR(__xludf.DUMMYFUNCTION("""COMPUTED_VALUE"""),98)</f>
        <v>98</v>
      </c>
      <c r="Y36" s="58">
        <f ca="1">IFERROR(__xludf.DUMMYFUNCTION("""COMPUTED_VALUE"""),67)</f>
        <v>67</v>
      </c>
      <c r="Z36" s="58">
        <f ca="1">IFERROR(__xludf.DUMMYFUNCTION("""COMPUTED_VALUE"""),126)</f>
        <v>126</v>
      </c>
      <c r="AA36" s="58">
        <f ca="1">IFERROR(__xludf.DUMMYFUNCTION("""COMPUTED_VALUE"""),102)</f>
        <v>102</v>
      </c>
      <c r="AB36" s="58">
        <f ca="1">IFERROR(__xludf.DUMMYFUNCTION("""COMPUTED_VALUE"""),0)</f>
        <v>0</v>
      </c>
      <c r="AC36" s="58">
        <f ca="1">IFERROR(__xludf.DUMMYFUNCTION("""COMPUTED_VALUE"""),0)</f>
        <v>0</v>
      </c>
      <c r="AD36" s="58">
        <f ca="1">IFERROR(__xludf.DUMMYFUNCTION("""COMPUTED_VALUE"""),0)</f>
        <v>0</v>
      </c>
      <c r="AE36" s="113">
        <f t="shared" ca="1" si="0"/>
        <v>792</v>
      </c>
      <c r="AF36" s="11" t="e">
        <f t="shared" ca="1" si="1"/>
        <v>#NAME?</v>
      </c>
      <c r="AG36" s="59">
        <f t="shared" ca="1" si="2"/>
        <v>792</v>
      </c>
    </row>
    <row r="37" spans="1:33" ht="270.75">
      <c r="A37" s="64"/>
      <c r="B37" s="65"/>
      <c r="C37" s="61" t="s">
        <v>119</v>
      </c>
      <c r="D37" s="40" t="s">
        <v>120</v>
      </c>
      <c r="E37" s="40" t="s">
        <v>121</v>
      </c>
      <c r="F37" s="40" t="s">
        <v>122</v>
      </c>
      <c r="G37" s="40" t="s">
        <v>78</v>
      </c>
      <c r="H37" s="40" t="s">
        <v>112</v>
      </c>
      <c r="I37" s="62" t="s">
        <v>123</v>
      </c>
      <c r="J37" s="62" t="s">
        <v>124</v>
      </c>
      <c r="K37" s="62" t="s">
        <v>125</v>
      </c>
      <c r="L37" s="56" t="s">
        <v>116</v>
      </c>
      <c r="M37" s="40" t="s">
        <v>84</v>
      </c>
      <c r="N37" s="40" t="s">
        <v>85</v>
      </c>
      <c r="O37" s="40">
        <v>990</v>
      </c>
      <c r="P37" s="63"/>
      <c r="Q37" s="41" t="s">
        <v>126</v>
      </c>
      <c r="R37" s="40" t="s">
        <v>127</v>
      </c>
      <c r="S37" s="58">
        <f ca="1">IFERROR(__xludf.DUMMYFUNCTION("""COMPUTED_VALUE"""),122)</f>
        <v>122</v>
      </c>
      <c r="T37" s="58">
        <f ca="1">IFERROR(__xludf.DUMMYFUNCTION("""COMPUTED_VALUE"""),103)</f>
        <v>103</v>
      </c>
      <c r="U37" s="58">
        <f ca="1">IFERROR(__xludf.DUMMYFUNCTION("""COMPUTED_VALUE"""),98)</f>
        <v>98</v>
      </c>
      <c r="V37" s="58">
        <f ca="1">IFERROR(__xludf.DUMMYFUNCTION("""COMPUTED_VALUE"""),55)</f>
        <v>55</v>
      </c>
      <c r="W37" s="58">
        <f ca="1">IFERROR(__xludf.DUMMYFUNCTION("""COMPUTED_VALUE"""),103)</f>
        <v>103</v>
      </c>
      <c r="X37" s="58">
        <f ca="1">IFERROR(__xludf.DUMMYFUNCTION("""COMPUTED_VALUE"""),91)</f>
        <v>91</v>
      </c>
      <c r="Y37" s="58">
        <f ca="1">IFERROR(__xludf.DUMMYFUNCTION("""COMPUTED_VALUE"""),49)</f>
        <v>49</v>
      </c>
      <c r="Z37" s="58">
        <f ca="1">IFERROR(__xludf.DUMMYFUNCTION("""COMPUTED_VALUE"""),96)</f>
        <v>96</v>
      </c>
      <c r="AA37" s="58">
        <f ca="1">IFERROR(__xludf.DUMMYFUNCTION("""COMPUTED_VALUE"""),122)</f>
        <v>122</v>
      </c>
      <c r="AB37" s="58">
        <f ca="1">IFERROR(__xludf.DUMMYFUNCTION("""COMPUTED_VALUE"""),0)</f>
        <v>0</v>
      </c>
      <c r="AC37" s="58">
        <f ca="1">IFERROR(__xludf.DUMMYFUNCTION("""COMPUTED_VALUE"""),0)</f>
        <v>0</v>
      </c>
      <c r="AD37" s="58">
        <f ca="1">IFERROR(__xludf.DUMMYFUNCTION("""COMPUTED_VALUE"""),0)</f>
        <v>0</v>
      </c>
      <c r="AE37" s="113">
        <f t="shared" ca="1" si="0"/>
        <v>839</v>
      </c>
      <c r="AF37" s="11" t="e">
        <f t="shared" ca="1" si="1"/>
        <v>#NAME?</v>
      </c>
      <c r="AG37" s="59">
        <f t="shared" ca="1" si="2"/>
        <v>839</v>
      </c>
    </row>
    <row r="38" spans="1:33" ht="114">
      <c r="A38" s="53" t="s">
        <v>74</v>
      </c>
      <c r="B38" s="66" t="s">
        <v>97</v>
      </c>
      <c r="C38" s="28" t="s">
        <v>128</v>
      </c>
      <c r="D38" s="40" t="s">
        <v>129</v>
      </c>
      <c r="E38" s="40" t="s">
        <v>130</v>
      </c>
      <c r="F38" s="40" t="s">
        <v>131</v>
      </c>
      <c r="G38" s="40" t="s">
        <v>78</v>
      </c>
      <c r="H38" s="40" t="s">
        <v>79</v>
      </c>
      <c r="I38" s="67" t="s">
        <v>249</v>
      </c>
      <c r="J38" s="67" t="s">
        <v>133</v>
      </c>
      <c r="K38" s="67">
        <v>4</v>
      </c>
      <c r="L38" s="56" t="s">
        <v>104</v>
      </c>
      <c r="M38" s="40" t="s">
        <v>105</v>
      </c>
      <c r="N38" s="68" t="s">
        <v>85</v>
      </c>
      <c r="O38" s="40">
        <v>600</v>
      </c>
      <c r="P38" s="63"/>
      <c r="Q38" s="41" t="s">
        <v>106</v>
      </c>
      <c r="R38" s="40" t="s">
        <v>134</v>
      </c>
      <c r="S38" s="58">
        <f ca="1">IFERROR(__xludf.DUMMYFUNCTION("ARRAYFORMULA( VALUE(QUERY((importrange(""1qnZqD9JI9g6d5ptLsRSkezEQSwQh8N6kbm_VLpWCLNQ"",""TOTALES!E2:P3"")),""Select*"",1)))"),133)</f>
        <v>133</v>
      </c>
      <c r="T38" s="58">
        <f ca="1">IFERROR(__xludf.DUMMYFUNCTION("""COMPUTED_VALUE"""),152)</f>
        <v>152</v>
      </c>
      <c r="U38" s="58">
        <f ca="1">IFERROR(__xludf.DUMMYFUNCTION("""COMPUTED_VALUE"""),155)</f>
        <v>155</v>
      </c>
      <c r="V38" s="58">
        <f ca="1">IFERROR(__xludf.DUMMYFUNCTION("""COMPUTED_VALUE"""),157)</f>
        <v>157</v>
      </c>
      <c r="W38" s="58">
        <f ca="1">IFERROR(__xludf.DUMMYFUNCTION("""COMPUTED_VALUE"""),167)</f>
        <v>167</v>
      </c>
      <c r="X38" s="58">
        <f ca="1">IFERROR(__xludf.DUMMYFUNCTION("""COMPUTED_VALUE"""),172)</f>
        <v>172</v>
      </c>
      <c r="Y38" s="58">
        <f ca="1">IFERROR(__xludf.DUMMYFUNCTION("""COMPUTED_VALUE"""),168)</f>
        <v>168</v>
      </c>
      <c r="Z38" s="58">
        <f ca="1">IFERROR(__xludf.DUMMYFUNCTION("""COMPUTED_VALUE"""),165)</f>
        <v>165</v>
      </c>
      <c r="AA38" s="58">
        <f ca="1">IFERROR(__xludf.DUMMYFUNCTION("""COMPUTED_VALUE"""),161)</f>
        <v>161</v>
      </c>
      <c r="AB38" s="58">
        <f ca="1">IFERROR(__xludf.DUMMYFUNCTION("""COMPUTED_VALUE"""),0)</f>
        <v>0</v>
      </c>
      <c r="AC38" s="58">
        <f ca="1">IFERROR(__xludf.DUMMYFUNCTION("""COMPUTED_VALUE"""),0)</f>
        <v>0</v>
      </c>
      <c r="AD38" s="58">
        <f ca="1">IFERROR(__xludf.DUMMYFUNCTION("""COMPUTED_VALUE"""),0)</f>
        <v>0</v>
      </c>
      <c r="AE38" s="113">
        <f t="shared" ref="AE38:AE39" ca="1" si="3">SUM(S38:U38)</f>
        <v>440</v>
      </c>
      <c r="AF38" s="11">
        <f t="shared" ca="1" si="1"/>
        <v>110</v>
      </c>
      <c r="AG38" s="59">
        <f t="shared" ca="1" si="2"/>
        <v>146.66666666666666</v>
      </c>
    </row>
    <row r="39" spans="1:33" ht="335.25" customHeight="1">
      <c r="A39" s="69" t="s">
        <v>88</v>
      </c>
      <c r="B39" s="70"/>
      <c r="C39" s="61" t="s">
        <v>135</v>
      </c>
      <c r="D39" s="71" t="s">
        <v>136</v>
      </c>
      <c r="E39" s="40" t="s">
        <v>137</v>
      </c>
      <c r="F39" s="40" t="s">
        <v>138</v>
      </c>
      <c r="G39" s="40" t="s">
        <v>78</v>
      </c>
      <c r="H39" s="40" t="s">
        <v>112</v>
      </c>
      <c r="I39" s="67" t="s">
        <v>139</v>
      </c>
      <c r="J39" s="67" t="s">
        <v>140</v>
      </c>
      <c r="K39" s="67" t="s">
        <v>141</v>
      </c>
      <c r="L39" s="56" t="s">
        <v>116</v>
      </c>
      <c r="M39" s="40" t="s">
        <v>84</v>
      </c>
      <c r="N39" s="68" t="s">
        <v>85</v>
      </c>
      <c r="O39" s="114">
        <v>5600</v>
      </c>
      <c r="P39" s="73"/>
      <c r="Q39" s="58" t="s">
        <v>142</v>
      </c>
      <c r="R39" s="40" t="s">
        <v>143</v>
      </c>
      <c r="S39" s="58">
        <f ca="1">IFERROR(__xludf.DUMMYFUNCTION("""COMPUTED_VALUE"""),475)</f>
        <v>475</v>
      </c>
      <c r="T39" s="58">
        <f ca="1">IFERROR(__xludf.DUMMYFUNCTION("""COMPUTED_VALUE"""),542)</f>
        <v>542</v>
      </c>
      <c r="U39" s="58">
        <f ca="1">IFERROR(__xludf.DUMMYFUNCTION("""COMPUTED_VALUE"""),633)</f>
        <v>633</v>
      </c>
      <c r="V39" s="58">
        <f ca="1">IFERROR(__xludf.DUMMYFUNCTION("""COMPUTED_VALUE"""),562)</f>
        <v>562</v>
      </c>
      <c r="W39" s="58">
        <f ca="1">IFERROR(__xludf.DUMMYFUNCTION("""COMPUTED_VALUE"""),715)</f>
        <v>715</v>
      </c>
      <c r="X39" s="58">
        <f ca="1">IFERROR(__xludf.DUMMYFUNCTION("""COMPUTED_VALUE"""),818)</f>
        <v>818</v>
      </c>
      <c r="Y39" s="58">
        <f ca="1">IFERROR(__xludf.DUMMYFUNCTION("""COMPUTED_VALUE"""),833)</f>
        <v>833</v>
      </c>
      <c r="Z39" s="58">
        <f ca="1">IFERROR(__xludf.DUMMYFUNCTION("""COMPUTED_VALUE"""),756)</f>
        <v>756</v>
      </c>
      <c r="AA39" s="58">
        <f ca="1">IFERROR(__xludf.DUMMYFUNCTION("""COMPUTED_VALUE"""),698)</f>
        <v>698</v>
      </c>
      <c r="AB39" s="58">
        <f ca="1">IFERROR(__xludf.DUMMYFUNCTION("""COMPUTED_VALUE"""),0)</f>
        <v>0</v>
      </c>
      <c r="AC39" s="58">
        <f ca="1">IFERROR(__xludf.DUMMYFUNCTION("""COMPUTED_VALUE"""),0)</f>
        <v>0</v>
      </c>
      <c r="AD39" s="58">
        <f ca="1">IFERROR(__xludf.DUMMYFUNCTION("""COMPUTED_VALUE"""),0)</f>
        <v>0</v>
      </c>
      <c r="AE39" s="113">
        <f t="shared" ca="1" si="3"/>
        <v>1650</v>
      </c>
      <c r="AF39" s="11" t="e">
        <f t="shared" ca="1" si="1"/>
        <v>#NAME?</v>
      </c>
      <c r="AG39" s="59">
        <f t="shared" ca="1" si="2"/>
        <v>1650</v>
      </c>
    </row>
    <row r="40" spans="1:33" ht="185.25">
      <c r="A40" s="53" t="s">
        <v>88</v>
      </c>
      <c r="B40" s="66" t="s">
        <v>97</v>
      </c>
      <c r="C40" s="28" t="s">
        <v>144</v>
      </c>
      <c r="D40" s="40" t="s">
        <v>145</v>
      </c>
      <c r="E40" s="40" t="s">
        <v>146</v>
      </c>
      <c r="F40" s="40" t="s">
        <v>147</v>
      </c>
      <c r="G40" s="40" t="s">
        <v>78</v>
      </c>
      <c r="H40" s="40" t="s">
        <v>79</v>
      </c>
      <c r="I40" s="67" t="s">
        <v>148</v>
      </c>
      <c r="J40" s="67" t="s">
        <v>149</v>
      </c>
      <c r="K40" s="67" t="s">
        <v>150</v>
      </c>
      <c r="L40" s="56" t="s">
        <v>116</v>
      </c>
      <c r="M40" s="40" t="s">
        <v>84</v>
      </c>
      <c r="N40" s="68" t="s">
        <v>85</v>
      </c>
      <c r="O40" s="41">
        <v>470</v>
      </c>
      <c r="P40" s="63"/>
      <c r="Q40" s="41" t="s">
        <v>151</v>
      </c>
      <c r="R40" s="40" t="s">
        <v>152</v>
      </c>
      <c r="S40" s="58">
        <f ca="1">IFERROR(__xludf.DUMMYFUNCTION("ARRAYFORMULA( VALUE( QUERY((importrange(""1BuxWtyq_T2SwlgyldQXGt92ejf_6kltWLvDm6IrZTYs"",""TOTALES!E2:P5"")),""Select*"",1)))"),58)</f>
        <v>58</v>
      </c>
      <c r="T40" s="58">
        <f ca="1">IFERROR(__xludf.DUMMYFUNCTION("""COMPUTED_VALUE"""),55)</f>
        <v>55</v>
      </c>
      <c r="U40" s="58">
        <f ca="1">IFERROR(__xludf.DUMMYFUNCTION("""COMPUTED_VALUE"""),76)</f>
        <v>76</v>
      </c>
      <c r="V40" s="58">
        <f ca="1">IFERROR(__xludf.DUMMYFUNCTION("""COMPUTED_VALUE"""),57)</f>
        <v>57</v>
      </c>
      <c r="W40" s="58">
        <f ca="1">IFERROR(__xludf.DUMMYFUNCTION("""COMPUTED_VALUE"""),54)</f>
        <v>54</v>
      </c>
      <c r="X40" s="58">
        <f ca="1">IFERROR(__xludf.DUMMYFUNCTION("""COMPUTED_VALUE"""),63)</f>
        <v>63</v>
      </c>
      <c r="Y40" s="58">
        <f ca="1">IFERROR(__xludf.DUMMYFUNCTION("""COMPUTED_VALUE"""),48)</f>
        <v>48</v>
      </c>
      <c r="Z40" s="58">
        <f ca="1">IFERROR(__xludf.DUMMYFUNCTION("""COMPUTED_VALUE"""),79)</f>
        <v>79</v>
      </c>
      <c r="AA40" s="58">
        <f ca="1">IFERROR(__xludf.DUMMYFUNCTION("""COMPUTED_VALUE"""),48)</f>
        <v>48</v>
      </c>
      <c r="AB40" s="58">
        <f ca="1">IFERROR(__xludf.DUMMYFUNCTION("""COMPUTED_VALUE"""),0)</f>
        <v>0</v>
      </c>
      <c r="AC40" s="58">
        <f ca="1">IFERROR(__xludf.DUMMYFUNCTION("""COMPUTED_VALUE"""),0)</f>
        <v>0</v>
      </c>
      <c r="AD40" s="58">
        <f ca="1">IFERROR(__xludf.DUMMYFUNCTION("""COMPUTED_VALUE"""),0)</f>
        <v>0</v>
      </c>
      <c r="AE40" s="113">
        <f t="shared" ref="AE40:AE49" ca="1" si="4">SUM(S40:AD40)</f>
        <v>538</v>
      </c>
      <c r="AF40" s="11" t="e">
        <f t="shared" ca="1" si="1"/>
        <v>#NAME?</v>
      </c>
      <c r="AG40" s="59">
        <f t="shared" ca="1" si="2"/>
        <v>538</v>
      </c>
    </row>
    <row r="41" spans="1:33" ht="171">
      <c r="A41" s="53" t="s">
        <v>74</v>
      </c>
      <c r="B41" s="70"/>
      <c r="C41" s="12" t="s">
        <v>153</v>
      </c>
      <c r="D41" s="74" t="s">
        <v>154</v>
      </c>
      <c r="E41" s="74" t="s">
        <v>155</v>
      </c>
      <c r="F41" s="40" t="s">
        <v>156</v>
      </c>
      <c r="G41" s="40" t="s">
        <v>78</v>
      </c>
      <c r="H41" s="40" t="s">
        <v>112</v>
      </c>
      <c r="I41" s="67" t="s">
        <v>250</v>
      </c>
      <c r="J41" s="67" t="s">
        <v>158</v>
      </c>
      <c r="K41" s="67">
        <v>4</v>
      </c>
      <c r="L41" s="56" t="s">
        <v>104</v>
      </c>
      <c r="M41" s="40" t="s">
        <v>105</v>
      </c>
      <c r="N41" s="57" t="s">
        <v>85</v>
      </c>
      <c r="O41" s="40">
        <v>66</v>
      </c>
      <c r="P41" s="63"/>
      <c r="Q41" s="41" t="s">
        <v>151</v>
      </c>
      <c r="R41" s="40" t="s">
        <v>159</v>
      </c>
      <c r="S41" s="58">
        <f ca="1">IFERROR(__xludf.DUMMYFUNCTION("""COMPUTED_VALUE"""),22)</f>
        <v>22</v>
      </c>
      <c r="T41" s="58">
        <f ca="1">IFERROR(__xludf.DUMMYFUNCTION("""COMPUTED_VALUE"""),24)</f>
        <v>24</v>
      </c>
      <c r="U41" s="58">
        <f ca="1">IFERROR(__xludf.DUMMYFUNCTION("""COMPUTED_VALUE"""),24)</f>
        <v>24</v>
      </c>
      <c r="V41" s="58">
        <f ca="1">IFERROR(__xludf.DUMMYFUNCTION("""COMPUTED_VALUE"""),24)</f>
        <v>24</v>
      </c>
      <c r="W41" s="58">
        <f ca="1">IFERROR(__xludf.DUMMYFUNCTION("""COMPUTED_VALUE"""),24)</f>
        <v>24</v>
      </c>
      <c r="X41" s="58">
        <f ca="1">IFERROR(__xludf.DUMMYFUNCTION("""COMPUTED_VALUE"""),24)</f>
        <v>24</v>
      </c>
      <c r="Y41" s="58">
        <f ca="1">IFERROR(__xludf.DUMMYFUNCTION("""COMPUTED_VALUE"""),19)</f>
        <v>19</v>
      </c>
      <c r="Z41" s="58">
        <f ca="1">IFERROR(__xludf.DUMMYFUNCTION("""COMPUTED_VALUE"""),18)</f>
        <v>18</v>
      </c>
      <c r="AA41" s="58">
        <f ca="1">IFERROR(__xludf.DUMMYFUNCTION("""COMPUTED_VALUE"""),22)</f>
        <v>22</v>
      </c>
      <c r="AB41" s="58">
        <f ca="1">IFERROR(__xludf.DUMMYFUNCTION("""COMPUTED_VALUE"""),0)</f>
        <v>0</v>
      </c>
      <c r="AC41" s="58">
        <f ca="1">IFERROR(__xludf.DUMMYFUNCTION("""COMPUTED_VALUE"""),0)</f>
        <v>0</v>
      </c>
      <c r="AD41" s="58">
        <f ca="1">IFERROR(__xludf.DUMMYFUNCTION("""COMPUTED_VALUE"""),0)</f>
        <v>0</v>
      </c>
      <c r="AE41" s="113">
        <f t="shared" ca="1" si="4"/>
        <v>201</v>
      </c>
      <c r="AF41" s="11">
        <f t="shared" ca="1" si="1"/>
        <v>50.3</v>
      </c>
      <c r="AG41" s="59">
        <f t="shared" ca="1" si="2"/>
        <v>67</v>
      </c>
    </row>
    <row r="42" spans="1:33" ht="156.75">
      <c r="A42" s="64"/>
      <c r="B42" s="70"/>
      <c r="C42" s="61" t="s">
        <v>160</v>
      </c>
      <c r="D42" s="40" t="s">
        <v>161</v>
      </c>
      <c r="E42" s="56" t="s">
        <v>251</v>
      </c>
      <c r="F42" s="40" t="s">
        <v>163</v>
      </c>
      <c r="G42" s="40" t="s">
        <v>78</v>
      </c>
      <c r="H42" s="56" t="s">
        <v>112</v>
      </c>
      <c r="I42" s="67" t="s">
        <v>164</v>
      </c>
      <c r="J42" s="67" t="s">
        <v>165</v>
      </c>
      <c r="K42" s="67" t="s">
        <v>166</v>
      </c>
      <c r="L42" s="56" t="s">
        <v>116</v>
      </c>
      <c r="M42" s="56" t="s">
        <v>84</v>
      </c>
      <c r="N42" s="75" t="s">
        <v>85</v>
      </c>
      <c r="O42" s="78">
        <v>15</v>
      </c>
      <c r="P42" s="77"/>
      <c r="Q42" s="78" t="s">
        <v>167</v>
      </c>
      <c r="R42" s="56" t="s">
        <v>168</v>
      </c>
      <c r="S42" s="58">
        <f ca="1">IFERROR(__xludf.DUMMYFUNCTION("""COMPUTED_VALUE"""),16)</f>
        <v>16</v>
      </c>
      <c r="T42" s="58">
        <f ca="1">IFERROR(__xludf.DUMMYFUNCTION("""COMPUTED_VALUE"""),0)</f>
        <v>0</v>
      </c>
      <c r="U42" s="58">
        <f ca="1">IFERROR(__xludf.DUMMYFUNCTION("""COMPUTED_VALUE"""),0)</f>
        <v>0</v>
      </c>
      <c r="V42" s="58">
        <f ca="1">IFERROR(__xludf.DUMMYFUNCTION("""COMPUTED_VALUE"""),0)</f>
        <v>0</v>
      </c>
      <c r="W42" s="58">
        <f ca="1">IFERROR(__xludf.DUMMYFUNCTION("""COMPUTED_VALUE"""),0)</f>
        <v>0</v>
      </c>
      <c r="X42" s="58">
        <f ca="1">IFERROR(__xludf.DUMMYFUNCTION("""COMPUTED_VALUE"""),3)</f>
        <v>3</v>
      </c>
      <c r="Y42" s="58">
        <f ca="1">IFERROR(__xludf.DUMMYFUNCTION("""COMPUTED_VALUE"""),0)</f>
        <v>0</v>
      </c>
      <c r="Z42" s="58">
        <f ca="1">IFERROR(__xludf.DUMMYFUNCTION("""COMPUTED_VALUE"""),1)</f>
        <v>1</v>
      </c>
      <c r="AA42" s="58">
        <f ca="1">IFERROR(__xludf.DUMMYFUNCTION("""COMPUTED_VALUE"""),0)</f>
        <v>0</v>
      </c>
      <c r="AB42" s="58">
        <f ca="1">IFERROR(__xludf.DUMMYFUNCTION("""COMPUTED_VALUE"""),0)</f>
        <v>0</v>
      </c>
      <c r="AC42" s="58">
        <f ca="1">IFERROR(__xludf.DUMMYFUNCTION("""COMPUTED_VALUE"""),0)</f>
        <v>0</v>
      </c>
      <c r="AD42" s="58">
        <f ca="1">IFERROR(__xludf.DUMMYFUNCTION("""COMPUTED_VALUE"""),0)</f>
        <v>0</v>
      </c>
      <c r="AE42" s="113">
        <f t="shared" ca="1" si="4"/>
        <v>20</v>
      </c>
      <c r="AF42" s="11" t="e">
        <f t="shared" ca="1" si="1"/>
        <v>#NAME?</v>
      </c>
      <c r="AG42" s="59">
        <f t="shared" ca="1" si="2"/>
        <v>20</v>
      </c>
    </row>
    <row r="43" spans="1:33" ht="228">
      <c r="A43" s="64"/>
      <c r="B43" s="70"/>
      <c r="C43" s="61" t="s">
        <v>169</v>
      </c>
      <c r="D43" s="40" t="s">
        <v>170</v>
      </c>
      <c r="E43" s="56" t="s">
        <v>171</v>
      </c>
      <c r="F43" s="40" t="s">
        <v>172</v>
      </c>
      <c r="G43" s="40" t="s">
        <v>78</v>
      </c>
      <c r="H43" s="56" t="s">
        <v>112</v>
      </c>
      <c r="I43" s="67" t="s">
        <v>173</v>
      </c>
      <c r="J43" s="67" t="s">
        <v>174</v>
      </c>
      <c r="K43" s="67" t="s">
        <v>175</v>
      </c>
      <c r="L43" s="56" t="s">
        <v>116</v>
      </c>
      <c r="M43" s="56" t="s">
        <v>84</v>
      </c>
      <c r="N43" s="75" t="s">
        <v>85</v>
      </c>
      <c r="O43" s="78">
        <v>25</v>
      </c>
      <c r="P43" s="77"/>
      <c r="Q43" s="78" t="s">
        <v>176</v>
      </c>
      <c r="R43" s="56" t="s">
        <v>177</v>
      </c>
      <c r="S43" s="58">
        <f ca="1">IFERROR(__xludf.DUMMYFUNCTION("""COMPUTED_VALUE"""),1)</f>
        <v>1</v>
      </c>
      <c r="T43" s="58">
        <f ca="1">IFERROR(__xludf.DUMMYFUNCTION("""COMPUTED_VALUE"""),1)</f>
        <v>1</v>
      </c>
      <c r="U43" s="58">
        <f ca="1">IFERROR(__xludf.DUMMYFUNCTION("""COMPUTED_VALUE"""),6)</f>
        <v>6</v>
      </c>
      <c r="V43" s="58">
        <f ca="1">IFERROR(__xludf.DUMMYFUNCTION("""COMPUTED_VALUE"""),12)</f>
        <v>12</v>
      </c>
      <c r="W43" s="58">
        <f ca="1">IFERROR(__xludf.DUMMYFUNCTION("""COMPUTED_VALUE"""),2)</f>
        <v>2</v>
      </c>
      <c r="X43" s="58">
        <f ca="1">IFERROR(__xludf.DUMMYFUNCTION("""COMPUTED_VALUE"""),2)</f>
        <v>2</v>
      </c>
      <c r="Y43" s="58">
        <f ca="1">IFERROR(__xludf.DUMMYFUNCTION("""COMPUTED_VALUE"""),6)</f>
        <v>6</v>
      </c>
      <c r="Z43" s="58">
        <f ca="1">IFERROR(__xludf.DUMMYFUNCTION("""COMPUTED_VALUE"""),24)</f>
        <v>24</v>
      </c>
      <c r="AA43" s="58">
        <f ca="1">IFERROR(__xludf.DUMMYFUNCTION("""COMPUTED_VALUE"""),5)</f>
        <v>5</v>
      </c>
      <c r="AB43" s="58">
        <f ca="1">IFERROR(__xludf.DUMMYFUNCTION("""COMPUTED_VALUE"""),0)</f>
        <v>0</v>
      </c>
      <c r="AC43" s="58">
        <f ca="1">IFERROR(__xludf.DUMMYFUNCTION("""COMPUTED_VALUE"""),0)</f>
        <v>0</v>
      </c>
      <c r="AD43" s="58">
        <f ca="1">IFERROR(__xludf.DUMMYFUNCTION("""COMPUTED_VALUE"""),0)</f>
        <v>0</v>
      </c>
      <c r="AE43" s="113">
        <f t="shared" ca="1" si="4"/>
        <v>59</v>
      </c>
      <c r="AF43" s="11" t="e">
        <f t="shared" ca="1" si="1"/>
        <v>#NAME?</v>
      </c>
      <c r="AG43" s="59">
        <f t="shared" ca="1" si="2"/>
        <v>59</v>
      </c>
    </row>
    <row r="44" spans="1:33" ht="185.25">
      <c r="A44" s="53" t="s">
        <v>74</v>
      </c>
      <c r="B44" s="66" t="s">
        <v>178</v>
      </c>
      <c r="C44" s="28" t="s">
        <v>179</v>
      </c>
      <c r="D44" s="40" t="s">
        <v>180</v>
      </c>
      <c r="E44" s="40" t="s">
        <v>181</v>
      </c>
      <c r="F44" s="40" t="s">
        <v>182</v>
      </c>
      <c r="G44" s="40" t="s">
        <v>78</v>
      </c>
      <c r="H44" s="56" t="s">
        <v>79</v>
      </c>
      <c r="I44" s="67" t="s">
        <v>252</v>
      </c>
      <c r="J44" s="67" t="s">
        <v>184</v>
      </c>
      <c r="K44" s="67">
        <v>4</v>
      </c>
      <c r="L44" s="56" t="s">
        <v>116</v>
      </c>
      <c r="M44" s="40" t="s">
        <v>105</v>
      </c>
      <c r="N44" s="40">
        <v>1853</v>
      </c>
      <c r="O44" s="40">
        <v>6000</v>
      </c>
      <c r="P44" s="63"/>
      <c r="Q44" s="41" t="s">
        <v>185</v>
      </c>
      <c r="R44" s="40" t="s">
        <v>186</v>
      </c>
      <c r="S44" s="58">
        <f ca="1">IFERROR(__xludf.DUMMYFUNCTION("ARRAYFORMULA( VALUE (QUERY((importrange(""1PirMVXd08mbqVBSl4ZUuF0n4D3mbmZhQftDH3YtTAIs"",""TOTALES!E2:P4"")),""Select*"",1)))"),2157)</f>
        <v>2157</v>
      </c>
      <c r="T44" s="58">
        <f ca="1">IFERROR(__xludf.DUMMYFUNCTION("""COMPUTED_VALUE"""),2758)</f>
        <v>2758</v>
      </c>
      <c r="U44" s="58">
        <f ca="1">IFERROR(__xludf.DUMMYFUNCTION("""COMPUTED_VALUE"""),3263)</f>
        <v>3263</v>
      </c>
      <c r="V44" s="58">
        <f ca="1">IFERROR(__xludf.DUMMYFUNCTION("""COMPUTED_VALUE"""),2053)</f>
        <v>2053</v>
      </c>
      <c r="W44" s="58">
        <f ca="1">IFERROR(__xludf.DUMMYFUNCTION("""COMPUTED_VALUE"""),2540)</f>
        <v>2540</v>
      </c>
      <c r="X44" s="58">
        <f ca="1">IFERROR(__xludf.DUMMYFUNCTION("""COMPUTED_VALUE"""),2468)</f>
        <v>2468</v>
      </c>
      <c r="Y44" s="58">
        <f ca="1">IFERROR(__xludf.DUMMYFUNCTION("""COMPUTED_VALUE"""),2645)</f>
        <v>2645</v>
      </c>
      <c r="Z44" s="58">
        <f ca="1">IFERROR(__xludf.DUMMYFUNCTION("""COMPUTED_VALUE"""),1773)</f>
        <v>1773</v>
      </c>
      <c r="AA44" s="58">
        <f ca="1">IFERROR(__xludf.DUMMYFUNCTION("""COMPUTED_VALUE"""),2361)</f>
        <v>2361</v>
      </c>
      <c r="AB44" s="58">
        <f ca="1">IFERROR(__xludf.DUMMYFUNCTION("""COMPUTED_VALUE"""),0)</f>
        <v>0</v>
      </c>
      <c r="AC44" s="58">
        <f ca="1">IFERROR(__xludf.DUMMYFUNCTION("""COMPUTED_VALUE"""),0)</f>
        <v>0</v>
      </c>
      <c r="AD44" s="58">
        <f ca="1">IFERROR(__xludf.DUMMYFUNCTION("""COMPUTED_VALUE"""),0)</f>
        <v>0</v>
      </c>
      <c r="AE44" s="113">
        <f t="shared" ca="1" si="4"/>
        <v>22018</v>
      </c>
      <c r="AF44" s="11">
        <f t="shared" ca="1" si="1"/>
        <v>5504.5</v>
      </c>
      <c r="AG44" s="59">
        <f t="shared" ca="1" si="2"/>
        <v>7339.333333333333</v>
      </c>
    </row>
    <row r="45" spans="1:33" ht="213.75">
      <c r="A45" s="64"/>
      <c r="B45" s="79"/>
      <c r="C45" s="12" t="s">
        <v>187</v>
      </c>
      <c r="D45" s="40" t="s">
        <v>188</v>
      </c>
      <c r="E45" s="40" t="s">
        <v>189</v>
      </c>
      <c r="F45" s="40" t="s">
        <v>190</v>
      </c>
      <c r="G45" s="40" t="s">
        <v>78</v>
      </c>
      <c r="H45" s="40" t="s">
        <v>112</v>
      </c>
      <c r="I45" s="67" t="s">
        <v>191</v>
      </c>
      <c r="J45" s="67" t="s">
        <v>192</v>
      </c>
      <c r="K45" s="67" t="s">
        <v>193</v>
      </c>
      <c r="L45" s="56" t="s">
        <v>116</v>
      </c>
      <c r="M45" s="40" t="s">
        <v>84</v>
      </c>
      <c r="N45" s="58">
        <v>22</v>
      </c>
      <c r="O45" s="58">
        <v>22</v>
      </c>
      <c r="P45" s="63"/>
      <c r="Q45" s="58" t="s">
        <v>185</v>
      </c>
      <c r="R45" s="40" t="s">
        <v>194</v>
      </c>
      <c r="S45" s="58">
        <f ca="1">IFERROR(__xludf.DUMMYFUNCTION("""COMPUTED_VALUE"""),3)</f>
        <v>3</v>
      </c>
      <c r="T45" s="58">
        <f ca="1">IFERROR(__xludf.DUMMYFUNCTION("""COMPUTED_VALUE"""),1)</f>
        <v>1</v>
      </c>
      <c r="U45" s="58">
        <f ca="1">IFERROR(__xludf.DUMMYFUNCTION("""COMPUTED_VALUE"""),1)</f>
        <v>1</v>
      </c>
      <c r="V45" s="58">
        <f ca="1">IFERROR(__xludf.DUMMYFUNCTION("""COMPUTED_VALUE"""),0)</f>
        <v>0</v>
      </c>
      <c r="W45" s="58">
        <f ca="1">IFERROR(__xludf.DUMMYFUNCTION("""COMPUTED_VALUE"""),0)</f>
        <v>0</v>
      </c>
      <c r="X45" s="58">
        <f ca="1">IFERROR(__xludf.DUMMYFUNCTION("""COMPUTED_VALUE"""),0)</f>
        <v>0</v>
      </c>
      <c r="Y45" s="58">
        <f ca="1">IFERROR(__xludf.DUMMYFUNCTION("""COMPUTED_VALUE"""),9)</f>
        <v>9</v>
      </c>
      <c r="Z45" s="58">
        <f ca="1">IFERROR(__xludf.DUMMYFUNCTION("""COMPUTED_VALUE"""),5)</f>
        <v>5</v>
      </c>
      <c r="AA45" s="58">
        <f ca="1">IFERROR(__xludf.DUMMYFUNCTION("""COMPUTED_VALUE"""),0)</f>
        <v>0</v>
      </c>
      <c r="AB45" s="58">
        <f ca="1">IFERROR(__xludf.DUMMYFUNCTION("""COMPUTED_VALUE"""),0)</f>
        <v>0</v>
      </c>
      <c r="AC45" s="58">
        <f ca="1">IFERROR(__xludf.DUMMYFUNCTION("""COMPUTED_VALUE"""),0)</f>
        <v>0</v>
      </c>
      <c r="AD45" s="58">
        <f ca="1">IFERROR(__xludf.DUMMYFUNCTION("""COMPUTED_VALUE"""),0)</f>
        <v>0</v>
      </c>
      <c r="AE45" s="113">
        <f t="shared" ca="1" si="4"/>
        <v>19</v>
      </c>
      <c r="AF45" s="11" t="e">
        <f t="shared" ca="1" si="1"/>
        <v>#NAME?</v>
      </c>
      <c r="AG45" s="59">
        <f t="shared" ca="1" si="2"/>
        <v>19</v>
      </c>
    </row>
    <row r="46" spans="1:33" ht="128.25">
      <c r="A46" s="53" t="s">
        <v>88</v>
      </c>
      <c r="B46" s="65"/>
      <c r="C46" s="61" t="s">
        <v>195</v>
      </c>
      <c r="D46" s="40" t="s">
        <v>196</v>
      </c>
      <c r="E46" s="40" t="s">
        <v>197</v>
      </c>
      <c r="F46" s="40" t="s">
        <v>198</v>
      </c>
      <c r="G46" s="40" t="s">
        <v>78</v>
      </c>
      <c r="H46" s="40" t="s">
        <v>112</v>
      </c>
      <c r="I46" s="67" t="s">
        <v>199</v>
      </c>
      <c r="J46" s="67" t="s">
        <v>200</v>
      </c>
      <c r="K46" s="67" t="s">
        <v>201</v>
      </c>
      <c r="L46" s="56" t="s">
        <v>116</v>
      </c>
      <c r="M46" s="40" t="s">
        <v>84</v>
      </c>
      <c r="N46" s="75" t="s">
        <v>85</v>
      </c>
      <c r="O46" s="58">
        <v>22000</v>
      </c>
      <c r="P46" s="63"/>
      <c r="Q46" s="58" t="s">
        <v>126</v>
      </c>
      <c r="R46" s="40" t="s">
        <v>202</v>
      </c>
      <c r="S46" s="58">
        <f ca="1">IFERROR(__xludf.DUMMYFUNCTION("""COMPUTED_VALUE"""),1440)</f>
        <v>1440</v>
      </c>
      <c r="T46" s="58">
        <f ca="1">IFERROR(__xludf.DUMMYFUNCTION("""COMPUTED_VALUE"""),2000)</f>
        <v>2000</v>
      </c>
      <c r="U46" s="58">
        <f ca="1">IFERROR(__xludf.DUMMYFUNCTION("""COMPUTED_VALUE"""),1900)</f>
        <v>1900</v>
      </c>
      <c r="V46" s="58">
        <f ca="1">IFERROR(__xludf.DUMMYFUNCTION("""COMPUTED_VALUE"""),1300)</f>
        <v>1300</v>
      </c>
      <c r="W46" s="58">
        <f ca="1">IFERROR(__xludf.DUMMYFUNCTION("""COMPUTED_VALUE"""),2000)</f>
        <v>2000</v>
      </c>
      <c r="X46" s="58">
        <f ca="1">IFERROR(__xludf.DUMMYFUNCTION("""COMPUTED_VALUE"""),2100)</f>
        <v>2100</v>
      </c>
      <c r="Y46" s="58">
        <f ca="1">IFERROR(__xludf.DUMMYFUNCTION("""COMPUTED_VALUE"""),2200)</f>
        <v>2200</v>
      </c>
      <c r="Z46" s="58">
        <f ca="1">IFERROR(__xludf.DUMMYFUNCTION("""COMPUTED_VALUE"""),2300)</f>
        <v>2300</v>
      </c>
      <c r="AA46" s="58">
        <f ca="1">IFERROR(__xludf.DUMMYFUNCTION("""COMPUTED_VALUE"""),2000)</f>
        <v>2000</v>
      </c>
      <c r="AB46" s="58">
        <f ca="1">IFERROR(__xludf.DUMMYFUNCTION("""COMPUTED_VALUE"""),0)</f>
        <v>0</v>
      </c>
      <c r="AC46" s="58">
        <f ca="1">IFERROR(__xludf.DUMMYFUNCTION("""COMPUTED_VALUE"""),0)</f>
        <v>0</v>
      </c>
      <c r="AD46" s="58">
        <f ca="1">IFERROR(__xludf.DUMMYFUNCTION("""COMPUTED_VALUE"""),0)</f>
        <v>0</v>
      </c>
      <c r="AE46" s="113">
        <f t="shared" ca="1" si="4"/>
        <v>17240</v>
      </c>
      <c r="AF46" s="11" t="e">
        <f t="shared" ca="1" si="1"/>
        <v>#NAME?</v>
      </c>
      <c r="AG46" s="59">
        <f t="shared" ca="1" si="2"/>
        <v>17240</v>
      </c>
    </row>
    <row r="47" spans="1:33" ht="285">
      <c r="A47" s="53"/>
      <c r="B47" s="66" t="s">
        <v>97</v>
      </c>
      <c r="C47" s="28" t="s">
        <v>203</v>
      </c>
      <c r="D47" s="40" t="s">
        <v>204</v>
      </c>
      <c r="E47" s="40" t="s">
        <v>205</v>
      </c>
      <c r="F47" s="40" t="s">
        <v>206</v>
      </c>
      <c r="G47" s="40" t="s">
        <v>78</v>
      </c>
      <c r="H47" s="40" t="s">
        <v>79</v>
      </c>
      <c r="I47" s="67" t="s">
        <v>207</v>
      </c>
      <c r="J47" s="67" t="s">
        <v>208</v>
      </c>
      <c r="K47" s="67" t="s">
        <v>209</v>
      </c>
      <c r="L47" s="56" t="s">
        <v>116</v>
      </c>
      <c r="M47" s="40" t="s">
        <v>84</v>
      </c>
      <c r="N47" s="75" t="s">
        <v>85</v>
      </c>
      <c r="O47" s="41">
        <v>7920</v>
      </c>
      <c r="P47" s="63"/>
      <c r="Q47" s="41" t="s">
        <v>210</v>
      </c>
      <c r="R47" s="40" t="s">
        <v>211</v>
      </c>
      <c r="S47" s="58">
        <f ca="1">IFERROR(__xludf.DUMMYFUNCTION("ARRAYFORMULA( VALUE( QUERY((importrange(""1J44ybmWLAAIJ7yiYYopnsEAVEhuIcT-civDyRmnMZlY"",""TOTALES!E2:P4"")),""Select*"",1)))"),223)</f>
        <v>223</v>
      </c>
      <c r="T47" s="58">
        <f ca="1">IFERROR(__xludf.DUMMYFUNCTION("""COMPUTED_VALUE"""),911)</f>
        <v>911</v>
      </c>
      <c r="U47" s="58">
        <f ca="1">IFERROR(__xludf.DUMMYFUNCTION("""COMPUTED_VALUE"""),998)</f>
        <v>998</v>
      </c>
      <c r="V47" s="58">
        <f ca="1">IFERROR(__xludf.DUMMYFUNCTION("""COMPUTED_VALUE"""),750)</f>
        <v>750</v>
      </c>
      <c r="W47" s="58">
        <f ca="1">IFERROR(__xludf.DUMMYFUNCTION("""COMPUTED_VALUE"""),879)</f>
        <v>879</v>
      </c>
      <c r="X47" s="58">
        <f ca="1">IFERROR(__xludf.DUMMYFUNCTION("""COMPUTED_VALUE"""),1142)</f>
        <v>1142</v>
      </c>
      <c r="Y47" s="58">
        <f ca="1">IFERROR(__xludf.DUMMYFUNCTION("""COMPUTED_VALUE"""),891)</f>
        <v>891</v>
      </c>
      <c r="Z47" s="58">
        <f ca="1">IFERROR(__xludf.DUMMYFUNCTION("""COMPUTED_VALUE"""),927)</f>
        <v>927</v>
      </c>
      <c r="AA47" s="58">
        <f ca="1">IFERROR(__xludf.DUMMYFUNCTION("""COMPUTED_VALUE"""),958)</f>
        <v>958</v>
      </c>
      <c r="AB47" s="58">
        <f ca="1">IFERROR(__xludf.DUMMYFUNCTION("""COMPUTED_VALUE"""),0)</f>
        <v>0</v>
      </c>
      <c r="AC47" s="58">
        <f ca="1">IFERROR(__xludf.DUMMYFUNCTION("""COMPUTED_VALUE"""),0)</f>
        <v>0</v>
      </c>
      <c r="AD47" s="58">
        <f ca="1">IFERROR(__xludf.DUMMYFUNCTION("""COMPUTED_VALUE"""),0)</f>
        <v>0</v>
      </c>
      <c r="AE47" s="113">
        <f t="shared" ca="1" si="4"/>
        <v>7679</v>
      </c>
      <c r="AF47" s="11" t="e">
        <f t="shared" ca="1" si="1"/>
        <v>#NAME?</v>
      </c>
      <c r="AG47" s="59">
        <f t="shared" ca="1" si="2"/>
        <v>7679</v>
      </c>
    </row>
    <row r="48" spans="1:33" ht="156.75">
      <c r="A48" s="53" t="s">
        <v>88</v>
      </c>
      <c r="B48" s="79"/>
      <c r="C48" s="12" t="s">
        <v>212</v>
      </c>
      <c r="D48" s="74" t="s">
        <v>213</v>
      </c>
      <c r="E48" s="40" t="s">
        <v>214</v>
      </c>
      <c r="F48" s="40" t="s">
        <v>215</v>
      </c>
      <c r="G48" s="40" t="s">
        <v>78</v>
      </c>
      <c r="H48" s="40" t="s">
        <v>112</v>
      </c>
      <c r="I48" s="67" t="s">
        <v>216</v>
      </c>
      <c r="J48" s="67" t="s">
        <v>217</v>
      </c>
      <c r="K48" s="67" t="s">
        <v>218</v>
      </c>
      <c r="L48" s="56" t="s">
        <v>116</v>
      </c>
      <c r="M48" s="40" t="s">
        <v>84</v>
      </c>
      <c r="N48" s="75" t="s">
        <v>85</v>
      </c>
      <c r="O48" s="58">
        <v>7250</v>
      </c>
      <c r="P48" s="42"/>
      <c r="Q48" s="58" t="s">
        <v>210</v>
      </c>
      <c r="R48" s="40" t="s">
        <v>219</v>
      </c>
      <c r="S48" s="58">
        <f ca="1">IFERROR(__xludf.DUMMYFUNCTION("""COMPUTED_VALUE"""),178)</f>
        <v>178</v>
      </c>
      <c r="T48" s="58">
        <f ca="1">IFERROR(__xludf.DUMMYFUNCTION("""COMPUTED_VALUE"""),769)</f>
        <v>769</v>
      </c>
      <c r="U48" s="58">
        <f ca="1">IFERROR(__xludf.DUMMYFUNCTION("""COMPUTED_VALUE"""),931)</f>
        <v>931</v>
      </c>
      <c r="V48" s="58">
        <f ca="1">IFERROR(__xludf.DUMMYFUNCTION("""COMPUTED_VALUE"""),660)</f>
        <v>660</v>
      </c>
      <c r="W48" s="58">
        <f ca="1">IFERROR(__xludf.DUMMYFUNCTION("""COMPUTED_VALUE"""),774)</f>
        <v>774</v>
      </c>
      <c r="X48" s="58">
        <f ca="1">IFERROR(__xludf.DUMMYFUNCTION("""COMPUTED_VALUE"""),981)</f>
        <v>981</v>
      </c>
      <c r="Y48" s="58">
        <f ca="1">IFERROR(__xludf.DUMMYFUNCTION("""COMPUTED_VALUE"""),758)</f>
        <v>758</v>
      </c>
      <c r="Z48" s="58">
        <f ca="1">IFERROR(__xludf.DUMMYFUNCTION("""COMPUTED_VALUE"""),751)</f>
        <v>751</v>
      </c>
      <c r="AA48" s="58">
        <f ca="1">IFERROR(__xludf.DUMMYFUNCTION("""COMPUTED_VALUE"""),826)</f>
        <v>826</v>
      </c>
      <c r="AB48" s="58">
        <f ca="1">IFERROR(__xludf.DUMMYFUNCTION("""COMPUTED_VALUE"""),0)</f>
        <v>0</v>
      </c>
      <c r="AC48" s="58">
        <f ca="1">IFERROR(__xludf.DUMMYFUNCTION("""COMPUTED_VALUE"""),0)</f>
        <v>0</v>
      </c>
      <c r="AD48" s="58">
        <f ca="1">IFERROR(__xludf.DUMMYFUNCTION("""COMPUTED_VALUE"""),0)</f>
        <v>0</v>
      </c>
      <c r="AE48" s="113">
        <f t="shared" ca="1" si="4"/>
        <v>6628</v>
      </c>
      <c r="AF48" s="11" t="e">
        <f t="shared" ca="1" si="1"/>
        <v>#NAME?</v>
      </c>
      <c r="AG48" s="59">
        <f t="shared" ca="1" si="2"/>
        <v>6628</v>
      </c>
    </row>
    <row r="49" spans="1:33" ht="156.75">
      <c r="A49" s="53" t="s">
        <v>88</v>
      </c>
      <c r="C49" s="61" t="s">
        <v>220</v>
      </c>
      <c r="D49" s="74" t="s">
        <v>221</v>
      </c>
      <c r="E49" s="40" t="s">
        <v>222</v>
      </c>
      <c r="F49" s="40" t="s">
        <v>223</v>
      </c>
      <c r="G49" s="40" t="s">
        <v>78</v>
      </c>
      <c r="H49" s="40" t="s">
        <v>112</v>
      </c>
      <c r="I49" s="67" t="s">
        <v>224</v>
      </c>
      <c r="J49" s="67" t="s">
        <v>225</v>
      </c>
      <c r="K49" s="67" t="s">
        <v>218</v>
      </c>
      <c r="L49" s="56" t="s">
        <v>116</v>
      </c>
      <c r="M49" s="40" t="s">
        <v>84</v>
      </c>
      <c r="N49" s="75" t="s">
        <v>85</v>
      </c>
      <c r="O49" s="58">
        <v>670</v>
      </c>
      <c r="P49" s="42"/>
      <c r="Q49" s="58" t="s">
        <v>210</v>
      </c>
      <c r="R49" s="40" t="s">
        <v>226</v>
      </c>
      <c r="S49" s="58">
        <f ca="1">IFERROR(__xludf.DUMMYFUNCTION("""COMPUTED_VALUE"""),45)</f>
        <v>45</v>
      </c>
      <c r="T49" s="58">
        <f ca="1">IFERROR(__xludf.DUMMYFUNCTION("""COMPUTED_VALUE"""),142)</f>
        <v>142</v>
      </c>
      <c r="U49" s="58">
        <f ca="1">IFERROR(__xludf.DUMMYFUNCTION("""COMPUTED_VALUE"""),145)</f>
        <v>145</v>
      </c>
      <c r="V49" s="58">
        <f ca="1">IFERROR(__xludf.DUMMYFUNCTION("""COMPUTED_VALUE"""),90)</f>
        <v>90</v>
      </c>
      <c r="W49" s="58">
        <f ca="1">IFERROR(__xludf.DUMMYFUNCTION("""COMPUTED_VALUE"""),105)</f>
        <v>105</v>
      </c>
      <c r="X49" s="58">
        <f ca="1">IFERROR(__xludf.DUMMYFUNCTION("""COMPUTED_VALUE"""),161)</f>
        <v>161</v>
      </c>
      <c r="Y49" s="58">
        <f ca="1">IFERROR(__xludf.DUMMYFUNCTION("""COMPUTED_VALUE"""),133)</f>
        <v>133</v>
      </c>
      <c r="Z49" s="58">
        <f ca="1">IFERROR(__xludf.DUMMYFUNCTION("""COMPUTED_VALUE"""),176)</f>
        <v>176</v>
      </c>
      <c r="AA49" s="58">
        <f ca="1">IFERROR(__xludf.DUMMYFUNCTION("""COMPUTED_VALUE"""),132)</f>
        <v>132</v>
      </c>
      <c r="AB49" s="58">
        <f ca="1">IFERROR(__xludf.DUMMYFUNCTION("""COMPUTED_VALUE"""),0)</f>
        <v>0</v>
      </c>
      <c r="AC49" s="58">
        <f ca="1">IFERROR(__xludf.DUMMYFUNCTION("""COMPUTED_VALUE"""),0)</f>
        <v>0</v>
      </c>
      <c r="AD49" s="58">
        <f ca="1">IFERROR(__xludf.DUMMYFUNCTION("""COMPUTED_VALUE"""),0)</f>
        <v>0</v>
      </c>
      <c r="AE49" s="113">
        <f t="shared" ca="1" si="4"/>
        <v>1129</v>
      </c>
      <c r="AF49" s="11" t="e">
        <f t="shared" ca="1" si="1"/>
        <v>#NAME?</v>
      </c>
      <c r="AG49" s="59">
        <f t="shared" ca="1" si="2"/>
        <v>1129</v>
      </c>
    </row>
    <row r="50" spans="1:33" ht="15.75">
      <c r="A50" s="19"/>
      <c r="C50" s="80"/>
      <c r="D50" s="81"/>
      <c r="E50" s="82"/>
      <c r="F50" s="82"/>
      <c r="G50" s="83"/>
      <c r="H50" s="83"/>
      <c r="I50" s="82"/>
      <c r="J50" s="84"/>
      <c r="K50" s="84"/>
      <c r="L50" s="83"/>
      <c r="M50" s="83"/>
      <c r="N50" s="85"/>
      <c r="O50" s="82"/>
      <c r="P50" s="85"/>
      <c r="Q50" s="82"/>
      <c r="R50" s="83"/>
    </row>
    <row r="51" spans="1:33" ht="15.75">
      <c r="A51" s="19"/>
      <c r="D51" s="86"/>
      <c r="E51" s="86"/>
      <c r="F51" s="86"/>
      <c r="G51" s="86"/>
      <c r="H51" s="86"/>
    </row>
    <row r="52" spans="1:33" ht="15.75">
      <c r="A52" s="19"/>
      <c r="D52" s="86"/>
      <c r="E52" s="86"/>
      <c r="F52" s="86"/>
      <c r="G52" s="86"/>
      <c r="H52" s="86"/>
    </row>
    <row r="53" spans="1:33" ht="15.75">
      <c r="A53" s="19"/>
      <c r="D53" s="86"/>
      <c r="E53" s="86"/>
      <c r="F53" s="86"/>
      <c r="G53" s="86"/>
      <c r="H53" s="86"/>
    </row>
    <row r="54" spans="1:33" ht="15.75">
      <c r="A54" s="19"/>
      <c r="D54" s="86"/>
      <c r="E54" s="86"/>
      <c r="F54" s="86"/>
      <c r="G54" s="86"/>
      <c r="H54" s="86"/>
    </row>
    <row r="55" spans="1:33" ht="15.75">
      <c r="A55" s="19"/>
      <c r="D55" s="86"/>
      <c r="E55" s="86"/>
      <c r="F55" s="86"/>
      <c r="G55" s="86"/>
      <c r="H55" s="86"/>
    </row>
    <row r="56" spans="1:33" ht="15.75">
      <c r="A56" s="19"/>
      <c r="D56" s="86"/>
      <c r="E56" s="86"/>
      <c r="F56" s="86"/>
      <c r="G56" s="86"/>
      <c r="H56" s="86"/>
    </row>
    <row r="57" spans="1:33" ht="15.75">
      <c r="A57" s="19"/>
      <c r="D57" s="86"/>
      <c r="E57" s="86"/>
      <c r="F57" s="86"/>
      <c r="G57" s="86"/>
      <c r="H57" s="86"/>
    </row>
    <row r="58" spans="1:33" ht="15.75">
      <c r="A58" s="19"/>
      <c r="D58" s="86"/>
      <c r="E58" s="86"/>
      <c r="F58" s="86"/>
      <c r="G58" s="86"/>
      <c r="H58" s="86"/>
    </row>
    <row r="59" spans="1:33" ht="15.75">
      <c r="A59" s="8"/>
      <c r="B59" s="9"/>
      <c r="C59" s="9"/>
      <c r="D59" s="70"/>
      <c r="E59" s="70"/>
      <c r="F59" s="70"/>
      <c r="G59" s="70"/>
      <c r="H59" s="70"/>
      <c r="I59" s="70"/>
      <c r="J59" s="86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33" ht="15.75">
      <c r="A60" s="64"/>
      <c r="B60" s="11"/>
      <c r="C60" s="87" t="s">
        <v>227</v>
      </c>
      <c r="D60" s="170"/>
      <c r="E60" s="171"/>
      <c r="F60" s="171"/>
      <c r="G60" s="172"/>
      <c r="H60" s="14" t="s">
        <v>7</v>
      </c>
      <c r="I60" s="173" t="s">
        <v>228</v>
      </c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1"/>
    </row>
    <row r="61" spans="1:33" ht="15.75">
      <c r="A61" s="64"/>
      <c r="B61" s="11"/>
      <c r="C61" s="12" t="s">
        <v>229</v>
      </c>
      <c r="D61" s="162"/>
      <c r="E61" s="160"/>
      <c r="F61" s="160"/>
      <c r="G61" s="161"/>
      <c r="H61" s="14" t="s">
        <v>7</v>
      </c>
      <c r="I61" s="88" t="s">
        <v>230</v>
      </c>
      <c r="J61" s="89" t="s">
        <v>231</v>
      </c>
      <c r="K61" s="89" t="s">
        <v>232</v>
      </c>
      <c r="L61" s="89" t="s">
        <v>233</v>
      </c>
      <c r="M61" s="89" t="s">
        <v>234</v>
      </c>
      <c r="N61" s="89" t="s">
        <v>235</v>
      </c>
      <c r="O61" s="89" t="s">
        <v>236</v>
      </c>
      <c r="P61" s="89" t="s">
        <v>237</v>
      </c>
      <c r="Q61" s="89" t="s">
        <v>238</v>
      </c>
      <c r="R61" s="89" t="s">
        <v>41</v>
      </c>
      <c r="S61" s="89" t="s">
        <v>239</v>
      </c>
      <c r="T61" s="89" t="s">
        <v>240</v>
      </c>
    </row>
    <row r="62" spans="1:33" ht="15.75">
      <c r="A62" s="64"/>
      <c r="B62" s="11"/>
      <c r="C62" s="12" t="s">
        <v>241</v>
      </c>
      <c r="D62" s="162"/>
      <c r="E62" s="160"/>
      <c r="F62" s="160"/>
      <c r="G62" s="161"/>
      <c r="H62" s="14" t="s">
        <v>7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</row>
    <row r="63" spans="1:33" ht="15.75">
      <c r="A63" s="64"/>
      <c r="B63" s="11"/>
      <c r="C63" s="61" t="s">
        <v>242</v>
      </c>
      <c r="D63" s="174"/>
      <c r="E63" s="160"/>
      <c r="F63" s="160"/>
      <c r="G63" s="161"/>
      <c r="H63" s="86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33" ht="15.75">
      <c r="A64" s="64"/>
      <c r="B64" s="11"/>
      <c r="C64" s="12" t="s">
        <v>243</v>
      </c>
      <c r="D64" s="159"/>
      <c r="E64" s="160"/>
      <c r="F64" s="160"/>
      <c r="G64" s="161"/>
      <c r="H64" s="14" t="s">
        <v>7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9" ht="31.5">
      <c r="A65" s="64"/>
      <c r="B65" s="11"/>
      <c r="C65" s="12" t="s">
        <v>244</v>
      </c>
      <c r="D65" s="162"/>
      <c r="E65" s="160"/>
      <c r="F65" s="160"/>
      <c r="G65" s="161"/>
      <c r="H65" s="86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9" ht="31.5">
      <c r="A66" s="64"/>
      <c r="B66" s="11"/>
      <c r="C66" s="12" t="s">
        <v>245</v>
      </c>
      <c r="D66" s="163"/>
      <c r="E66" s="160"/>
      <c r="F66" s="160"/>
      <c r="G66" s="161"/>
      <c r="H66" s="86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9" ht="15.75">
      <c r="A67" s="64"/>
      <c r="B67" s="11"/>
      <c r="C67" s="11"/>
      <c r="D67" s="86"/>
      <c r="E67" s="86"/>
      <c r="F67" s="86"/>
      <c r="G67" s="86"/>
      <c r="H67" s="86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.75">
      <c r="A68" s="64"/>
      <c r="B68" s="11"/>
      <c r="C68" s="11"/>
      <c r="D68" s="86"/>
      <c r="E68" s="86"/>
      <c r="F68" s="86"/>
      <c r="G68" s="86"/>
      <c r="H68" s="86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5.75">
      <c r="A69" s="19"/>
      <c r="D69" s="86"/>
      <c r="E69" s="86"/>
      <c r="F69" s="86"/>
      <c r="G69" s="86"/>
      <c r="H69" s="86"/>
    </row>
    <row r="70" spans="1:19" ht="15.75">
      <c r="A70" s="19"/>
      <c r="D70" s="86"/>
      <c r="E70" s="86"/>
      <c r="F70" s="86"/>
      <c r="G70" s="86"/>
      <c r="H70" s="86"/>
    </row>
    <row r="71" spans="1:19" ht="15.75">
      <c r="A71" s="19"/>
      <c r="D71" s="86"/>
      <c r="E71" s="86"/>
      <c r="F71" s="86"/>
      <c r="G71" s="86"/>
      <c r="H71" s="86"/>
    </row>
    <row r="72" spans="1:19" ht="15.75">
      <c r="A72" s="19"/>
      <c r="D72" s="86"/>
      <c r="E72" s="86"/>
      <c r="F72" s="86"/>
      <c r="G72" s="86"/>
      <c r="H72" s="86"/>
    </row>
    <row r="73" spans="1:19" ht="15.75">
      <c r="A73" s="19"/>
      <c r="D73" s="86"/>
      <c r="E73" s="86"/>
      <c r="F73" s="86"/>
      <c r="G73" s="86"/>
      <c r="H73" s="86"/>
    </row>
    <row r="74" spans="1:19" ht="15.75">
      <c r="A74" s="19"/>
      <c r="D74" s="86"/>
      <c r="E74" s="86"/>
      <c r="F74" s="86"/>
      <c r="G74" s="86"/>
      <c r="H74" s="86"/>
    </row>
    <row r="75" spans="1:19" ht="15.75">
      <c r="A75" s="19"/>
      <c r="D75" s="86"/>
      <c r="E75" s="86"/>
      <c r="F75" s="86"/>
      <c r="G75" s="86"/>
      <c r="H75" s="86"/>
    </row>
    <row r="76" spans="1:19" ht="15.75">
      <c r="A76" s="19"/>
      <c r="D76" s="86"/>
      <c r="E76" s="86"/>
      <c r="F76" s="86"/>
      <c r="G76" s="86"/>
      <c r="H76" s="86"/>
    </row>
    <row r="77" spans="1:19" ht="15.75">
      <c r="A77" s="19"/>
      <c r="D77" s="86"/>
      <c r="E77" s="86"/>
      <c r="F77" s="86"/>
      <c r="G77" s="86"/>
      <c r="H77" s="86"/>
    </row>
    <row r="78" spans="1:19" ht="15.75">
      <c r="A78" s="19"/>
      <c r="D78" s="86"/>
      <c r="E78" s="86"/>
      <c r="F78" s="86"/>
      <c r="G78" s="86"/>
      <c r="H78" s="86"/>
    </row>
    <row r="79" spans="1:19" ht="15.75">
      <c r="A79" s="19"/>
      <c r="D79" s="86"/>
      <c r="E79" s="86"/>
      <c r="F79" s="86"/>
      <c r="G79" s="86"/>
      <c r="H79" s="86"/>
    </row>
    <row r="80" spans="1:19" ht="15.75">
      <c r="A80" s="19"/>
      <c r="D80" s="86"/>
      <c r="E80" s="86"/>
      <c r="F80" s="86"/>
      <c r="G80" s="86"/>
      <c r="H80" s="86"/>
    </row>
    <row r="81" spans="1:8" ht="15.75">
      <c r="A81" s="19"/>
      <c r="D81" s="86"/>
      <c r="E81" s="86"/>
      <c r="F81" s="86"/>
      <c r="G81" s="86"/>
      <c r="H81" s="86"/>
    </row>
    <row r="82" spans="1:8" ht="15.75">
      <c r="A82" s="19"/>
      <c r="D82" s="86"/>
      <c r="E82" s="86"/>
      <c r="F82" s="86"/>
      <c r="G82" s="86"/>
      <c r="H82" s="86"/>
    </row>
    <row r="83" spans="1:8" ht="15.75">
      <c r="A83" s="19"/>
      <c r="D83" s="86"/>
      <c r="E83" s="86"/>
      <c r="F83" s="86"/>
      <c r="G83" s="86"/>
      <c r="H83" s="86"/>
    </row>
    <row r="84" spans="1:8" ht="15.75">
      <c r="A84" s="19"/>
      <c r="D84" s="86"/>
      <c r="E84" s="86"/>
      <c r="F84" s="86"/>
      <c r="G84" s="86"/>
      <c r="H84" s="86"/>
    </row>
    <row r="85" spans="1:8" ht="15.75">
      <c r="A85" s="19"/>
      <c r="D85" s="86"/>
      <c r="E85" s="86"/>
      <c r="F85" s="86"/>
      <c r="G85" s="86"/>
      <c r="H85" s="86"/>
    </row>
    <row r="86" spans="1:8" ht="15.75">
      <c r="A86" s="19"/>
      <c r="D86" s="86"/>
      <c r="E86" s="86"/>
      <c r="F86" s="86"/>
      <c r="G86" s="86"/>
      <c r="H86" s="86"/>
    </row>
    <row r="87" spans="1:8" ht="15.75">
      <c r="A87" s="19"/>
      <c r="D87" s="86"/>
      <c r="E87" s="86"/>
      <c r="F87" s="86"/>
      <c r="G87" s="86"/>
      <c r="H87" s="86"/>
    </row>
    <row r="88" spans="1:8" ht="15.75">
      <c r="A88" s="19"/>
      <c r="D88" s="86"/>
      <c r="E88" s="86"/>
      <c r="F88" s="86"/>
      <c r="G88" s="86"/>
      <c r="H88" s="86"/>
    </row>
    <row r="89" spans="1:8" ht="15.75">
      <c r="A89" s="19"/>
      <c r="D89" s="86"/>
      <c r="E89" s="86"/>
      <c r="F89" s="86"/>
      <c r="G89" s="86"/>
      <c r="H89" s="86"/>
    </row>
    <row r="90" spans="1:8" ht="15.75">
      <c r="A90" s="19"/>
      <c r="D90" s="86"/>
      <c r="E90" s="86"/>
      <c r="F90" s="86"/>
      <c r="G90" s="86"/>
      <c r="H90" s="86"/>
    </row>
    <row r="91" spans="1:8" ht="15.75">
      <c r="A91" s="19"/>
      <c r="D91" s="86"/>
      <c r="E91" s="86"/>
      <c r="F91" s="86"/>
      <c r="G91" s="86"/>
      <c r="H91" s="86"/>
    </row>
    <row r="92" spans="1:8" ht="15.75">
      <c r="A92" s="19"/>
      <c r="D92" s="86"/>
      <c r="E92" s="86"/>
      <c r="F92" s="86"/>
      <c r="G92" s="86"/>
      <c r="H92" s="86"/>
    </row>
    <row r="93" spans="1:8" ht="15.75">
      <c r="A93" s="19"/>
      <c r="D93" s="86"/>
      <c r="E93" s="86"/>
      <c r="F93" s="86"/>
      <c r="G93" s="86"/>
      <c r="H93" s="86"/>
    </row>
    <row r="94" spans="1:8" ht="15.75">
      <c r="A94" s="19"/>
      <c r="D94" s="86"/>
      <c r="E94" s="86"/>
      <c r="F94" s="86"/>
      <c r="G94" s="86"/>
      <c r="H94" s="86"/>
    </row>
    <row r="95" spans="1:8" ht="15.75">
      <c r="A95" s="19"/>
      <c r="D95" s="86"/>
      <c r="E95" s="86"/>
      <c r="F95" s="86"/>
      <c r="G95" s="86"/>
      <c r="H95" s="86"/>
    </row>
    <row r="96" spans="1:8" ht="15.75">
      <c r="A96" s="19"/>
      <c r="D96" s="86"/>
      <c r="E96" s="86"/>
      <c r="F96" s="86"/>
      <c r="G96" s="86"/>
      <c r="H96" s="86"/>
    </row>
    <row r="97" spans="1:8" ht="15.75">
      <c r="A97" s="19"/>
      <c r="D97" s="86"/>
      <c r="E97" s="86"/>
      <c r="F97" s="86"/>
      <c r="G97" s="86"/>
      <c r="H97" s="86"/>
    </row>
    <row r="98" spans="1:8" ht="15.75">
      <c r="A98" s="19"/>
      <c r="D98" s="86"/>
      <c r="E98" s="86"/>
      <c r="F98" s="86"/>
      <c r="G98" s="86"/>
      <c r="H98" s="86"/>
    </row>
    <row r="99" spans="1:8" ht="15.75">
      <c r="A99" s="19"/>
      <c r="D99" s="86"/>
      <c r="E99" s="86"/>
      <c r="F99" s="86"/>
      <c r="G99" s="86"/>
      <c r="H99" s="86"/>
    </row>
    <row r="100" spans="1:8" ht="15.75">
      <c r="A100" s="19"/>
      <c r="D100" s="86"/>
      <c r="E100" s="86"/>
      <c r="F100" s="86"/>
      <c r="G100" s="86"/>
      <c r="H100" s="86"/>
    </row>
    <row r="101" spans="1:8" ht="15.75">
      <c r="A101" s="19"/>
      <c r="D101" s="86"/>
      <c r="E101" s="86"/>
      <c r="F101" s="86"/>
      <c r="G101" s="86"/>
      <c r="H101" s="86"/>
    </row>
    <row r="102" spans="1:8" ht="15.75">
      <c r="A102" s="19"/>
      <c r="D102" s="86"/>
      <c r="E102" s="86"/>
      <c r="F102" s="86"/>
      <c r="G102" s="86"/>
      <c r="H102" s="86"/>
    </row>
    <row r="103" spans="1:8" ht="15.75">
      <c r="A103" s="19"/>
      <c r="D103" s="86"/>
      <c r="E103" s="86"/>
      <c r="F103" s="86"/>
      <c r="G103" s="86"/>
      <c r="H103" s="86"/>
    </row>
    <row r="104" spans="1:8" ht="15.75">
      <c r="A104" s="19"/>
      <c r="D104" s="86"/>
      <c r="E104" s="86"/>
      <c r="F104" s="86"/>
      <c r="G104" s="86"/>
      <c r="H104" s="86"/>
    </row>
    <row r="105" spans="1:8" ht="15.75">
      <c r="A105" s="19"/>
      <c r="D105" s="86"/>
      <c r="E105" s="86"/>
      <c r="F105" s="86"/>
      <c r="G105" s="86"/>
      <c r="H105" s="86"/>
    </row>
    <row r="106" spans="1:8" ht="15.75">
      <c r="A106" s="19"/>
      <c r="D106" s="86"/>
      <c r="E106" s="86"/>
      <c r="F106" s="86"/>
      <c r="G106" s="86"/>
      <c r="H106" s="86"/>
    </row>
    <row r="107" spans="1:8" ht="15.75">
      <c r="A107" s="19"/>
      <c r="D107" s="86"/>
      <c r="E107" s="86"/>
      <c r="F107" s="86"/>
      <c r="G107" s="86"/>
      <c r="H107" s="86"/>
    </row>
    <row r="108" spans="1:8" ht="15.75">
      <c r="A108" s="19"/>
      <c r="D108" s="86"/>
      <c r="E108" s="86"/>
      <c r="F108" s="86"/>
      <c r="G108" s="86"/>
      <c r="H108" s="86"/>
    </row>
    <row r="109" spans="1:8" ht="15.75">
      <c r="A109" s="19"/>
      <c r="D109" s="86"/>
      <c r="E109" s="86"/>
      <c r="F109" s="86"/>
      <c r="G109" s="86"/>
      <c r="H109" s="86"/>
    </row>
    <row r="110" spans="1:8" ht="15.75">
      <c r="A110" s="19"/>
      <c r="D110" s="86"/>
      <c r="E110" s="86"/>
      <c r="F110" s="86"/>
      <c r="G110" s="86"/>
      <c r="H110" s="86"/>
    </row>
    <row r="111" spans="1:8" ht="15.75">
      <c r="A111" s="19"/>
      <c r="D111" s="86"/>
      <c r="E111" s="86"/>
      <c r="F111" s="86"/>
      <c r="G111" s="86"/>
      <c r="H111" s="86"/>
    </row>
    <row r="112" spans="1:8" ht="15.75">
      <c r="A112" s="19"/>
      <c r="D112" s="86"/>
      <c r="E112" s="86"/>
      <c r="F112" s="86"/>
      <c r="G112" s="86"/>
      <c r="H112" s="86"/>
    </row>
    <row r="113" spans="1:8" ht="15.75">
      <c r="A113" s="19"/>
      <c r="D113" s="86"/>
      <c r="E113" s="86"/>
      <c r="F113" s="86"/>
      <c r="G113" s="86"/>
      <c r="H113" s="86"/>
    </row>
    <row r="114" spans="1:8" ht="15.75">
      <c r="A114" s="19"/>
      <c r="D114" s="86"/>
      <c r="E114" s="86"/>
      <c r="F114" s="86"/>
      <c r="G114" s="86"/>
      <c r="H114" s="86"/>
    </row>
    <row r="115" spans="1:8" ht="15.75">
      <c r="A115" s="19"/>
      <c r="D115" s="86"/>
      <c r="E115" s="86"/>
      <c r="F115" s="86"/>
      <c r="G115" s="86"/>
      <c r="H115" s="86"/>
    </row>
    <row r="116" spans="1:8" ht="15.75">
      <c r="A116" s="19"/>
      <c r="D116" s="86"/>
      <c r="E116" s="86"/>
      <c r="F116" s="86"/>
      <c r="G116" s="86"/>
      <c r="H116" s="86"/>
    </row>
    <row r="117" spans="1:8" ht="15.75">
      <c r="A117" s="19"/>
      <c r="D117" s="86"/>
      <c r="E117" s="86"/>
      <c r="F117" s="86"/>
      <c r="G117" s="86"/>
      <c r="H117" s="86"/>
    </row>
    <row r="118" spans="1:8" ht="15.75">
      <c r="A118" s="19"/>
      <c r="D118" s="86"/>
      <c r="E118" s="86"/>
      <c r="F118" s="86"/>
      <c r="G118" s="86"/>
      <c r="H118" s="86"/>
    </row>
    <row r="119" spans="1:8" ht="15.75">
      <c r="A119" s="19"/>
      <c r="D119" s="86"/>
      <c r="E119" s="86"/>
      <c r="F119" s="86"/>
      <c r="G119" s="86"/>
      <c r="H119" s="86"/>
    </row>
    <row r="120" spans="1:8" ht="15.75">
      <c r="A120" s="19"/>
      <c r="D120" s="86"/>
      <c r="E120" s="86"/>
      <c r="F120" s="86"/>
      <c r="G120" s="86"/>
      <c r="H120" s="86"/>
    </row>
    <row r="121" spans="1:8" ht="15.75">
      <c r="A121" s="19"/>
      <c r="D121" s="86"/>
      <c r="E121" s="86"/>
      <c r="F121" s="86"/>
      <c r="G121" s="86"/>
      <c r="H121" s="86"/>
    </row>
    <row r="122" spans="1:8" ht="15.75">
      <c r="A122" s="19"/>
      <c r="D122" s="86"/>
      <c r="E122" s="86"/>
      <c r="F122" s="86"/>
      <c r="G122" s="86"/>
      <c r="H122" s="86"/>
    </row>
    <row r="123" spans="1:8" ht="15.75">
      <c r="A123" s="19"/>
      <c r="D123" s="86"/>
      <c r="E123" s="86"/>
      <c r="F123" s="86"/>
      <c r="G123" s="86"/>
      <c r="H123" s="86"/>
    </row>
    <row r="124" spans="1:8" ht="15.75">
      <c r="A124" s="19"/>
      <c r="D124" s="86"/>
      <c r="E124" s="86"/>
      <c r="F124" s="86"/>
      <c r="G124" s="86"/>
      <c r="H124" s="86"/>
    </row>
    <row r="125" spans="1:8" ht="15.75">
      <c r="A125" s="19"/>
      <c r="D125" s="86"/>
      <c r="E125" s="86"/>
      <c r="F125" s="86"/>
      <c r="G125" s="86"/>
      <c r="H125" s="86"/>
    </row>
    <row r="126" spans="1:8" ht="15.75">
      <c r="A126" s="19"/>
      <c r="D126" s="86"/>
      <c r="E126" s="86"/>
      <c r="F126" s="86"/>
      <c r="G126" s="86"/>
      <c r="H126" s="86"/>
    </row>
    <row r="127" spans="1:8" ht="15.75">
      <c r="A127" s="19"/>
      <c r="D127" s="86"/>
      <c r="E127" s="86"/>
      <c r="F127" s="86"/>
      <c r="G127" s="86"/>
      <c r="H127" s="86"/>
    </row>
    <row r="128" spans="1:8" ht="15.75">
      <c r="A128" s="19"/>
      <c r="D128" s="86"/>
      <c r="E128" s="86"/>
      <c r="F128" s="86"/>
      <c r="G128" s="86"/>
      <c r="H128" s="86"/>
    </row>
    <row r="129" spans="1:8" ht="15.75">
      <c r="A129" s="19"/>
      <c r="D129" s="86"/>
      <c r="E129" s="86"/>
      <c r="F129" s="86"/>
      <c r="G129" s="86"/>
      <c r="H129" s="86"/>
    </row>
    <row r="130" spans="1:8" ht="15.75">
      <c r="A130" s="19"/>
      <c r="D130" s="86"/>
      <c r="E130" s="86"/>
      <c r="F130" s="86"/>
      <c r="G130" s="86"/>
      <c r="H130" s="86"/>
    </row>
    <row r="131" spans="1:8" ht="15.75">
      <c r="A131" s="19"/>
      <c r="D131" s="86"/>
      <c r="E131" s="86"/>
      <c r="F131" s="86"/>
      <c r="G131" s="86"/>
      <c r="H131" s="86"/>
    </row>
    <row r="132" spans="1:8" ht="15.75">
      <c r="A132" s="19"/>
      <c r="D132" s="86"/>
      <c r="E132" s="86"/>
      <c r="F132" s="86"/>
      <c r="G132" s="86"/>
      <c r="H132" s="86"/>
    </row>
    <row r="133" spans="1:8" ht="15.75">
      <c r="A133" s="19"/>
      <c r="D133" s="86"/>
      <c r="E133" s="86"/>
      <c r="F133" s="86"/>
      <c r="G133" s="86"/>
      <c r="H133" s="86"/>
    </row>
    <row r="134" spans="1:8" ht="15.75">
      <c r="A134" s="19"/>
      <c r="D134" s="86"/>
      <c r="E134" s="86"/>
      <c r="F134" s="86"/>
      <c r="G134" s="86"/>
      <c r="H134" s="86"/>
    </row>
    <row r="135" spans="1:8" ht="15.75">
      <c r="A135" s="19"/>
      <c r="D135" s="86"/>
      <c r="E135" s="86"/>
      <c r="F135" s="86"/>
      <c r="G135" s="86"/>
      <c r="H135" s="86"/>
    </row>
    <row r="136" spans="1:8" ht="15.75">
      <c r="A136" s="19"/>
      <c r="D136" s="86"/>
      <c r="E136" s="86"/>
      <c r="F136" s="86"/>
      <c r="G136" s="86"/>
      <c r="H136" s="86"/>
    </row>
    <row r="137" spans="1:8" ht="15.75">
      <c r="A137" s="19"/>
      <c r="D137" s="86"/>
      <c r="E137" s="86"/>
      <c r="F137" s="86"/>
      <c r="G137" s="86"/>
      <c r="H137" s="86"/>
    </row>
    <row r="138" spans="1:8" ht="15.75">
      <c r="A138" s="19"/>
      <c r="D138" s="86"/>
      <c r="E138" s="86"/>
      <c r="F138" s="86"/>
      <c r="G138" s="86"/>
      <c r="H138" s="86"/>
    </row>
    <row r="139" spans="1:8" ht="15.75">
      <c r="A139" s="19"/>
      <c r="D139" s="86"/>
      <c r="E139" s="86"/>
      <c r="F139" s="86"/>
      <c r="G139" s="86"/>
      <c r="H139" s="86"/>
    </row>
    <row r="140" spans="1:8" ht="15.75">
      <c r="A140" s="19"/>
      <c r="D140" s="86"/>
      <c r="E140" s="86"/>
      <c r="F140" s="86"/>
      <c r="G140" s="86"/>
      <c r="H140" s="86"/>
    </row>
    <row r="141" spans="1:8" ht="15.75">
      <c r="A141" s="19"/>
      <c r="D141" s="86"/>
      <c r="E141" s="86"/>
      <c r="F141" s="86"/>
      <c r="G141" s="86"/>
      <c r="H141" s="86"/>
    </row>
    <row r="142" spans="1:8" ht="15.75">
      <c r="A142" s="19"/>
      <c r="D142" s="86"/>
      <c r="E142" s="86"/>
      <c r="F142" s="86"/>
      <c r="G142" s="86"/>
      <c r="H142" s="86"/>
    </row>
    <row r="143" spans="1:8" ht="15.75">
      <c r="A143" s="19"/>
      <c r="D143" s="86"/>
      <c r="E143" s="86"/>
      <c r="F143" s="86"/>
      <c r="G143" s="86"/>
      <c r="H143" s="86"/>
    </row>
    <row r="144" spans="1:8" ht="15.75">
      <c r="A144" s="19"/>
      <c r="D144" s="86"/>
      <c r="E144" s="86"/>
      <c r="F144" s="86"/>
      <c r="G144" s="86"/>
      <c r="H144" s="86"/>
    </row>
    <row r="145" spans="1:8" ht="15.75">
      <c r="A145" s="19"/>
      <c r="D145" s="86"/>
      <c r="E145" s="86"/>
      <c r="F145" s="86"/>
      <c r="G145" s="86"/>
      <c r="H145" s="86"/>
    </row>
    <row r="146" spans="1:8" ht="15.75">
      <c r="A146" s="19"/>
      <c r="D146" s="86"/>
      <c r="E146" s="86"/>
      <c r="F146" s="86"/>
      <c r="G146" s="86"/>
      <c r="H146" s="86"/>
    </row>
    <row r="147" spans="1:8" ht="15.75">
      <c r="A147" s="19"/>
      <c r="D147" s="86"/>
      <c r="E147" s="86"/>
      <c r="F147" s="86"/>
      <c r="G147" s="86"/>
      <c r="H147" s="86"/>
    </row>
    <row r="148" spans="1:8" ht="15.75">
      <c r="A148" s="19"/>
      <c r="D148" s="86"/>
      <c r="E148" s="86"/>
      <c r="F148" s="86"/>
      <c r="G148" s="86"/>
      <c r="H148" s="86"/>
    </row>
    <row r="149" spans="1:8" ht="15.75">
      <c r="A149" s="19"/>
      <c r="D149" s="86"/>
      <c r="E149" s="86"/>
      <c r="F149" s="86"/>
      <c r="G149" s="86"/>
      <c r="H149" s="86"/>
    </row>
    <row r="150" spans="1:8" ht="15.75">
      <c r="A150" s="19"/>
      <c r="D150" s="86"/>
      <c r="E150" s="86"/>
      <c r="F150" s="86"/>
      <c r="G150" s="86"/>
      <c r="H150" s="86"/>
    </row>
    <row r="151" spans="1:8" ht="15.75">
      <c r="A151" s="19"/>
      <c r="D151" s="86"/>
      <c r="E151" s="86"/>
      <c r="F151" s="86"/>
      <c r="G151" s="86"/>
      <c r="H151" s="86"/>
    </row>
    <row r="152" spans="1:8" ht="15.75">
      <c r="A152" s="19"/>
      <c r="D152" s="86"/>
      <c r="E152" s="86"/>
      <c r="F152" s="86"/>
      <c r="G152" s="86"/>
      <c r="H152" s="86"/>
    </row>
    <row r="153" spans="1:8" ht="15.75">
      <c r="A153" s="19"/>
      <c r="D153" s="86"/>
      <c r="E153" s="86"/>
      <c r="F153" s="86"/>
      <c r="G153" s="86"/>
      <c r="H153" s="86"/>
    </row>
    <row r="154" spans="1:8" ht="15.75">
      <c r="A154" s="19"/>
      <c r="D154" s="86"/>
      <c r="E154" s="86"/>
      <c r="F154" s="86"/>
      <c r="G154" s="86"/>
      <c r="H154" s="86"/>
    </row>
    <row r="155" spans="1:8" ht="15.75">
      <c r="A155" s="19"/>
      <c r="D155" s="86"/>
      <c r="E155" s="86"/>
      <c r="F155" s="86"/>
      <c r="G155" s="86"/>
      <c r="H155" s="86"/>
    </row>
    <row r="156" spans="1:8" ht="15.75">
      <c r="A156" s="19"/>
      <c r="D156" s="86"/>
      <c r="E156" s="86"/>
      <c r="F156" s="86"/>
      <c r="G156" s="86"/>
      <c r="H156" s="86"/>
    </row>
    <row r="157" spans="1:8" ht="15.75">
      <c r="A157" s="19"/>
      <c r="D157" s="86"/>
      <c r="E157" s="86"/>
      <c r="F157" s="86"/>
      <c r="G157" s="86"/>
      <c r="H157" s="86"/>
    </row>
    <row r="158" spans="1:8" ht="15.75">
      <c r="A158" s="19"/>
      <c r="D158" s="86"/>
      <c r="E158" s="86"/>
      <c r="F158" s="86"/>
      <c r="G158" s="86"/>
      <c r="H158" s="86"/>
    </row>
    <row r="159" spans="1:8" ht="15.75">
      <c r="A159" s="19"/>
      <c r="D159" s="86"/>
      <c r="E159" s="86"/>
      <c r="F159" s="86"/>
      <c r="G159" s="86"/>
      <c r="H159" s="86"/>
    </row>
    <row r="160" spans="1:8" ht="15.75">
      <c r="A160" s="19"/>
      <c r="D160" s="86"/>
      <c r="E160" s="86"/>
      <c r="F160" s="86"/>
      <c r="G160" s="86"/>
      <c r="H160" s="86"/>
    </row>
    <row r="161" spans="1:8" ht="15.75">
      <c r="A161" s="19"/>
      <c r="D161" s="86"/>
      <c r="E161" s="86"/>
      <c r="F161" s="86"/>
      <c r="G161" s="86"/>
      <c r="H161" s="86"/>
    </row>
    <row r="162" spans="1:8" ht="15.75">
      <c r="A162" s="19"/>
      <c r="D162" s="86"/>
      <c r="E162" s="86"/>
      <c r="F162" s="86"/>
      <c r="G162" s="86"/>
      <c r="H162" s="86"/>
    </row>
    <row r="163" spans="1:8" ht="15.75">
      <c r="A163" s="19"/>
      <c r="D163" s="86"/>
      <c r="E163" s="86"/>
      <c r="F163" s="86"/>
      <c r="G163" s="86"/>
      <c r="H163" s="86"/>
    </row>
    <row r="164" spans="1:8" ht="15.75">
      <c r="A164" s="19"/>
      <c r="D164" s="86"/>
      <c r="E164" s="86"/>
      <c r="F164" s="86"/>
      <c r="G164" s="86"/>
      <c r="H164" s="86"/>
    </row>
    <row r="165" spans="1:8" ht="15.75">
      <c r="A165" s="19"/>
      <c r="D165" s="86"/>
      <c r="E165" s="86"/>
      <c r="F165" s="86"/>
      <c r="G165" s="86"/>
      <c r="H165" s="86"/>
    </row>
    <row r="166" spans="1:8" ht="15.75">
      <c r="A166" s="19"/>
      <c r="D166" s="86"/>
      <c r="E166" s="86"/>
      <c r="F166" s="86"/>
      <c r="G166" s="86"/>
      <c r="H166" s="86"/>
    </row>
    <row r="167" spans="1:8" ht="15.75">
      <c r="A167" s="19"/>
      <c r="D167" s="86"/>
      <c r="E167" s="86"/>
      <c r="F167" s="86"/>
      <c r="G167" s="86"/>
      <c r="H167" s="86"/>
    </row>
    <row r="168" spans="1:8" ht="15.75">
      <c r="A168" s="19"/>
      <c r="D168" s="86"/>
      <c r="E168" s="86"/>
      <c r="F168" s="86"/>
      <c r="G168" s="86"/>
      <c r="H168" s="86"/>
    </row>
    <row r="169" spans="1:8" ht="15.75">
      <c r="A169" s="19"/>
      <c r="D169" s="86"/>
      <c r="E169" s="86"/>
      <c r="F169" s="86"/>
      <c r="G169" s="86"/>
      <c r="H169" s="86"/>
    </row>
    <row r="170" spans="1:8" ht="15.75">
      <c r="A170" s="19"/>
      <c r="D170" s="86"/>
      <c r="E170" s="86"/>
      <c r="F170" s="86"/>
      <c r="G170" s="86"/>
      <c r="H170" s="86"/>
    </row>
    <row r="171" spans="1:8" ht="15.75">
      <c r="A171" s="19"/>
      <c r="D171" s="86"/>
      <c r="E171" s="86"/>
      <c r="F171" s="86"/>
      <c r="G171" s="86"/>
      <c r="H171" s="86"/>
    </row>
    <row r="172" spans="1:8" ht="15.75">
      <c r="A172" s="19"/>
      <c r="D172" s="86"/>
      <c r="E172" s="86"/>
      <c r="F172" s="86"/>
      <c r="G172" s="86"/>
      <c r="H172" s="86"/>
    </row>
    <row r="173" spans="1:8" ht="15.75">
      <c r="A173" s="19"/>
      <c r="D173" s="86"/>
      <c r="E173" s="86"/>
      <c r="F173" s="86"/>
      <c r="G173" s="86"/>
      <c r="H173" s="86"/>
    </row>
    <row r="174" spans="1:8" ht="15.75">
      <c r="A174" s="19"/>
      <c r="D174" s="86"/>
      <c r="E174" s="86"/>
      <c r="F174" s="86"/>
      <c r="G174" s="86"/>
      <c r="H174" s="86"/>
    </row>
    <row r="175" spans="1:8" ht="15.75">
      <c r="A175" s="19"/>
      <c r="D175" s="86"/>
      <c r="E175" s="86"/>
      <c r="F175" s="86"/>
      <c r="G175" s="86"/>
      <c r="H175" s="86"/>
    </row>
    <row r="176" spans="1:8" ht="15.75">
      <c r="A176" s="19"/>
      <c r="D176" s="86"/>
      <c r="E176" s="86"/>
      <c r="F176" s="86"/>
      <c r="G176" s="86"/>
      <c r="H176" s="86"/>
    </row>
    <row r="177" spans="1:8" ht="15.75">
      <c r="A177" s="19"/>
      <c r="D177" s="86"/>
      <c r="E177" s="86"/>
      <c r="F177" s="86"/>
      <c r="G177" s="86"/>
      <c r="H177" s="86"/>
    </row>
    <row r="178" spans="1:8" ht="15.75">
      <c r="A178" s="19"/>
      <c r="D178" s="86"/>
      <c r="E178" s="86"/>
      <c r="F178" s="86"/>
      <c r="G178" s="86"/>
      <c r="H178" s="86"/>
    </row>
    <row r="179" spans="1:8" ht="15.75">
      <c r="A179" s="19"/>
      <c r="D179" s="86"/>
      <c r="E179" s="86"/>
      <c r="F179" s="86"/>
      <c r="G179" s="86"/>
      <c r="H179" s="86"/>
    </row>
    <row r="180" spans="1:8" ht="15.75">
      <c r="A180" s="19"/>
      <c r="D180" s="86"/>
      <c r="E180" s="86"/>
      <c r="F180" s="86"/>
      <c r="G180" s="86"/>
      <c r="H180" s="86"/>
    </row>
    <row r="181" spans="1:8" ht="15.75">
      <c r="A181" s="19"/>
      <c r="D181" s="86"/>
      <c r="E181" s="86"/>
      <c r="F181" s="86"/>
      <c r="G181" s="86"/>
      <c r="H181" s="86"/>
    </row>
    <row r="182" spans="1:8" ht="15.75">
      <c r="A182" s="19"/>
      <c r="D182" s="86"/>
      <c r="E182" s="86"/>
      <c r="F182" s="86"/>
      <c r="G182" s="86"/>
      <c r="H182" s="86"/>
    </row>
    <row r="183" spans="1:8" ht="15.75">
      <c r="A183" s="19"/>
      <c r="D183" s="86"/>
      <c r="E183" s="86"/>
      <c r="F183" s="86"/>
      <c r="G183" s="86"/>
      <c r="H183" s="86"/>
    </row>
    <row r="184" spans="1:8" ht="15.75">
      <c r="A184" s="19"/>
      <c r="D184" s="86"/>
      <c r="E184" s="86"/>
      <c r="F184" s="86"/>
      <c r="G184" s="86"/>
      <c r="H184" s="86"/>
    </row>
    <row r="185" spans="1:8" ht="15.75">
      <c r="A185" s="19"/>
      <c r="D185" s="86"/>
      <c r="E185" s="86"/>
      <c r="F185" s="86"/>
      <c r="G185" s="86"/>
      <c r="H185" s="86"/>
    </row>
    <row r="186" spans="1:8" ht="15.75">
      <c r="A186" s="19"/>
      <c r="D186" s="86"/>
      <c r="E186" s="86"/>
      <c r="F186" s="86"/>
      <c r="G186" s="86"/>
      <c r="H186" s="86"/>
    </row>
    <row r="187" spans="1:8" ht="15.75">
      <c r="A187" s="19"/>
      <c r="D187" s="86"/>
      <c r="E187" s="86"/>
      <c r="F187" s="86"/>
      <c r="G187" s="86"/>
      <c r="H187" s="86"/>
    </row>
    <row r="188" spans="1:8" ht="15.75">
      <c r="A188" s="19"/>
      <c r="D188" s="86"/>
      <c r="E188" s="86"/>
      <c r="F188" s="86"/>
      <c r="G188" s="86"/>
      <c r="H188" s="86"/>
    </row>
    <row r="189" spans="1:8" ht="15.75">
      <c r="A189" s="19"/>
      <c r="D189" s="86"/>
      <c r="E189" s="86"/>
      <c r="F189" s="86"/>
      <c r="G189" s="86"/>
      <c r="H189" s="86"/>
    </row>
    <row r="190" spans="1:8" ht="15.75">
      <c r="A190" s="19"/>
      <c r="D190" s="86"/>
      <c r="E190" s="86"/>
      <c r="F190" s="86"/>
      <c r="G190" s="86"/>
      <c r="H190" s="86"/>
    </row>
    <row r="191" spans="1:8" ht="15.75">
      <c r="A191" s="19"/>
      <c r="D191" s="86"/>
      <c r="E191" s="86"/>
      <c r="F191" s="86"/>
      <c r="G191" s="86"/>
      <c r="H191" s="86"/>
    </row>
    <row r="192" spans="1:8" ht="15.75">
      <c r="A192" s="19"/>
      <c r="D192" s="86"/>
      <c r="E192" s="86"/>
      <c r="F192" s="86"/>
      <c r="G192" s="86"/>
      <c r="H192" s="86"/>
    </row>
    <row r="193" spans="1:8" ht="15.75">
      <c r="A193" s="19"/>
      <c r="D193" s="86"/>
      <c r="E193" s="86"/>
      <c r="F193" s="86"/>
      <c r="G193" s="86"/>
      <c r="H193" s="86"/>
    </row>
    <row r="194" spans="1:8" ht="15.75">
      <c r="A194" s="19"/>
      <c r="D194" s="86"/>
      <c r="E194" s="86"/>
      <c r="F194" s="86"/>
      <c r="G194" s="86"/>
      <c r="H194" s="86"/>
    </row>
    <row r="195" spans="1:8" ht="15.75">
      <c r="A195" s="19"/>
      <c r="D195" s="86"/>
      <c r="E195" s="86"/>
      <c r="F195" s="86"/>
      <c r="G195" s="86"/>
      <c r="H195" s="86"/>
    </row>
    <row r="196" spans="1:8" ht="15.75">
      <c r="A196" s="19"/>
      <c r="D196" s="86"/>
      <c r="E196" s="86"/>
      <c r="F196" s="86"/>
      <c r="G196" s="86"/>
      <c r="H196" s="86"/>
    </row>
    <row r="197" spans="1:8" ht="15.75">
      <c r="A197" s="19"/>
      <c r="D197" s="86"/>
      <c r="E197" s="86"/>
      <c r="F197" s="86"/>
      <c r="G197" s="86"/>
      <c r="H197" s="86"/>
    </row>
    <row r="198" spans="1:8" ht="15.75">
      <c r="A198" s="19"/>
      <c r="D198" s="86"/>
      <c r="E198" s="86"/>
      <c r="F198" s="86"/>
      <c r="G198" s="86"/>
      <c r="H198" s="86"/>
    </row>
    <row r="199" spans="1:8" ht="15.75">
      <c r="A199" s="19"/>
      <c r="D199" s="86"/>
      <c r="E199" s="86"/>
      <c r="F199" s="86"/>
      <c r="G199" s="86"/>
      <c r="H199" s="86"/>
    </row>
    <row r="200" spans="1:8" ht="15.75">
      <c r="A200" s="19"/>
      <c r="D200" s="86"/>
      <c r="E200" s="86"/>
      <c r="F200" s="86"/>
      <c r="G200" s="86"/>
      <c r="H200" s="86"/>
    </row>
    <row r="201" spans="1:8" ht="15.75">
      <c r="A201" s="19"/>
      <c r="D201" s="86"/>
      <c r="E201" s="86"/>
      <c r="F201" s="86"/>
      <c r="G201" s="86"/>
      <c r="H201" s="86"/>
    </row>
    <row r="202" spans="1:8" ht="15.75">
      <c r="A202" s="19"/>
      <c r="D202" s="86"/>
      <c r="E202" s="86"/>
      <c r="F202" s="86"/>
      <c r="G202" s="86"/>
      <c r="H202" s="86"/>
    </row>
    <row r="203" spans="1:8" ht="15.75">
      <c r="A203" s="19"/>
      <c r="D203" s="86"/>
      <c r="E203" s="86"/>
      <c r="F203" s="86"/>
      <c r="G203" s="86"/>
      <c r="H203" s="86"/>
    </row>
    <row r="204" spans="1:8" ht="15.75">
      <c r="A204" s="19"/>
      <c r="D204" s="86"/>
      <c r="E204" s="86"/>
      <c r="F204" s="86"/>
      <c r="G204" s="86"/>
      <c r="H204" s="86"/>
    </row>
    <row r="205" spans="1:8" ht="15.75">
      <c r="A205" s="19"/>
      <c r="D205" s="86"/>
      <c r="E205" s="86"/>
      <c r="F205" s="86"/>
      <c r="G205" s="86"/>
      <c r="H205" s="86"/>
    </row>
    <row r="206" spans="1:8" ht="15.75">
      <c r="A206" s="19"/>
      <c r="D206" s="86"/>
      <c r="E206" s="86"/>
      <c r="F206" s="86"/>
      <c r="G206" s="86"/>
      <c r="H206" s="86"/>
    </row>
    <row r="207" spans="1:8" ht="15.75">
      <c r="A207" s="19"/>
      <c r="D207" s="86"/>
      <c r="E207" s="86"/>
      <c r="F207" s="86"/>
      <c r="G207" s="86"/>
      <c r="H207" s="86"/>
    </row>
    <row r="208" spans="1:8" ht="15.75">
      <c r="A208" s="19"/>
      <c r="D208" s="86"/>
      <c r="E208" s="86"/>
      <c r="F208" s="86"/>
      <c r="G208" s="86"/>
      <c r="H208" s="86"/>
    </row>
    <row r="209" spans="1:8" ht="15.75">
      <c r="A209" s="19"/>
      <c r="D209" s="86"/>
      <c r="E209" s="86"/>
      <c r="F209" s="86"/>
      <c r="G209" s="86"/>
      <c r="H209" s="86"/>
    </row>
    <row r="210" spans="1:8" ht="15.75">
      <c r="A210" s="19"/>
      <c r="D210" s="86"/>
      <c r="E210" s="86"/>
      <c r="F210" s="86"/>
      <c r="G210" s="86"/>
      <c r="H210" s="86"/>
    </row>
    <row r="211" spans="1:8" ht="15.75">
      <c r="A211" s="19"/>
      <c r="D211" s="86"/>
      <c r="E211" s="86"/>
      <c r="F211" s="86"/>
      <c r="G211" s="86"/>
      <c r="H211" s="86"/>
    </row>
    <row r="212" spans="1:8" ht="15.75">
      <c r="A212" s="19"/>
      <c r="D212" s="86"/>
      <c r="E212" s="86"/>
      <c r="F212" s="86"/>
      <c r="G212" s="86"/>
      <c r="H212" s="86"/>
    </row>
    <row r="213" spans="1:8" ht="15.75">
      <c r="A213" s="19"/>
      <c r="D213" s="86"/>
      <c r="E213" s="86"/>
      <c r="F213" s="86"/>
      <c r="G213" s="86"/>
      <c r="H213" s="86"/>
    </row>
    <row r="214" spans="1:8" ht="15.75">
      <c r="A214" s="19"/>
      <c r="D214" s="86"/>
      <c r="E214" s="86"/>
      <c r="F214" s="86"/>
      <c r="G214" s="86"/>
      <c r="H214" s="86"/>
    </row>
    <row r="215" spans="1:8" ht="15.75">
      <c r="A215" s="19"/>
      <c r="D215" s="86"/>
      <c r="E215" s="86"/>
      <c r="F215" s="86"/>
      <c r="G215" s="86"/>
      <c r="H215" s="86"/>
    </row>
    <row r="216" spans="1:8" ht="15.75">
      <c r="A216" s="19"/>
      <c r="D216" s="86"/>
      <c r="E216" s="86"/>
      <c r="F216" s="86"/>
      <c r="G216" s="86"/>
      <c r="H216" s="86"/>
    </row>
    <row r="217" spans="1:8" ht="15.75">
      <c r="A217" s="19"/>
      <c r="D217" s="86"/>
      <c r="E217" s="86"/>
      <c r="F217" s="86"/>
      <c r="G217" s="86"/>
      <c r="H217" s="86"/>
    </row>
    <row r="218" spans="1:8" ht="15.75">
      <c r="A218" s="19"/>
      <c r="D218" s="86"/>
      <c r="E218" s="86"/>
      <c r="F218" s="86"/>
      <c r="G218" s="86"/>
      <c r="H218" s="86"/>
    </row>
    <row r="219" spans="1:8" ht="15.75">
      <c r="A219" s="19"/>
      <c r="D219" s="86"/>
      <c r="E219" s="86"/>
      <c r="F219" s="86"/>
      <c r="G219" s="86"/>
      <c r="H219" s="86"/>
    </row>
    <row r="220" spans="1:8" ht="15.75">
      <c r="A220" s="19"/>
      <c r="D220" s="86"/>
      <c r="E220" s="86"/>
      <c r="F220" s="86"/>
      <c r="G220" s="86"/>
      <c r="H220" s="86"/>
    </row>
    <row r="221" spans="1:8" ht="15.75">
      <c r="A221" s="19"/>
      <c r="D221" s="86"/>
      <c r="E221" s="86"/>
      <c r="F221" s="86"/>
      <c r="G221" s="86"/>
      <c r="H221" s="86"/>
    </row>
    <row r="222" spans="1:8" ht="15.75">
      <c r="A222" s="19"/>
      <c r="D222" s="86"/>
      <c r="E222" s="86"/>
      <c r="F222" s="86"/>
      <c r="G222" s="86"/>
      <c r="H222" s="86"/>
    </row>
    <row r="223" spans="1:8" ht="15.75">
      <c r="A223" s="19"/>
      <c r="D223" s="86"/>
      <c r="E223" s="86"/>
      <c r="F223" s="86"/>
      <c r="G223" s="86"/>
      <c r="H223" s="86"/>
    </row>
    <row r="224" spans="1:8" ht="15.75">
      <c r="A224" s="19"/>
      <c r="D224" s="86"/>
      <c r="E224" s="86"/>
      <c r="F224" s="86"/>
      <c r="G224" s="86"/>
      <c r="H224" s="86"/>
    </row>
    <row r="225" spans="1:8" ht="15.75">
      <c r="A225" s="19"/>
      <c r="D225" s="86"/>
      <c r="E225" s="86"/>
      <c r="F225" s="86"/>
      <c r="G225" s="86"/>
      <c r="H225" s="86"/>
    </row>
    <row r="226" spans="1:8" ht="15.75">
      <c r="A226" s="19"/>
      <c r="D226" s="86"/>
      <c r="E226" s="86"/>
      <c r="F226" s="86"/>
      <c r="G226" s="86"/>
      <c r="H226" s="86"/>
    </row>
    <row r="227" spans="1:8" ht="15.75">
      <c r="A227" s="19"/>
      <c r="D227" s="86"/>
      <c r="E227" s="86"/>
      <c r="F227" s="86"/>
      <c r="G227" s="86"/>
      <c r="H227" s="86"/>
    </row>
    <row r="228" spans="1:8" ht="15.75">
      <c r="A228" s="19"/>
      <c r="D228" s="86"/>
      <c r="E228" s="86"/>
      <c r="F228" s="86"/>
      <c r="G228" s="86"/>
      <c r="H228" s="86"/>
    </row>
    <row r="229" spans="1:8" ht="15.75">
      <c r="A229" s="19"/>
      <c r="D229" s="86"/>
      <c r="E229" s="86"/>
      <c r="F229" s="86"/>
      <c r="G229" s="86"/>
      <c r="H229" s="86"/>
    </row>
    <row r="230" spans="1:8" ht="15.75">
      <c r="A230" s="19"/>
      <c r="D230" s="86"/>
      <c r="E230" s="86"/>
      <c r="F230" s="86"/>
      <c r="G230" s="86"/>
      <c r="H230" s="86"/>
    </row>
    <row r="231" spans="1:8" ht="15.75">
      <c r="A231" s="19"/>
      <c r="D231" s="86"/>
      <c r="E231" s="86"/>
      <c r="F231" s="86"/>
      <c r="G231" s="86"/>
      <c r="H231" s="86"/>
    </row>
    <row r="232" spans="1:8" ht="15.75">
      <c r="A232" s="19"/>
      <c r="D232" s="86"/>
      <c r="E232" s="86"/>
      <c r="F232" s="86"/>
      <c r="G232" s="86"/>
      <c r="H232" s="86"/>
    </row>
    <row r="233" spans="1:8" ht="15.75">
      <c r="A233" s="19"/>
      <c r="D233" s="86"/>
      <c r="E233" s="86"/>
      <c r="F233" s="86"/>
      <c r="G233" s="86"/>
      <c r="H233" s="86"/>
    </row>
    <row r="234" spans="1:8" ht="15.75">
      <c r="A234" s="19"/>
      <c r="D234" s="86"/>
      <c r="E234" s="86"/>
      <c r="F234" s="86"/>
      <c r="G234" s="86"/>
      <c r="H234" s="86"/>
    </row>
    <row r="235" spans="1:8" ht="15.75">
      <c r="A235" s="19"/>
      <c r="D235" s="86"/>
      <c r="E235" s="86"/>
      <c r="F235" s="86"/>
      <c r="G235" s="86"/>
      <c r="H235" s="86"/>
    </row>
    <row r="236" spans="1:8" ht="15.75">
      <c r="A236" s="19"/>
      <c r="D236" s="86"/>
      <c r="E236" s="86"/>
      <c r="F236" s="86"/>
      <c r="G236" s="86"/>
      <c r="H236" s="86"/>
    </row>
    <row r="237" spans="1:8" ht="15.75">
      <c r="A237" s="19"/>
      <c r="D237" s="86"/>
      <c r="E237" s="86"/>
      <c r="F237" s="86"/>
      <c r="G237" s="86"/>
      <c r="H237" s="86"/>
    </row>
    <row r="238" spans="1:8" ht="15.75">
      <c r="A238" s="19"/>
      <c r="D238" s="86"/>
      <c r="E238" s="86"/>
      <c r="F238" s="86"/>
      <c r="G238" s="86"/>
      <c r="H238" s="86"/>
    </row>
    <row r="239" spans="1:8" ht="15.75">
      <c r="A239" s="19"/>
      <c r="D239" s="86"/>
      <c r="E239" s="86"/>
      <c r="F239" s="86"/>
      <c r="G239" s="86"/>
      <c r="H239" s="86"/>
    </row>
    <row r="240" spans="1:8" ht="15.75">
      <c r="A240" s="19"/>
      <c r="D240" s="86"/>
      <c r="E240" s="86"/>
      <c r="F240" s="86"/>
      <c r="G240" s="86"/>
      <c r="H240" s="86"/>
    </row>
    <row r="241" spans="1:8" ht="15.75">
      <c r="A241" s="19"/>
      <c r="D241" s="86"/>
      <c r="E241" s="86"/>
      <c r="F241" s="86"/>
      <c r="G241" s="86"/>
      <c r="H241" s="86"/>
    </row>
    <row r="242" spans="1:8" ht="15.75">
      <c r="A242" s="19"/>
      <c r="D242" s="86"/>
      <c r="E242" s="86"/>
      <c r="F242" s="86"/>
      <c r="G242" s="86"/>
      <c r="H242" s="86"/>
    </row>
    <row r="243" spans="1:8" ht="15.75">
      <c r="A243" s="19"/>
      <c r="D243" s="86"/>
      <c r="E243" s="86"/>
      <c r="F243" s="86"/>
      <c r="G243" s="86"/>
      <c r="H243" s="86"/>
    </row>
    <row r="244" spans="1:8" ht="15.75">
      <c r="A244" s="19"/>
      <c r="D244" s="86"/>
      <c r="E244" s="86"/>
      <c r="F244" s="86"/>
      <c r="G244" s="86"/>
      <c r="H244" s="86"/>
    </row>
    <row r="245" spans="1:8" ht="15.75">
      <c r="A245" s="19"/>
      <c r="D245" s="86"/>
      <c r="E245" s="86"/>
      <c r="F245" s="86"/>
      <c r="G245" s="86"/>
      <c r="H245" s="86"/>
    </row>
    <row r="246" spans="1:8" ht="15.75">
      <c r="A246" s="19"/>
      <c r="D246" s="86"/>
      <c r="E246" s="86"/>
      <c r="F246" s="86"/>
      <c r="G246" s="86"/>
      <c r="H246" s="86"/>
    </row>
    <row r="247" spans="1:8" ht="15.75">
      <c r="A247" s="19"/>
      <c r="D247" s="86"/>
      <c r="E247" s="86"/>
      <c r="F247" s="86"/>
      <c r="G247" s="86"/>
      <c r="H247" s="86"/>
    </row>
    <row r="248" spans="1:8" ht="15.75">
      <c r="A248" s="19"/>
      <c r="D248" s="86"/>
      <c r="E248" s="86"/>
      <c r="F248" s="86"/>
      <c r="G248" s="86"/>
      <c r="H248" s="86"/>
    </row>
    <row r="249" spans="1:8" ht="15.75">
      <c r="A249" s="19"/>
      <c r="D249" s="86"/>
      <c r="E249" s="86"/>
      <c r="F249" s="86"/>
      <c r="G249" s="86"/>
      <c r="H249" s="86"/>
    </row>
    <row r="250" spans="1:8" ht="15.75">
      <c r="A250" s="19"/>
      <c r="D250" s="86"/>
      <c r="E250" s="86"/>
      <c r="F250" s="86"/>
      <c r="G250" s="86"/>
      <c r="H250" s="86"/>
    </row>
    <row r="251" spans="1:8" ht="15.75">
      <c r="A251" s="19"/>
      <c r="D251" s="86"/>
      <c r="E251" s="86"/>
      <c r="F251" s="86"/>
      <c r="G251" s="86"/>
      <c r="H251" s="86"/>
    </row>
    <row r="252" spans="1:8" ht="15.75">
      <c r="A252" s="19"/>
      <c r="D252" s="86"/>
      <c r="E252" s="86"/>
      <c r="F252" s="86"/>
      <c r="G252" s="86"/>
      <c r="H252" s="86"/>
    </row>
    <row r="253" spans="1:8" ht="15.75">
      <c r="A253" s="19"/>
      <c r="D253" s="86"/>
      <c r="E253" s="86"/>
      <c r="F253" s="86"/>
      <c r="G253" s="86"/>
      <c r="H253" s="86"/>
    </row>
    <row r="254" spans="1:8" ht="15.75">
      <c r="A254" s="19"/>
      <c r="D254" s="86"/>
      <c r="E254" s="86"/>
      <c r="F254" s="86"/>
      <c r="G254" s="86"/>
      <c r="H254" s="86"/>
    </row>
    <row r="255" spans="1:8" ht="15.75">
      <c r="A255" s="19"/>
      <c r="D255" s="86"/>
      <c r="E255" s="86"/>
      <c r="F255" s="86"/>
      <c r="G255" s="86"/>
      <c r="H255" s="86"/>
    </row>
    <row r="256" spans="1:8" ht="15.75">
      <c r="A256" s="19"/>
      <c r="D256" s="86"/>
      <c r="E256" s="86"/>
      <c r="F256" s="86"/>
      <c r="G256" s="86"/>
      <c r="H256" s="86"/>
    </row>
    <row r="257" spans="1:8" ht="15.75">
      <c r="A257" s="19"/>
      <c r="D257" s="86"/>
      <c r="E257" s="86"/>
      <c r="F257" s="86"/>
      <c r="G257" s="86"/>
      <c r="H257" s="86"/>
    </row>
    <row r="258" spans="1:8" ht="15.75">
      <c r="A258" s="19"/>
      <c r="D258" s="86"/>
      <c r="E258" s="86"/>
      <c r="F258" s="86"/>
      <c r="G258" s="86"/>
      <c r="H258" s="86"/>
    </row>
    <row r="259" spans="1:8" ht="15.75">
      <c r="A259" s="19"/>
      <c r="D259" s="86"/>
      <c r="E259" s="86"/>
      <c r="F259" s="86"/>
      <c r="G259" s="86"/>
      <c r="H259" s="86"/>
    </row>
    <row r="260" spans="1:8" ht="15.75">
      <c r="A260" s="19"/>
      <c r="D260" s="86"/>
      <c r="E260" s="86"/>
      <c r="F260" s="86"/>
      <c r="G260" s="86"/>
      <c r="H260" s="86"/>
    </row>
    <row r="261" spans="1:8" ht="15.75">
      <c r="A261" s="19"/>
      <c r="D261" s="86"/>
      <c r="E261" s="86"/>
      <c r="F261" s="86"/>
      <c r="G261" s="86"/>
      <c r="H261" s="86"/>
    </row>
    <row r="262" spans="1:8" ht="15.75">
      <c r="A262" s="19"/>
      <c r="D262" s="86"/>
      <c r="E262" s="86"/>
      <c r="F262" s="86"/>
      <c r="G262" s="86"/>
      <c r="H262" s="86"/>
    </row>
    <row r="263" spans="1:8" ht="15.75">
      <c r="A263" s="19"/>
      <c r="D263" s="86"/>
      <c r="E263" s="86"/>
      <c r="F263" s="86"/>
      <c r="G263" s="86"/>
      <c r="H263" s="86"/>
    </row>
    <row r="264" spans="1:8" ht="15.75">
      <c r="A264" s="19"/>
      <c r="D264" s="86"/>
      <c r="E264" s="86"/>
      <c r="F264" s="86"/>
      <c r="G264" s="86"/>
      <c r="H264" s="86"/>
    </row>
    <row r="265" spans="1:8" ht="15.75">
      <c r="A265" s="19"/>
      <c r="D265" s="86"/>
      <c r="E265" s="86"/>
      <c r="F265" s="86"/>
      <c r="G265" s="86"/>
      <c r="H265" s="86"/>
    </row>
    <row r="266" spans="1:8" ht="15.75">
      <c r="A266" s="19"/>
      <c r="D266" s="86"/>
      <c r="E266" s="86"/>
      <c r="F266" s="86"/>
      <c r="G266" s="86"/>
      <c r="H266" s="86"/>
    </row>
    <row r="267" spans="1:8" ht="15.75">
      <c r="A267" s="19"/>
      <c r="D267" s="86"/>
      <c r="E267" s="86"/>
      <c r="F267" s="86"/>
      <c r="G267" s="86"/>
      <c r="H267" s="86"/>
    </row>
    <row r="268" spans="1:8" ht="15.75">
      <c r="A268" s="19"/>
      <c r="D268" s="86"/>
      <c r="E268" s="86"/>
      <c r="F268" s="86"/>
      <c r="G268" s="86"/>
      <c r="H268" s="86"/>
    </row>
    <row r="269" spans="1:8" ht="15.75">
      <c r="A269" s="19"/>
      <c r="D269" s="86"/>
      <c r="E269" s="86"/>
      <c r="F269" s="86"/>
      <c r="G269" s="86"/>
      <c r="H269" s="86"/>
    </row>
    <row r="270" spans="1:8" ht="15.75">
      <c r="A270" s="19"/>
      <c r="D270" s="86"/>
      <c r="E270" s="86"/>
      <c r="F270" s="86"/>
      <c r="G270" s="86"/>
      <c r="H270" s="86"/>
    </row>
    <row r="271" spans="1:8" ht="15.75">
      <c r="A271" s="19"/>
      <c r="D271" s="86"/>
      <c r="E271" s="86"/>
      <c r="F271" s="86"/>
      <c r="G271" s="86"/>
      <c r="H271" s="86"/>
    </row>
    <row r="272" spans="1:8" ht="15.75">
      <c r="A272" s="19"/>
      <c r="D272" s="86"/>
      <c r="E272" s="86"/>
      <c r="F272" s="86"/>
      <c r="G272" s="86"/>
      <c r="H272" s="86"/>
    </row>
    <row r="273" spans="1:8" ht="15.75">
      <c r="A273" s="19"/>
      <c r="D273" s="86"/>
      <c r="E273" s="86"/>
      <c r="F273" s="86"/>
      <c r="G273" s="86"/>
      <c r="H273" s="86"/>
    </row>
    <row r="274" spans="1:8" ht="15.75">
      <c r="A274" s="19"/>
      <c r="D274" s="86"/>
      <c r="E274" s="86"/>
      <c r="F274" s="86"/>
      <c r="G274" s="86"/>
      <c r="H274" s="86"/>
    </row>
    <row r="275" spans="1:8" ht="15.75">
      <c r="A275" s="19"/>
      <c r="D275" s="86"/>
      <c r="E275" s="86"/>
      <c r="F275" s="86"/>
      <c r="G275" s="86"/>
      <c r="H275" s="86"/>
    </row>
    <row r="276" spans="1:8" ht="15.75">
      <c r="A276" s="19"/>
      <c r="D276" s="86"/>
      <c r="E276" s="86"/>
      <c r="F276" s="86"/>
      <c r="G276" s="86"/>
      <c r="H276" s="86"/>
    </row>
    <row r="277" spans="1:8" ht="15.75">
      <c r="A277" s="19"/>
      <c r="D277" s="86"/>
      <c r="E277" s="86"/>
      <c r="F277" s="86"/>
      <c r="G277" s="86"/>
      <c r="H277" s="86"/>
    </row>
    <row r="278" spans="1:8" ht="15.75">
      <c r="A278" s="19"/>
      <c r="D278" s="86"/>
      <c r="E278" s="86"/>
      <c r="F278" s="86"/>
      <c r="G278" s="86"/>
      <c r="H278" s="86"/>
    </row>
    <row r="279" spans="1:8" ht="15.75">
      <c r="A279" s="19"/>
      <c r="D279" s="86"/>
      <c r="E279" s="86"/>
      <c r="F279" s="86"/>
      <c r="G279" s="86"/>
      <c r="H279" s="86"/>
    </row>
    <row r="280" spans="1:8" ht="15.75">
      <c r="A280" s="19"/>
      <c r="D280" s="86"/>
      <c r="E280" s="86"/>
      <c r="F280" s="86"/>
      <c r="G280" s="86"/>
      <c r="H280" s="86"/>
    </row>
    <row r="281" spans="1:8" ht="15.75">
      <c r="A281" s="19"/>
      <c r="D281" s="86"/>
      <c r="E281" s="86"/>
      <c r="F281" s="86"/>
      <c r="G281" s="86"/>
      <c r="H281" s="86"/>
    </row>
    <row r="282" spans="1:8" ht="15.75">
      <c r="A282" s="19"/>
      <c r="D282" s="86"/>
      <c r="E282" s="86"/>
      <c r="F282" s="86"/>
      <c r="G282" s="86"/>
      <c r="H282" s="86"/>
    </row>
    <row r="283" spans="1:8" ht="15.75">
      <c r="A283" s="19"/>
      <c r="D283" s="86"/>
      <c r="E283" s="86"/>
      <c r="F283" s="86"/>
      <c r="G283" s="86"/>
      <c r="H283" s="86"/>
    </row>
    <row r="284" spans="1:8" ht="15.75">
      <c r="A284" s="19"/>
      <c r="D284" s="86"/>
      <c r="E284" s="86"/>
      <c r="F284" s="86"/>
      <c r="G284" s="86"/>
      <c r="H284" s="86"/>
    </row>
    <row r="285" spans="1:8" ht="15.75">
      <c r="A285" s="19"/>
      <c r="D285" s="86"/>
      <c r="E285" s="86"/>
      <c r="F285" s="86"/>
      <c r="G285" s="86"/>
      <c r="H285" s="86"/>
    </row>
    <row r="286" spans="1:8" ht="15.75">
      <c r="A286" s="19"/>
      <c r="D286" s="86"/>
      <c r="E286" s="86"/>
      <c r="F286" s="86"/>
      <c r="G286" s="86"/>
      <c r="H286" s="86"/>
    </row>
    <row r="287" spans="1:8" ht="15.75">
      <c r="A287" s="19"/>
      <c r="D287" s="86"/>
      <c r="E287" s="86"/>
      <c r="F287" s="86"/>
      <c r="G287" s="86"/>
      <c r="H287" s="86"/>
    </row>
    <row r="288" spans="1:8" ht="15.75">
      <c r="A288" s="19"/>
      <c r="D288" s="86"/>
      <c r="E288" s="86"/>
      <c r="F288" s="86"/>
      <c r="G288" s="86"/>
      <c r="H288" s="86"/>
    </row>
    <row r="289" spans="1:8" ht="15.75">
      <c r="A289" s="19"/>
      <c r="D289" s="86"/>
      <c r="E289" s="86"/>
      <c r="F289" s="86"/>
      <c r="G289" s="86"/>
      <c r="H289" s="86"/>
    </row>
    <row r="290" spans="1:8" ht="15.75">
      <c r="A290" s="19"/>
      <c r="D290" s="86"/>
      <c r="E290" s="86"/>
      <c r="F290" s="86"/>
      <c r="G290" s="86"/>
      <c r="H290" s="86"/>
    </row>
    <row r="291" spans="1:8" ht="15.75">
      <c r="A291" s="19"/>
      <c r="D291" s="86"/>
      <c r="E291" s="86"/>
      <c r="F291" s="86"/>
      <c r="G291" s="86"/>
      <c r="H291" s="86"/>
    </row>
    <row r="292" spans="1:8" ht="15.75">
      <c r="A292" s="19"/>
      <c r="D292" s="86"/>
      <c r="E292" s="86"/>
      <c r="F292" s="86"/>
      <c r="G292" s="86"/>
      <c r="H292" s="86"/>
    </row>
    <row r="293" spans="1:8" ht="15.75">
      <c r="A293" s="19"/>
      <c r="D293" s="86"/>
      <c r="E293" s="86"/>
      <c r="F293" s="86"/>
      <c r="G293" s="86"/>
      <c r="H293" s="86"/>
    </row>
    <row r="294" spans="1:8" ht="15.75">
      <c r="A294" s="19"/>
      <c r="D294" s="86"/>
      <c r="E294" s="86"/>
      <c r="F294" s="86"/>
      <c r="G294" s="86"/>
      <c r="H294" s="86"/>
    </row>
    <row r="295" spans="1:8" ht="15.75">
      <c r="A295" s="19"/>
      <c r="D295" s="86"/>
      <c r="E295" s="86"/>
      <c r="F295" s="86"/>
      <c r="G295" s="86"/>
      <c r="H295" s="86"/>
    </row>
    <row r="296" spans="1:8" ht="15.75">
      <c r="A296" s="19"/>
      <c r="D296" s="86"/>
      <c r="E296" s="86"/>
      <c r="F296" s="86"/>
      <c r="G296" s="86"/>
      <c r="H296" s="86"/>
    </row>
    <row r="297" spans="1:8" ht="15.75">
      <c r="A297" s="19"/>
      <c r="D297" s="86"/>
      <c r="E297" s="86"/>
      <c r="F297" s="86"/>
      <c r="G297" s="86"/>
      <c r="H297" s="86"/>
    </row>
    <row r="298" spans="1:8" ht="15.75">
      <c r="A298" s="19"/>
      <c r="D298" s="86"/>
      <c r="E298" s="86"/>
      <c r="F298" s="86"/>
      <c r="G298" s="86"/>
      <c r="H298" s="86"/>
    </row>
    <row r="299" spans="1:8" ht="15.75">
      <c r="A299" s="19"/>
      <c r="D299" s="86"/>
      <c r="E299" s="86"/>
      <c r="F299" s="86"/>
      <c r="G299" s="86"/>
      <c r="H299" s="86"/>
    </row>
    <row r="300" spans="1:8" ht="15.75">
      <c r="A300" s="19"/>
      <c r="D300" s="86"/>
      <c r="E300" s="86"/>
      <c r="F300" s="86"/>
      <c r="G300" s="86"/>
      <c r="H300" s="86"/>
    </row>
    <row r="301" spans="1:8" ht="15.75">
      <c r="A301" s="19"/>
      <c r="D301" s="86"/>
      <c r="E301" s="86"/>
      <c r="F301" s="86"/>
      <c r="G301" s="86"/>
      <c r="H301" s="86"/>
    </row>
    <row r="302" spans="1:8" ht="15.75">
      <c r="A302" s="19"/>
      <c r="D302" s="86"/>
      <c r="E302" s="86"/>
      <c r="F302" s="86"/>
      <c r="G302" s="86"/>
      <c r="H302" s="86"/>
    </row>
    <row r="303" spans="1:8" ht="15.75">
      <c r="A303" s="19"/>
      <c r="D303" s="86"/>
      <c r="E303" s="86"/>
      <c r="F303" s="86"/>
      <c r="G303" s="86"/>
      <c r="H303" s="86"/>
    </row>
    <row r="304" spans="1:8" ht="15.75">
      <c r="A304" s="19"/>
      <c r="D304" s="86"/>
      <c r="E304" s="86"/>
      <c r="F304" s="86"/>
      <c r="G304" s="86"/>
      <c r="H304" s="86"/>
    </row>
    <row r="305" spans="1:8" ht="15.75">
      <c r="A305" s="19"/>
      <c r="D305" s="86"/>
      <c r="E305" s="86"/>
      <c r="F305" s="86"/>
      <c r="G305" s="86"/>
      <c r="H305" s="86"/>
    </row>
    <row r="306" spans="1:8" ht="15.75">
      <c r="A306" s="19"/>
      <c r="D306" s="86"/>
      <c r="E306" s="86"/>
      <c r="F306" s="86"/>
      <c r="G306" s="86"/>
      <c r="H306" s="86"/>
    </row>
    <row r="307" spans="1:8" ht="15.75">
      <c r="A307" s="19"/>
      <c r="D307" s="86"/>
      <c r="E307" s="86"/>
      <c r="F307" s="86"/>
      <c r="G307" s="86"/>
      <c r="H307" s="86"/>
    </row>
    <row r="308" spans="1:8" ht="15.75">
      <c r="A308" s="19"/>
      <c r="D308" s="86"/>
      <c r="E308" s="86"/>
      <c r="F308" s="86"/>
      <c r="G308" s="86"/>
      <c r="H308" s="86"/>
    </row>
    <row r="309" spans="1:8" ht="15.75">
      <c r="A309" s="19"/>
      <c r="D309" s="86"/>
      <c r="E309" s="86"/>
      <c r="F309" s="86"/>
      <c r="G309" s="86"/>
      <c r="H309" s="86"/>
    </row>
    <row r="310" spans="1:8" ht="15.75">
      <c r="A310" s="19"/>
      <c r="D310" s="86"/>
      <c r="E310" s="86"/>
      <c r="F310" s="86"/>
      <c r="G310" s="86"/>
      <c r="H310" s="86"/>
    </row>
    <row r="311" spans="1:8" ht="15.75">
      <c r="A311" s="19"/>
      <c r="D311" s="86"/>
      <c r="E311" s="86"/>
      <c r="F311" s="86"/>
      <c r="G311" s="86"/>
      <c r="H311" s="86"/>
    </row>
    <row r="312" spans="1:8" ht="15.75">
      <c r="A312" s="19"/>
      <c r="D312" s="86"/>
      <c r="E312" s="86"/>
      <c r="F312" s="86"/>
      <c r="G312" s="86"/>
      <c r="H312" s="86"/>
    </row>
    <row r="313" spans="1:8" ht="15.75">
      <c r="A313" s="19"/>
      <c r="D313" s="86"/>
      <c r="E313" s="86"/>
      <c r="F313" s="86"/>
      <c r="G313" s="86"/>
      <c r="H313" s="86"/>
    </row>
    <row r="314" spans="1:8" ht="15.75">
      <c r="A314" s="19"/>
      <c r="D314" s="86"/>
      <c r="E314" s="86"/>
      <c r="F314" s="86"/>
      <c r="G314" s="86"/>
      <c r="H314" s="86"/>
    </row>
    <row r="315" spans="1:8" ht="15.75">
      <c r="A315" s="19"/>
      <c r="D315" s="86"/>
      <c r="E315" s="86"/>
      <c r="F315" s="86"/>
      <c r="G315" s="86"/>
      <c r="H315" s="86"/>
    </row>
    <row r="316" spans="1:8" ht="15.75">
      <c r="A316" s="19"/>
      <c r="D316" s="86"/>
      <c r="E316" s="86"/>
      <c r="F316" s="86"/>
      <c r="G316" s="86"/>
      <c r="H316" s="86"/>
    </row>
    <row r="317" spans="1:8" ht="15.75">
      <c r="A317" s="19"/>
      <c r="D317" s="86"/>
      <c r="E317" s="86"/>
      <c r="F317" s="86"/>
      <c r="G317" s="86"/>
      <c r="H317" s="86"/>
    </row>
    <row r="318" spans="1:8" ht="15.75">
      <c r="A318" s="19"/>
      <c r="D318" s="86"/>
      <c r="E318" s="86"/>
      <c r="F318" s="86"/>
      <c r="G318" s="86"/>
      <c r="H318" s="86"/>
    </row>
    <row r="319" spans="1:8" ht="15.75">
      <c r="A319" s="19"/>
      <c r="D319" s="86"/>
      <c r="E319" s="86"/>
      <c r="F319" s="86"/>
      <c r="G319" s="86"/>
      <c r="H319" s="86"/>
    </row>
    <row r="320" spans="1:8" ht="15.75">
      <c r="A320" s="19"/>
      <c r="D320" s="86"/>
      <c r="E320" s="86"/>
      <c r="F320" s="86"/>
      <c r="G320" s="86"/>
      <c r="H320" s="86"/>
    </row>
    <row r="321" spans="1:8" ht="15.75">
      <c r="A321" s="19"/>
      <c r="D321" s="86"/>
      <c r="E321" s="86"/>
      <c r="F321" s="86"/>
      <c r="G321" s="86"/>
      <c r="H321" s="86"/>
    </row>
    <row r="322" spans="1:8" ht="15.75">
      <c r="A322" s="19"/>
      <c r="D322" s="86"/>
      <c r="E322" s="86"/>
      <c r="F322" s="86"/>
      <c r="G322" s="86"/>
      <c r="H322" s="86"/>
    </row>
    <row r="323" spans="1:8" ht="15.75">
      <c r="A323" s="19"/>
      <c r="D323" s="86"/>
      <c r="E323" s="86"/>
      <c r="F323" s="86"/>
      <c r="G323" s="86"/>
      <c r="H323" s="86"/>
    </row>
    <row r="324" spans="1:8" ht="15.75">
      <c r="A324" s="19"/>
      <c r="D324" s="86"/>
      <c r="E324" s="86"/>
      <c r="F324" s="86"/>
      <c r="G324" s="86"/>
      <c r="H324" s="86"/>
    </row>
    <row r="325" spans="1:8" ht="15.75">
      <c r="A325" s="19"/>
      <c r="D325" s="86"/>
      <c r="E325" s="86"/>
      <c r="F325" s="86"/>
      <c r="G325" s="86"/>
      <c r="H325" s="86"/>
    </row>
    <row r="326" spans="1:8" ht="15.75">
      <c r="A326" s="19"/>
      <c r="D326" s="86"/>
      <c r="E326" s="86"/>
      <c r="F326" s="86"/>
      <c r="G326" s="86"/>
      <c r="H326" s="86"/>
    </row>
    <row r="327" spans="1:8" ht="15.75">
      <c r="A327" s="19"/>
      <c r="D327" s="86"/>
      <c r="E327" s="86"/>
      <c r="F327" s="86"/>
      <c r="G327" s="86"/>
      <c r="H327" s="86"/>
    </row>
    <row r="328" spans="1:8" ht="15.75">
      <c r="A328" s="19"/>
      <c r="D328" s="86"/>
      <c r="E328" s="86"/>
      <c r="F328" s="86"/>
      <c r="G328" s="86"/>
      <c r="H328" s="86"/>
    </row>
    <row r="329" spans="1:8" ht="15.75">
      <c r="A329" s="19"/>
      <c r="D329" s="86"/>
      <c r="E329" s="86"/>
      <c r="F329" s="86"/>
      <c r="G329" s="86"/>
      <c r="H329" s="86"/>
    </row>
    <row r="330" spans="1:8" ht="15.75">
      <c r="A330" s="19"/>
      <c r="D330" s="86"/>
      <c r="E330" s="86"/>
      <c r="F330" s="86"/>
      <c r="G330" s="86"/>
      <c r="H330" s="86"/>
    </row>
    <row r="331" spans="1:8" ht="15.75">
      <c r="A331" s="19"/>
      <c r="D331" s="86"/>
      <c r="E331" s="86"/>
      <c r="F331" s="86"/>
      <c r="G331" s="86"/>
      <c r="H331" s="86"/>
    </row>
    <row r="332" spans="1:8" ht="15.75">
      <c r="A332" s="19"/>
      <c r="D332" s="86"/>
      <c r="E332" s="86"/>
      <c r="F332" s="86"/>
      <c r="G332" s="86"/>
      <c r="H332" s="86"/>
    </row>
    <row r="333" spans="1:8" ht="15.75">
      <c r="A333" s="19"/>
      <c r="D333" s="86"/>
      <c r="E333" s="86"/>
      <c r="F333" s="86"/>
      <c r="G333" s="86"/>
      <c r="H333" s="86"/>
    </row>
    <row r="334" spans="1:8" ht="15.75">
      <c r="A334" s="19"/>
      <c r="D334" s="86"/>
      <c r="E334" s="86"/>
      <c r="F334" s="86"/>
      <c r="G334" s="86"/>
      <c r="H334" s="86"/>
    </row>
    <row r="335" spans="1:8" ht="15.75">
      <c r="A335" s="19"/>
      <c r="D335" s="86"/>
      <c r="E335" s="86"/>
      <c r="F335" s="86"/>
      <c r="G335" s="86"/>
      <c r="H335" s="86"/>
    </row>
    <row r="336" spans="1:8" ht="15.75">
      <c r="A336" s="19"/>
      <c r="D336" s="86"/>
      <c r="E336" s="86"/>
      <c r="F336" s="86"/>
      <c r="G336" s="86"/>
      <c r="H336" s="86"/>
    </row>
    <row r="337" spans="1:8" ht="15.75">
      <c r="A337" s="19"/>
      <c r="D337" s="86"/>
      <c r="E337" s="86"/>
      <c r="F337" s="86"/>
      <c r="G337" s="86"/>
      <c r="H337" s="86"/>
    </row>
    <row r="338" spans="1:8" ht="15.75">
      <c r="A338" s="19"/>
      <c r="D338" s="86"/>
      <c r="E338" s="86"/>
      <c r="F338" s="86"/>
      <c r="G338" s="86"/>
      <c r="H338" s="86"/>
    </row>
    <row r="339" spans="1:8" ht="15.75">
      <c r="A339" s="19"/>
      <c r="D339" s="86"/>
      <c r="E339" s="86"/>
      <c r="F339" s="86"/>
      <c r="G339" s="86"/>
      <c r="H339" s="86"/>
    </row>
    <row r="340" spans="1:8" ht="15.75">
      <c r="A340" s="19"/>
      <c r="D340" s="86"/>
      <c r="E340" s="86"/>
      <c r="F340" s="86"/>
      <c r="G340" s="86"/>
      <c r="H340" s="86"/>
    </row>
    <row r="341" spans="1:8" ht="15.75">
      <c r="A341" s="19"/>
      <c r="D341" s="86"/>
      <c r="E341" s="86"/>
      <c r="F341" s="86"/>
      <c r="G341" s="86"/>
      <c r="H341" s="86"/>
    </row>
    <row r="342" spans="1:8" ht="15.75">
      <c r="A342" s="19"/>
      <c r="D342" s="86"/>
      <c r="E342" s="86"/>
      <c r="F342" s="86"/>
      <c r="G342" s="86"/>
      <c r="H342" s="86"/>
    </row>
    <row r="343" spans="1:8" ht="15.75">
      <c r="A343" s="19"/>
      <c r="D343" s="86"/>
      <c r="E343" s="86"/>
      <c r="F343" s="86"/>
      <c r="G343" s="86"/>
      <c r="H343" s="86"/>
    </row>
    <row r="344" spans="1:8" ht="15.75">
      <c r="A344" s="19"/>
      <c r="D344" s="86"/>
      <c r="E344" s="86"/>
      <c r="F344" s="86"/>
      <c r="G344" s="86"/>
      <c r="H344" s="86"/>
    </row>
    <row r="345" spans="1:8" ht="15.75">
      <c r="A345" s="19"/>
      <c r="D345" s="86"/>
      <c r="E345" s="86"/>
      <c r="F345" s="86"/>
      <c r="G345" s="86"/>
      <c r="H345" s="86"/>
    </row>
    <row r="346" spans="1:8" ht="15.75">
      <c r="A346" s="19"/>
      <c r="D346" s="86"/>
      <c r="E346" s="86"/>
      <c r="F346" s="86"/>
      <c r="G346" s="86"/>
      <c r="H346" s="86"/>
    </row>
    <row r="347" spans="1:8" ht="15.75">
      <c r="A347" s="19"/>
      <c r="D347" s="86"/>
      <c r="E347" s="86"/>
      <c r="F347" s="86"/>
      <c r="G347" s="86"/>
      <c r="H347" s="86"/>
    </row>
    <row r="348" spans="1:8" ht="15.75">
      <c r="A348" s="19"/>
      <c r="D348" s="86"/>
      <c r="E348" s="86"/>
      <c r="F348" s="86"/>
      <c r="G348" s="86"/>
      <c r="H348" s="86"/>
    </row>
    <row r="349" spans="1:8" ht="15.75">
      <c r="A349" s="19"/>
      <c r="D349" s="86"/>
      <c r="E349" s="86"/>
      <c r="F349" s="86"/>
      <c r="G349" s="86"/>
      <c r="H349" s="86"/>
    </row>
    <row r="350" spans="1:8" ht="15.75">
      <c r="A350" s="19"/>
      <c r="D350" s="86"/>
      <c r="E350" s="86"/>
      <c r="F350" s="86"/>
      <c r="G350" s="86"/>
      <c r="H350" s="86"/>
    </row>
    <row r="351" spans="1:8" ht="15.75">
      <c r="A351" s="19"/>
      <c r="D351" s="86"/>
      <c r="E351" s="86"/>
      <c r="F351" s="86"/>
      <c r="G351" s="86"/>
      <c r="H351" s="86"/>
    </row>
    <row r="352" spans="1:8" ht="15.75">
      <c r="A352" s="19"/>
      <c r="D352" s="86"/>
      <c r="E352" s="86"/>
      <c r="F352" s="86"/>
      <c r="G352" s="86"/>
      <c r="H352" s="86"/>
    </row>
    <row r="353" spans="1:8" ht="15.75">
      <c r="A353" s="19"/>
      <c r="D353" s="86"/>
      <c r="E353" s="86"/>
      <c r="F353" s="86"/>
      <c r="G353" s="86"/>
      <c r="H353" s="86"/>
    </row>
    <row r="354" spans="1:8" ht="15.75">
      <c r="A354" s="19"/>
      <c r="D354" s="86"/>
      <c r="E354" s="86"/>
      <c r="F354" s="86"/>
      <c r="G354" s="86"/>
      <c r="H354" s="86"/>
    </row>
    <row r="355" spans="1:8" ht="15.75">
      <c r="A355" s="19"/>
      <c r="D355" s="86"/>
      <c r="E355" s="86"/>
      <c r="F355" s="86"/>
      <c r="G355" s="86"/>
      <c r="H355" s="86"/>
    </row>
    <row r="356" spans="1:8" ht="15.75">
      <c r="A356" s="19"/>
      <c r="D356" s="86"/>
      <c r="E356" s="86"/>
      <c r="F356" s="86"/>
      <c r="G356" s="86"/>
      <c r="H356" s="86"/>
    </row>
    <row r="357" spans="1:8" ht="15.75">
      <c r="A357" s="19"/>
      <c r="D357" s="86"/>
      <c r="E357" s="86"/>
      <c r="F357" s="86"/>
      <c r="G357" s="86"/>
      <c r="H357" s="86"/>
    </row>
    <row r="358" spans="1:8" ht="15.75">
      <c r="A358" s="19"/>
      <c r="D358" s="86"/>
      <c r="E358" s="86"/>
      <c r="F358" s="86"/>
      <c r="G358" s="86"/>
      <c r="H358" s="86"/>
    </row>
    <row r="359" spans="1:8" ht="15.75">
      <c r="A359" s="19"/>
      <c r="D359" s="86"/>
      <c r="E359" s="86"/>
      <c r="F359" s="86"/>
      <c r="G359" s="86"/>
      <c r="H359" s="86"/>
    </row>
    <row r="360" spans="1:8" ht="15.75">
      <c r="A360" s="19"/>
      <c r="D360" s="86"/>
      <c r="E360" s="86"/>
      <c r="F360" s="86"/>
      <c r="G360" s="86"/>
      <c r="H360" s="86"/>
    </row>
    <row r="361" spans="1:8" ht="15.75">
      <c r="A361" s="19"/>
      <c r="D361" s="86"/>
      <c r="E361" s="86"/>
      <c r="F361" s="86"/>
      <c r="G361" s="86"/>
      <c r="H361" s="86"/>
    </row>
    <row r="362" spans="1:8" ht="15.75">
      <c r="A362" s="19"/>
      <c r="D362" s="86"/>
      <c r="E362" s="86"/>
      <c r="F362" s="86"/>
      <c r="G362" s="86"/>
      <c r="H362" s="86"/>
    </row>
    <row r="363" spans="1:8" ht="15.75">
      <c r="A363" s="19"/>
      <c r="D363" s="86"/>
      <c r="E363" s="86"/>
      <c r="F363" s="86"/>
      <c r="G363" s="86"/>
      <c r="H363" s="86"/>
    </row>
    <row r="364" spans="1:8" ht="15.75">
      <c r="A364" s="19"/>
      <c r="D364" s="86"/>
      <c r="E364" s="86"/>
      <c r="F364" s="86"/>
      <c r="G364" s="86"/>
      <c r="H364" s="86"/>
    </row>
    <row r="365" spans="1:8" ht="15.75">
      <c r="A365" s="19"/>
      <c r="D365" s="86"/>
      <c r="E365" s="86"/>
      <c r="F365" s="86"/>
      <c r="G365" s="86"/>
      <c r="H365" s="86"/>
    </row>
    <row r="366" spans="1:8" ht="15.75">
      <c r="A366" s="19"/>
      <c r="D366" s="86"/>
      <c r="E366" s="86"/>
      <c r="F366" s="86"/>
      <c r="G366" s="86"/>
      <c r="H366" s="86"/>
    </row>
    <row r="367" spans="1:8" ht="15.75">
      <c r="A367" s="19"/>
      <c r="D367" s="86"/>
      <c r="E367" s="86"/>
      <c r="F367" s="86"/>
      <c r="G367" s="86"/>
      <c r="H367" s="86"/>
    </row>
    <row r="368" spans="1:8" ht="15.75">
      <c r="A368" s="19"/>
      <c r="D368" s="86"/>
      <c r="E368" s="86"/>
      <c r="F368" s="86"/>
      <c r="G368" s="86"/>
      <c r="H368" s="86"/>
    </row>
    <row r="369" spans="1:8" ht="15.75">
      <c r="A369" s="19"/>
      <c r="D369" s="86"/>
      <c r="E369" s="86"/>
      <c r="F369" s="86"/>
      <c r="G369" s="86"/>
      <c r="H369" s="86"/>
    </row>
    <row r="370" spans="1:8" ht="15.75">
      <c r="A370" s="19"/>
      <c r="D370" s="86"/>
      <c r="E370" s="86"/>
      <c r="F370" s="86"/>
      <c r="G370" s="86"/>
      <c r="H370" s="86"/>
    </row>
    <row r="371" spans="1:8" ht="15.75">
      <c r="A371" s="19"/>
      <c r="D371" s="86"/>
      <c r="E371" s="86"/>
      <c r="F371" s="86"/>
      <c r="G371" s="86"/>
      <c r="H371" s="86"/>
    </row>
    <row r="372" spans="1:8" ht="15.75">
      <c r="A372" s="19"/>
      <c r="D372" s="86"/>
      <c r="E372" s="86"/>
      <c r="F372" s="86"/>
      <c r="G372" s="86"/>
      <c r="H372" s="86"/>
    </row>
    <row r="373" spans="1:8" ht="15.75">
      <c r="A373" s="19"/>
      <c r="D373" s="86"/>
      <c r="E373" s="86"/>
      <c r="F373" s="86"/>
      <c r="G373" s="86"/>
      <c r="H373" s="86"/>
    </row>
    <row r="374" spans="1:8" ht="15.75">
      <c r="A374" s="19"/>
      <c r="D374" s="86"/>
      <c r="E374" s="86"/>
      <c r="F374" s="86"/>
      <c r="G374" s="86"/>
      <c r="H374" s="86"/>
    </row>
    <row r="375" spans="1:8" ht="15.75">
      <c r="A375" s="19"/>
      <c r="D375" s="86"/>
      <c r="E375" s="86"/>
      <c r="F375" s="86"/>
      <c r="G375" s="86"/>
      <c r="H375" s="86"/>
    </row>
    <row r="376" spans="1:8" ht="15.75">
      <c r="A376" s="19"/>
      <c r="D376" s="86"/>
      <c r="E376" s="86"/>
      <c r="F376" s="86"/>
      <c r="G376" s="86"/>
      <c r="H376" s="86"/>
    </row>
    <row r="377" spans="1:8" ht="15.75">
      <c r="A377" s="19"/>
      <c r="D377" s="86"/>
      <c r="E377" s="86"/>
      <c r="F377" s="86"/>
      <c r="G377" s="86"/>
      <c r="H377" s="86"/>
    </row>
    <row r="378" spans="1:8" ht="15.75">
      <c r="A378" s="19"/>
      <c r="D378" s="86"/>
      <c r="E378" s="86"/>
      <c r="F378" s="86"/>
      <c r="G378" s="86"/>
      <c r="H378" s="86"/>
    </row>
    <row r="379" spans="1:8" ht="15.75">
      <c r="A379" s="19"/>
      <c r="D379" s="86"/>
      <c r="E379" s="86"/>
      <c r="F379" s="86"/>
      <c r="G379" s="86"/>
      <c r="H379" s="86"/>
    </row>
    <row r="380" spans="1:8" ht="15.75">
      <c r="A380" s="19"/>
      <c r="D380" s="86"/>
      <c r="E380" s="86"/>
      <c r="F380" s="86"/>
      <c r="G380" s="86"/>
      <c r="H380" s="86"/>
    </row>
    <row r="381" spans="1:8" ht="15.75">
      <c r="A381" s="19"/>
      <c r="D381" s="86"/>
      <c r="E381" s="86"/>
      <c r="F381" s="86"/>
      <c r="G381" s="86"/>
      <c r="H381" s="86"/>
    </row>
    <row r="382" spans="1:8" ht="15.75">
      <c r="A382" s="19"/>
      <c r="D382" s="86"/>
      <c r="E382" s="86"/>
      <c r="F382" s="86"/>
      <c r="G382" s="86"/>
      <c r="H382" s="86"/>
    </row>
    <row r="383" spans="1:8" ht="15.75">
      <c r="A383" s="19"/>
      <c r="D383" s="86"/>
      <c r="E383" s="86"/>
      <c r="F383" s="86"/>
      <c r="G383" s="86"/>
      <c r="H383" s="86"/>
    </row>
    <row r="384" spans="1:8" ht="15.75">
      <c r="A384" s="19"/>
      <c r="D384" s="86"/>
      <c r="E384" s="86"/>
      <c r="F384" s="86"/>
      <c r="G384" s="86"/>
      <c r="H384" s="86"/>
    </row>
    <row r="385" spans="1:8" ht="15.75">
      <c r="A385" s="19"/>
      <c r="D385" s="86"/>
      <c r="E385" s="86"/>
      <c r="F385" s="86"/>
      <c r="G385" s="86"/>
      <c r="H385" s="86"/>
    </row>
    <row r="386" spans="1:8" ht="15.75">
      <c r="A386" s="19"/>
      <c r="D386" s="86"/>
      <c r="E386" s="86"/>
      <c r="F386" s="86"/>
      <c r="G386" s="86"/>
      <c r="H386" s="86"/>
    </row>
    <row r="387" spans="1:8" ht="15.75">
      <c r="A387" s="19"/>
      <c r="D387" s="86"/>
      <c r="E387" s="86"/>
      <c r="F387" s="86"/>
      <c r="G387" s="86"/>
      <c r="H387" s="86"/>
    </row>
    <row r="388" spans="1:8" ht="15.75">
      <c r="A388" s="19"/>
      <c r="D388" s="86"/>
      <c r="E388" s="86"/>
      <c r="F388" s="86"/>
      <c r="G388" s="86"/>
      <c r="H388" s="86"/>
    </row>
    <row r="389" spans="1:8" ht="15.75">
      <c r="A389" s="19"/>
      <c r="D389" s="86"/>
      <c r="E389" s="86"/>
      <c r="F389" s="86"/>
      <c r="G389" s="86"/>
      <c r="H389" s="86"/>
    </row>
    <row r="390" spans="1:8" ht="15.75">
      <c r="A390" s="19"/>
      <c r="D390" s="86"/>
      <c r="E390" s="86"/>
      <c r="F390" s="86"/>
      <c r="G390" s="86"/>
      <c r="H390" s="86"/>
    </row>
    <row r="391" spans="1:8" ht="15.75">
      <c r="A391" s="19"/>
      <c r="D391" s="86"/>
      <c r="E391" s="86"/>
      <c r="F391" s="86"/>
      <c r="G391" s="86"/>
      <c r="H391" s="86"/>
    </row>
    <row r="392" spans="1:8" ht="15.75">
      <c r="A392" s="19"/>
      <c r="D392" s="86"/>
      <c r="E392" s="86"/>
      <c r="F392" s="86"/>
      <c r="G392" s="86"/>
      <c r="H392" s="86"/>
    </row>
    <row r="393" spans="1:8" ht="15.75">
      <c r="A393" s="19"/>
      <c r="D393" s="86"/>
      <c r="E393" s="86"/>
      <c r="F393" s="86"/>
      <c r="G393" s="86"/>
      <c r="H393" s="86"/>
    </row>
    <row r="394" spans="1:8" ht="15.75">
      <c r="A394" s="19"/>
      <c r="D394" s="86"/>
      <c r="E394" s="86"/>
      <c r="F394" s="86"/>
      <c r="G394" s="86"/>
      <c r="H394" s="86"/>
    </row>
    <row r="395" spans="1:8" ht="15.75">
      <c r="A395" s="19"/>
      <c r="D395" s="86"/>
      <c r="E395" s="86"/>
      <c r="F395" s="86"/>
      <c r="G395" s="86"/>
      <c r="H395" s="86"/>
    </row>
    <row r="396" spans="1:8" ht="15.75">
      <c r="A396" s="19"/>
      <c r="D396" s="86"/>
      <c r="E396" s="86"/>
      <c r="F396" s="86"/>
      <c r="G396" s="86"/>
      <c r="H396" s="86"/>
    </row>
    <row r="397" spans="1:8" ht="15.75">
      <c r="A397" s="19"/>
      <c r="D397" s="86"/>
      <c r="E397" s="86"/>
      <c r="F397" s="86"/>
      <c r="G397" s="86"/>
      <c r="H397" s="86"/>
    </row>
    <row r="398" spans="1:8" ht="15.75">
      <c r="A398" s="19"/>
      <c r="D398" s="86"/>
      <c r="E398" s="86"/>
      <c r="F398" s="86"/>
      <c r="G398" s="86"/>
      <c r="H398" s="86"/>
    </row>
    <row r="399" spans="1:8" ht="15.75">
      <c r="A399" s="19"/>
      <c r="D399" s="86"/>
      <c r="E399" s="86"/>
      <c r="F399" s="86"/>
      <c r="G399" s="86"/>
      <c r="H399" s="86"/>
    </row>
    <row r="400" spans="1:8" ht="15.75">
      <c r="A400" s="19"/>
      <c r="D400" s="86"/>
      <c r="E400" s="86"/>
      <c r="F400" s="86"/>
      <c r="G400" s="86"/>
      <c r="H400" s="86"/>
    </row>
    <row r="401" spans="1:8" ht="15.75">
      <c r="A401" s="19"/>
      <c r="D401" s="86"/>
      <c r="E401" s="86"/>
      <c r="F401" s="86"/>
      <c r="G401" s="86"/>
      <c r="H401" s="86"/>
    </row>
    <row r="402" spans="1:8" ht="15.75">
      <c r="A402" s="19"/>
      <c r="D402" s="86"/>
      <c r="E402" s="86"/>
      <c r="F402" s="86"/>
      <c r="G402" s="86"/>
      <c r="H402" s="86"/>
    </row>
    <row r="403" spans="1:8" ht="15.75">
      <c r="A403" s="19"/>
      <c r="D403" s="86"/>
      <c r="E403" s="86"/>
      <c r="F403" s="86"/>
      <c r="G403" s="86"/>
      <c r="H403" s="86"/>
    </row>
    <row r="404" spans="1:8" ht="15.75">
      <c r="A404" s="19"/>
      <c r="D404" s="86"/>
      <c r="E404" s="86"/>
      <c r="F404" s="86"/>
      <c r="G404" s="86"/>
      <c r="H404" s="86"/>
    </row>
    <row r="405" spans="1:8" ht="15.75">
      <c r="A405" s="19"/>
      <c r="D405" s="86"/>
      <c r="E405" s="86"/>
      <c r="F405" s="86"/>
      <c r="G405" s="86"/>
      <c r="H405" s="86"/>
    </row>
    <row r="406" spans="1:8" ht="15.75">
      <c r="A406" s="19"/>
      <c r="D406" s="86"/>
      <c r="E406" s="86"/>
      <c r="F406" s="86"/>
      <c r="G406" s="86"/>
      <c r="H406" s="86"/>
    </row>
    <row r="407" spans="1:8" ht="15.75">
      <c r="A407" s="19"/>
      <c r="D407" s="86"/>
      <c r="E407" s="86"/>
      <c r="F407" s="86"/>
      <c r="G407" s="86"/>
      <c r="H407" s="86"/>
    </row>
    <row r="408" spans="1:8" ht="15.75">
      <c r="A408" s="19"/>
      <c r="D408" s="86"/>
      <c r="E408" s="86"/>
      <c r="F408" s="86"/>
      <c r="G408" s="86"/>
      <c r="H408" s="86"/>
    </row>
    <row r="409" spans="1:8" ht="15.75">
      <c r="A409" s="19"/>
      <c r="D409" s="86"/>
      <c r="E409" s="86"/>
      <c r="F409" s="86"/>
      <c r="G409" s="86"/>
      <c r="H409" s="86"/>
    </row>
    <row r="410" spans="1:8" ht="15.75">
      <c r="A410" s="19"/>
      <c r="D410" s="86"/>
      <c r="E410" s="86"/>
      <c r="F410" s="86"/>
      <c r="G410" s="86"/>
      <c r="H410" s="86"/>
    </row>
    <row r="411" spans="1:8" ht="15.75">
      <c r="A411" s="19"/>
      <c r="D411" s="86"/>
      <c r="E411" s="86"/>
      <c r="F411" s="86"/>
      <c r="G411" s="86"/>
      <c r="H411" s="86"/>
    </row>
    <row r="412" spans="1:8" ht="15.75">
      <c r="A412" s="19"/>
      <c r="D412" s="86"/>
      <c r="E412" s="86"/>
      <c r="F412" s="86"/>
      <c r="G412" s="86"/>
      <c r="H412" s="86"/>
    </row>
    <row r="413" spans="1:8" ht="15.75">
      <c r="A413" s="19"/>
      <c r="D413" s="86"/>
      <c r="E413" s="86"/>
      <c r="F413" s="86"/>
      <c r="G413" s="86"/>
      <c r="H413" s="86"/>
    </row>
    <row r="414" spans="1:8" ht="15.75">
      <c r="A414" s="19"/>
      <c r="D414" s="86"/>
      <c r="E414" s="86"/>
      <c r="F414" s="86"/>
      <c r="G414" s="86"/>
      <c r="H414" s="86"/>
    </row>
    <row r="415" spans="1:8" ht="15.75">
      <c r="A415" s="19"/>
      <c r="D415" s="86"/>
      <c r="E415" s="86"/>
      <c r="F415" s="86"/>
      <c r="G415" s="86"/>
      <c r="H415" s="86"/>
    </row>
    <row r="416" spans="1:8" ht="15.75">
      <c r="A416" s="19"/>
      <c r="D416" s="86"/>
      <c r="E416" s="86"/>
      <c r="F416" s="86"/>
      <c r="G416" s="86"/>
      <c r="H416" s="86"/>
    </row>
    <row r="417" spans="1:8" ht="15.75">
      <c r="A417" s="19"/>
      <c r="D417" s="86"/>
      <c r="E417" s="86"/>
      <c r="F417" s="86"/>
      <c r="G417" s="86"/>
      <c r="H417" s="86"/>
    </row>
    <row r="418" spans="1:8" ht="15.75">
      <c r="A418" s="19"/>
      <c r="D418" s="86"/>
      <c r="E418" s="86"/>
      <c r="F418" s="86"/>
      <c r="G418" s="86"/>
      <c r="H418" s="86"/>
    </row>
    <row r="419" spans="1:8" ht="15.75">
      <c r="A419" s="19"/>
      <c r="D419" s="86"/>
      <c r="E419" s="86"/>
      <c r="F419" s="86"/>
      <c r="G419" s="86"/>
      <c r="H419" s="86"/>
    </row>
    <row r="420" spans="1:8" ht="15.75">
      <c r="A420" s="19"/>
      <c r="D420" s="86"/>
      <c r="E420" s="86"/>
      <c r="F420" s="86"/>
      <c r="G420" s="86"/>
      <c r="H420" s="86"/>
    </row>
    <row r="421" spans="1:8" ht="15.75">
      <c r="A421" s="19"/>
      <c r="D421" s="86"/>
      <c r="E421" s="86"/>
      <c r="F421" s="86"/>
      <c r="G421" s="86"/>
      <c r="H421" s="86"/>
    </row>
    <row r="422" spans="1:8" ht="15.75">
      <c r="A422" s="19"/>
      <c r="D422" s="86"/>
      <c r="E422" s="86"/>
      <c r="F422" s="86"/>
      <c r="G422" s="86"/>
      <c r="H422" s="86"/>
    </row>
    <row r="423" spans="1:8" ht="15.75">
      <c r="A423" s="19"/>
      <c r="D423" s="86"/>
      <c r="E423" s="86"/>
      <c r="F423" s="86"/>
      <c r="G423" s="86"/>
      <c r="H423" s="86"/>
    </row>
    <row r="424" spans="1:8" ht="15.75">
      <c r="A424" s="19"/>
      <c r="D424" s="86"/>
      <c r="E424" s="86"/>
      <c r="F424" s="86"/>
      <c r="G424" s="86"/>
      <c r="H424" s="86"/>
    </row>
    <row r="425" spans="1:8" ht="15.75">
      <c r="A425" s="19"/>
      <c r="D425" s="86"/>
      <c r="E425" s="86"/>
      <c r="F425" s="86"/>
      <c r="G425" s="86"/>
      <c r="H425" s="86"/>
    </row>
    <row r="426" spans="1:8" ht="15.75">
      <c r="A426" s="19"/>
      <c r="D426" s="86"/>
      <c r="E426" s="86"/>
      <c r="F426" s="86"/>
      <c r="G426" s="86"/>
      <c r="H426" s="86"/>
    </row>
    <row r="427" spans="1:8" ht="15.75">
      <c r="A427" s="19"/>
      <c r="D427" s="86"/>
      <c r="E427" s="86"/>
      <c r="F427" s="86"/>
      <c r="G427" s="86"/>
      <c r="H427" s="86"/>
    </row>
    <row r="428" spans="1:8" ht="15.75">
      <c r="A428" s="19"/>
      <c r="D428" s="86"/>
      <c r="E428" s="86"/>
      <c r="F428" s="86"/>
      <c r="G428" s="86"/>
      <c r="H428" s="86"/>
    </row>
    <row r="429" spans="1:8" ht="15.75">
      <c r="A429" s="19"/>
      <c r="D429" s="86"/>
      <c r="E429" s="86"/>
      <c r="F429" s="86"/>
      <c r="G429" s="86"/>
      <c r="H429" s="86"/>
    </row>
    <row r="430" spans="1:8" ht="15.75">
      <c r="A430" s="19"/>
      <c r="D430" s="86"/>
      <c r="E430" s="86"/>
      <c r="F430" s="86"/>
      <c r="G430" s="86"/>
      <c r="H430" s="86"/>
    </row>
    <row r="431" spans="1:8" ht="15.75">
      <c r="A431" s="19"/>
      <c r="D431" s="86"/>
      <c r="E431" s="86"/>
      <c r="F431" s="86"/>
      <c r="G431" s="86"/>
      <c r="H431" s="86"/>
    </row>
    <row r="432" spans="1:8" ht="15.75">
      <c r="A432" s="19"/>
      <c r="D432" s="86"/>
      <c r="E432" s="86"/>
      <c r="F432" s="86"/>
      <c r="G432" s="86"/>
      <c r="H432" s="86"/>
    </row>
    <row r="433" spans="1:8" ht="15.75">
      <c r="A433" s="19"/>
      <c r="D433" s="86"/>
      <c r="E433" s="86"/>
      <c r="F433" s="86"/>
      <c r="G433" s="86"/>
      <c r="H433" s="86"/>
    </row>
    <row r="434" spans="1:8" ht="15.75">
      <c r="A434" s="19"/>
      <c r="D434" s="86"/>
      <c r="E434" s="86"/>
      <c r="F434" s="86"/>
      <c r="G434" s="86"/>
      <c r="H434" s="86"/>
    </row>
    <row r="435" spans="1:8" ht="15.75">
      <c r="A435" s="19"/>
      <c r="D435" s="86"/>
      <c r="E435" s="86"/>
      <c r="F435" s="86"/>
      <c r="G435" s="86"/>
      <c r="H435" s="86"/>
    </row>
    <row r="436" spans="1:8" ht="15.75">
      <c r="A436" s="19"/>
      <c r="D436" s="86"/>
      <c r="E436" s="86"/>
      <c r="F436" s="86"/>
      <c r="G436" s="86"/>
      <c r="H436" s="86"/>
    </row>
    <row r="437" spans="1:8" ht="15.75">
      <c r="A437" s="19"/>
      <c r="D437" s="86"/>
      <c r="E437" s="86"/>
      <c r="F437" s="86"/>
      <c r="G437" s="86"/>
      <c r="H437" s="86"/>
    </row>
    <row r="438" spans="1:8" ht="15.75">
      <c r="A438" s="19"/>
      <c r="D438" s="86"/>
      <c r="E438" s="86"/>
      <c r="F438" s="86"/>
      <c r="G438" s="86"/>
      <c r="H438" s="86"/>
    </row>
    <row r="439" spans="1:8" ht="15.75">
      <c r="A439" s="19"/>
      <c r="D439" s="86"/>
      <c r="E439" s="86"/>
      <c r="F439" s="86"/>
      <c r="G439" s="86"/>
      <c r="H439" s="86"/>
    </row>
    <row r="440" spans="1:8" ht="15.75">
      <c r="A440" s="19"/>
      <c r="D440" s="86"/>
      <c r="E440" s="86"/>
      <c r="F440" s="86"/>
      <c r="G440" s="86"/>
      <c r="H440" s="86"/>
    </row>
    <row r="441" spans="1:8" ht="15.75">
      <c r="A441" s="19"/>
      <c r="D441" s="86"/>
      <c r="E441" s="86"/>
      <c r="F441" s="86"/>
      <c r="G441" s="86"/>
      <c r="H441" s="86"/>
    </row>
    <row r="442" spans="1:8" ht="15.75">
      <c r="A442" s="19"/>
      <c r="D442" s="86"/>
      <c r="E442" s="86"/>
      <c r="F442" s="86"/>
      <c r="G442" s="86"/>
      <c r="H442" s="86"/>
    </row>
    <row r="443" spans="1:8" ht="15.75">
      <c r="A443" s="19"/>
      <c r="D443" s="86"/>
      <c r="E443" s="86"/>
      <c r="F443" s="86"/>
      <c r="G443" s="86"/>
      <c r="H443" s="86"/>
    </row>
    <row r="444" spans="1:8" ht="15.75">
      <c r="A444" s="19"/>
      <c r="D444" s="86"/>
      <c r="E444" s="86"/>
      <c r="F444" s="86"/>
      <c r="G444" s="86"/>
      <c r="H444" s="86"/>
    </row>
    <row r="445" spans="1:8" ht="15.75">
      <c r="A445" s="19"/>
      <c r="D445" s="86"/>
      <c r="E445" s="86"/>
      <c r="F445" s="86"/>
      <c r="G445" s="86"/>
      <c r="H445" s="86"/>
    </row>
    <row r="446" spans="1:8" ht="15.75">
      <c r="A446" s="19"/>
      <c r="D446" s="86"/>
      <c r="E446" s="86"/>
      <c r="F446" s="86"/>
      <c r="G446" s="86"/>
      <c r="H446" s="86"/>
    </row>
    <row r="447" spans="1:8" ht="15.75">
      <c r="A447" s="19"/>
      <c r="D447" s="86"/>
      <c r="E447" s="86"/>
      <c r="F447" s="86"/>
      <c r="G447" s="86"/>
      <c r="H447" s="86"/>
    </row>
    <row r="448" spans="1:8" ht="15.75">
      <c r="A448" s="19"/>
      <c r="D448" s="86"/>
      <c r="E448" s="86"/>
      <c r="F448" s="86"/>
      <c r="G448" s="86"/>
      <c r="H448" s="86"/>
    </row>
    <row r="449" spans="1:8" ht="15.75">
      <c r="A449" s="19"/>
      <c r="D449" s="86"/>
      <c r="E449" s="86"/>
      <c r="F449" s="86"/>
      <c r="G449" s="86"/>
      <c r="H449" s="86"/>
    </row>
    <row r="450" spans="1:8" ht="15.75">
      <c r="A450" s="19"/>
      <c r="D450" s="86"/>
      <c r="E450" s="86"/>
      <c r="F450" s="86"/>
      <c r="G450" s="86"/>
      <c r="H450" s="86"/>
    </row>
    <row r="451" spans="1:8" ht="15.75">
      <c r="A451" s="19"/>
      <c r="D451" s="86"/>
      <c r="E451" s="86"/>
      <c r="F451" s="86"/>
      <c r="G451" s="86"/>
      <c r="H451" s="86"/>
    </row>
    <row r="452" spans="1:8" ht="15.75">
      <c r="A452" s="19"/>
      <c r="D452" s="86"/>
      <c r="E452" s="86"/>
      <c r="F452" s="86"/>
      <c r="G452" s="86"/>
      <c r="H452" s="86"/>
    </row>
    <row r="453" spans="1:8" ht="15.75">
      <c r="A453" s="19"/>
      <c r="D453" s="86"/>
      <c r="E453" s="86"/>
      <c r="F453" s="86"/>
      <c r="G453" s="86"/>
      <c r="H453" s="86"/>
    </row>
    <row r="454" spans="1:8" ht="15.75">
      <c r="A454" s="19"/>
      <c r="D454" s="86"/>
      <c r="E454" s="86"/>
      <c r="F454" s="86"/>
      <c r="G454" s="86"/>
      <c r="H454" s="86"/>
    </row>
    <row r="455" spans="1:8" ht="15.75">
      <c r="A455" s="19"/>
      <c r="D455" s="86"/>
      <c r="E455" s="86"/>
      <c r="F455" s="86"/>
      <c r="G455" s="86"/>
      <c r="H455" s="86"/>
    </row>
    <row r="456" spans="1:8" ht="15.75">
      <c r="A456" s="19"/>
      <c r="D456" s="86"/>
      <c r="E456" s="86"/>
      <c r="F456" s="86"/>
      <c r="G456" s="86"/>
      <c r="H456" s="86"/>
    </row>
    <row r="457" spans="1:8" ht="15.75">
      <c r="A457" s="19"/>
      <c r="D457" s="86"/>
      <c r="E457" s="86"/>
      <c r="F457" s="86"/>
      <c r="G457" s="86"/>
      <c r="H457" s="86"/>
    </row>
    <row r="458" spans="1:8" ht="15.75">
      <c r="A458" s="19"/>
      <c r="D458" s="86"/>
      <c r="E458" s="86"/>
      <c r="F458" s="86"/>
      <c r="G458" s="86"/>
      <c r="H458" s="86"/>
    </row>
    <row r="459" spans="1:8" ht="15.75">
      <c r="A459" s="19"/>
      <c r="D459" s="86"/>
      <c r="E459" s="86"/>
      <c r="F459" s="86"/>
      <c r="G459" s="86"/>
      <c r="H459" s="86"/>
    </row>
    <row r="460" spans="1:8" ht="15.75">
      <c r="A460" s="19"/>
      <c r="D460" s="86"/>
      <c r="E460" s="86"/>
      <c r="F460" s="86"/>
      <c r="G460" s="86"/>
      <c r="H460" s="86"/>
    </row>
    <row r="461" spans="1:8" ht="15.75">
      <c r="A461" s="19"/>
      <c r="D461" s="86"/>
      <c r="E461" s="86"/>
      <c r="F461" s="86"/>
      <c r="G461" s="86"/>
      <c r="H461" s="86"/>
    </row>
    <row r="462" spans="1:8" ht="15.75">
      <c r="A462" s="19"/>
      <c r="D462" s="86"/>
      <c r="E462" s="86"/>
      <c r="F462" s="86"/>
      <c r="G462" s="86"/>
      <c r="H462" s="86"/>
    </row>
    <row r="463" spans="1:8" ht="15.75">
      <c r="A463" s="19"/>
      <c r="D463" s="86"/>
      <c r="E463" s="86"/>
      <c r="F463" s="86"/>
      <c r="G463" s="86"/>
      <c r="H463" s="86"/>
    </row>
    <row r="464" spans="1:8" ht="15.75">
      <c r="A464" s="19"/>
      <c r="D464" s="86"/>
      <c r="E464" s="86"/>
      <c r="F464" s="86"/>
      <c r="G464" s="86"/>
      <c r="H464" s="86"/>
    </row>
    <row r="465" spans="1:8" ht="15.75">
      <c r="A465" s="19"/>
      <c r="D465" s="86"/>
      <c r="E465" s="86"/>
      <c r="F465" s="86"/>
      <c r="G465" s="86"/>
      <c r="H465" s="86"/>
    </row>
    <row r="466" spans="1:8" ht="15.75">
      <c r="A466" s="19"/>
      <c r="D466" s="86"/>
      <c r="E466" s="86"/>
      <c r="F466" s="86"/>
      <c r="G466" s="86"/>
      <c r="H466" s="86"/>
    </row>
    <row r="467" spans="1:8" ht="15.75">
      <c r="A467" s="19"/>
      <c r="D467" s="86"/>
      <c r="E467" s="86"/>
      <c r="F467" s="86"/>
      <c r="G467" s="86"/>
      <c r="H467" s="86"/>
    </row>
    <row r="468" spans="1:8" ht="15.75">
      <c r="A468" s="19"/>
      <c r="D468" s="86"/>
      <c r="E468" s="86"/>
      <c r="F468" s="86"/>
      <c r="G468" s="86"/>
      <c r="H468" s="86"/>
    </row>
    <row r="469" spans="1:8" ht="15.75">
      <c r="A469" s="19"/>
      <c r="D469" s="86"/>
      <c r="E469" s="86"/>
      <c r="F469" s="86"/>
      <c r="G469" s="86"/>
      <c r="H469" s="86"/>
    </row>
    <row r="470" spans="1:8" ht="15.75">
      <c r="A470" s="19"/>
      <c r="D470" s="86"/>
      <c r="E470" s="86"/>
      <c r="F470" s="86"/>
      <c r="G470" s="86"/>
      <c r="H470" s="86"/>
    </row>
    <row r="471" spans="1:8" ht="15.75">
      <c r="A471" s="19"/>
      <c r="D471" s="86"/>
      <c r="E471" s="86"/>
      <c r="F471" s="86"/>
      <c r="G471" s="86"/>
      <c r="H471" s="86"/>
    </row>
    <row r="472" spans="1:8" ht="15.75">
      <c r="A472" s="19"/>
      <c r="D472" s="86"/>
      <c r="E472" s="86"/>
      <c r="F472" s="86"/>
      <c r="G472" s="86"/>
      <c r="H472" s="86"/>
    </row>
    <row r="473" spans="1:8" ht="15.75">
      <c r="A473" s="19"/>
      <c r="D473" s="86"/>
      <c r="E473" s="86"/>
      <c r="F473" s="86"/>
      <c r="G473" s="86"/>
      <c r="H473" s="86"/>
    </row>
    <row r="474" spans="1:8" ht="15.75">
      <c r="A474" s="19"/>
      <c r="D474" s="86"/>
      <c r="E474" s="86"/>
      <c r="F474" s="86"/>
      <c r="G474" s="86"/>
      <c r="H474" s="86"/>
    </row>
    <row r="475" spans="1:8" ht="15.75">
      <c r="A475" s="19"/>
      <c r="D475" s="86"/>
      <c r="E475" s="86"/>
      <c r="F475" s="86"/>
      <c r="G475" s="86"/>
      <c r="H475" s="86"/>
    </row>
    <row r="476" spans="1:8" ht="15.75">
      <c r="A476" s="19"/>
      <c r="D476" s="86"/>
      <c r="E476" s="86"/>
      <c r="F476" s="86"/>
      <c r="G476" s="86"/>
      <c r="H476" s="86"/>
    </row>
    <row r="477" spans="1:8" ht="15.75">
      <c r="A477" s="19"/>
      <c r="D477" s="86"/>
      <c r="E477" s="86"/>
      <c r="F477" s="86"/>
      <c r="G477" s="86"/>
      <c r="H477" s="86"/>
    </row>
    <row r="478" spans="1:8" ht="15.75">
      <c r="A478" s="19"/>
      <c r="D478" s="86"/>
      <c r="E478" s="86"/>
      <c r="F478" s="86"/>
      <c r="G478" s="86"/>
      <c r="H478" s="86"/>
    </row>
    <row r="479" spans="1:8" ht="15.75">
      <c r="A479" s="19"/>
      <c r="D479" s="86"/>
      <c r="E479" s="86"/>
      <c r="F479" s="86"/>
      <c r="G479" s="86"/>
      <c r="H479" s="86"/>
    </row>
    <row r="480" spans="1:8" ht="15.75">
      <c r="A480" s="19"/>
      <c r="D480" s="86"/>
      <c r="E480" s="86"/>
      <c r="F480" s="86"/>
      <c r="G480" s="86"/>
      <c r="H480" s="86"/>
    </row>
    <row r="481" spans="1:8" ht="15.75">
      <c r="A481" s="19"/>
      <c r="D481" s="86"/>
      <c r="E481" s="86"/>
      <c r="F481" s="86"/>
      <c r="G481" s="86"/>
      <c r="H481" s="86"/>
    </row>
    <row r="482" spans="1:8" ht="15.75">
      <c r="A482" s="19"/>
      <c r="D482" s="86"/>
      <c r="E482" s="86"/>
      <c r="F482" s="86"/>
      <c r="G482" s="86"/>
      <c r="H482" s="86"/>
    </row>
    <row r="483" spans="1:8" ht="15.75">
      <c r="A483" s="19"/>
      <c r="D483" s="86"/>
      <c r="E483" s="86"/>
      <c r="F483" s="86"/>
      <c r="G483" s="86"/>
      <c r="H483" s="86"/>
    </row>
    <row r="484" spans="1:8" ht="15.75">
      <c r="A484" s="19"/>
      <c r="D484" s="86"/>
      <c r="E484" s="86"/>
      <c r="F484" s="86"/>
      <c r="G484" s="86"/>
      <c r="H484" s="86"/>
    </row>
    <row r="485" spans="1:8" ht="15.75">
      <c r="A485" s="19"/>
      <c r="D485" s="86"/>
      <c r="E485" s="86"/>
      <c r="F485" s="86"/>
      <c r="G485" s="86"/>
      <c r="H485" s="86"/>
    </row>
    <row r="486" spans="1:8" ht="15.75">
      <c r="A486" s="19"/>
      <c r="D486" s="86"/>
      <c r="E486" s="86"/>
      <c r="F486" s="86"/>
      <c r="G486" s="86"/>
      <c r="H486" s="86"/>
    </row>
    <row r="487" spans="1:8" ht="15.75">
      <c r="A487" s="19"/>
      <c r="D487" s="86"/>
      <c r="E487" s="86"/>
      <c r="F487" s="86"/>
      <c r="G487" s="86"/>
      <c r="H487" s="86"/>
    </row>
    <row r="488" spans="1:8" ht="15.75">
      <c r="A488" s="19"/>
      <c r="D488" s="86"/>
      <c r="E488" s="86"/>
      <c r="F488" s="86"/>
      <c r="G488" s="86"/>
      <c r="H488" s="86"/>
    </row>
    <row r="489" spans="1:8" ht="15.75">
      <c r="A489" s="19"/>
      <c r="D489" s="86"/>
      <c r="E489" s="86"/>
      <c r="F489" s="86"/>
      <c r="G489" s="86"/>
      <c r="H489" s="86"/>
    </row>
    <row r="490" spans="1:8" ht="15.75">
      <c r="A490" s="19"/>
      <c r="D490" s="86"/>
      <c r="E490" s="86"/>
      <c r="F490" s="86"/>
      <c r="G490" s="86"/>
      <c r="H490" s="86"/>
    </row>
    <row r="491" spans="1:8" ht="15.75">
      <c r="A491" s="19"/>
      <c r="D491" s="86"/>
      <c r="E491" s="86"/>
      <c r="F491" s="86"/>
      <c r="G491" s="86"/>
      <c r="H491" s="86"/>
    </row>
    <row r="492" spans="1:8" ht="15.75">
      <c r="A492" s="19"/>
      <c r="D492" s="86"/>
      <c r="E492" s="86"/>
      <c r="F492" s="86"/>
      <c r="G492" s="86"/>
      <c r="H492" s="86"/>
    </row>
    <row r="493" spans="1:8" ht="15.75">
      <c r="A493" s="19"/>
      <c r="D493" s="86"/>
      <c r="E493" s="86"/>
      <c r="F493" s="86"/>
      <c r="G493" s="86"/>
      <c r="H493" s="86"/>
    </row>
    <row r="494" spans="1:8" ht="15.75">
      <c r="A494" s="19"/>
      <c r="D494" s="86"/>
      <c r="E494" s="86"/>
      <c r="F494" s="86"/>
      <c r="G494" s="86"/>
      <c r="H494" s="86"/>
    </row>
    <row r="495" spans="1:8" ht="15.75">
      <c r="A495" s="19"/>
      <c r="D495" s="86"/>
      <c r="E495" s="86"/>
      <c r="F495" s="86"/>
      <c r="G495" s="86"/>
      <c r="H495" s="86"/>
    </row>
    <row r="496" spans="1:8" ht="15.75">
      <c r="A496" s="19"/>
      <c r="D496" s="86"/>
      <c r="E496" s="86"/>
      <c r="F496" s="86"/>
      <c r="G496" s="86"/>
      <c r="H496" s="86"/>
    </row>
    <row r="497" spans="1:8" ht="15.75">
      <c r="A497" s="19"/>
      <c r="D497" s="86"/>
      <c r="E497" s="86"/>
      <c r="F497" s="86"/>
      <c r="G497" s="86"/>
      <c r="H497" s="86"/>
    </row>
    <row r="498" spans="1:8" ht="15.75">
      <c r="A498" s="19"/>
      <c r="D498" s="86"/>
      <c r="E498" s="86"/>
      <c r="F498" s="86"/>
      <c r="G498" s="86"/>
      <c r="H498" s="86"/>
    </row>
    <row r="499" spans="1:8" ht="15.75">
      <c r="A499" s="19"/>
      <c r="D499" s="86"/>
      <c r="E499" s="86"/>
      <c r="F499" s="86"/>
      <c r="G499" s="86"/>
      <c r="H499" s="86"/>
    </row>
    <row r="500" spans="1:8" ht="15.75">
      <c r="A500" s="19"/>
      <c r="D500" s="86"/>
      <c r="E500" s="86"/>
      <c r="F500" s="86"/>
      <c r="G500" s="86"/>
      <c r="H500" s="86"/>
    </row>
    <row r="501" spans="1:8" ht="15.75">
      <c r="A501" s="19"/>
      <c r="D501" s="86"/>
      <c r="E501" s="86"/>
      <c r="F501" s="86"/>
      <c r="G501" s="86"/>
      <c r="H501" s="86"/>
    </row>
    <row r="502" spans="1:8" ht="15.75">
      <c r="A502" s="19"/>
      <c r="D502" s="86"/>
      <c r="E502" s="86"/>
      <c r="F502" s="86"/>
      <c r="G502" s="86"/>
      <c r="H502" s="86"/>
    </row>
    <row r="503" spans="1:8" ht="15.75">
      <c r="A503" s="19"/>
      <c r="D503" s="86"/>
      <c r="E503" s="86"/>
      <c r="F503" s="86"/>
      <c r="G503" s="86"/>
      <c r="H503" s="86"/>
    </row>
    <row r="504" spans="1:8" ht="15.75">
      <c r="A504" s="19"/>
      <c r="D504" s="86"/>
      <c r="E504" s="86"/>
      <c r="F504" s="86"/>
      <c r="G504" s="86"/>
      <c r="H504" s="86"/>
    </row>
    <row r="505" spans="1:8" ht="15.75">
      <c r="A505" s="19"/>
      <c r="D505" s="86"/>
      <c r="E505" s="86"/>
      <c r="F505" s="86"/>
      <c r="G505" s="86"/>
      <c r="H505" s="86"/>
    </row>
    <row r="506" spans="1:8" ht="15.75">
      <c r="A506" s="19"/>
      <c r="D506" s="86"/>
      <c r="E506" s="86"/>
      <c r="F506" s="86"/>
      <c r="G506" s="86"/>
      <c r="H506" s="86"/>
    </row>
    <row r="507" spans="1:8" ht="15.75">
      <c r="A507" s="19"/>
      <c r="D507" s="86"/>
      <c r="E507" s="86"/>
      <c r="F507" s="86"/>
      <c r="G507" s="86"/>
      <c r="H507" s="86"/>
    </row>
    <row r="508" spans="1:8" ht="15.75">
      <c r="A508" s="19"/>
      <c r="D508" s="86"/>
      <c r="E508" s="86"/>
      <c r="F508" s="86"/>
      <c r="G508" s="86"/>
      <c r="H508" s="86"/>
    </row>
    <row r="509" spans="1:8" ht="15.75">
      <c r="A509" s="19"/>
      <c r="D509" s="86"/>
      <c r="E509" s="86"/>
      <c r="F509" s="86"/>
      <c r="G509" s="86"/>
      <c r="H509" s="86"/>
    </row>
    <row r="510" spans="1:8" ht="15.75">
      <c r="A510" s="19"/>
      <c r="D510" s="86"/>
      <c r="E510" s="86"/>
      <c r="F510" s="86"/>
      <c r="G510" s="86"/>
      <c r="H510" s="86"/>
    </row>
    <row r="511" spans="1:8" ht="15.75">
      <c r="A511" s="19"/>
      <c r="D511" s="86"/>
      <c r="E511" s="86"/>
      <c r="F511" s="86"/>
      <c r="G511" s="86"/>
      <c r="H511" s="86"/>
    </row>
    <row r="512" spans="1:8" ht="15.75">
      <c r="A512" s="19"/>
      <c r="D512" s="86"/>
      <c r="E512" s="86"/>
      <c r="F512" s="86"/>
      <c r="G512" s="86"/>
      <c r="H512" s="86"/>
    </row>
    <row r="513" spans="1:8" ht="15.75">
      <c r="A513" s="19"/>
      <c r="D513" s="86"/>
      <c r="E513" s="86"/>
      <c r="F513" s="86"/>
      <c r="G513" s="86"/>
      <c r="H513" s="86"/>
    </row>
    <row r="514" spans="1:8" ht="15.75">
      <c r="A514" s="19"/>
      <c r="D514" s="86"/>
      <c r="E514" s="86"/>
      <c r="F514" s="86"/>
      <c r="G514" s="86"/>
      <c r="H514" s="86"/>
    </row>
    <row r="515" spans="1:8" ht="15.75">
      <c r="A515" s="19"/>
      <c r="D515" s="86"/>
      <c r="E515" s="86"/>
      <c r="F515" s="86"/>
      <c r="G515" s="86"/>
      <c r="H515" s="86"/>
    </row>
    <row r="516" spans="1:8" ht="15.75">
      <c r="A516" s="19"/>
      <c r="D516" s="86"/>
      <c r="E516" s="86"/>
      <c r="F516" s="86"/>
      <c r="G516" s="86"/>
      <c r="H516" s="86"/>
    </row>
    <row r="517" spans="1:8" ht="15.75">
      <c r="A517" s="19"/>
      <c r="D517" s="86"/>
      <c r="E517" s="86"/>
      <c r="F517" s="86"/>
      <c r="G517" s="86"/>
      <c r="H517" s="86"/>
    </row>
    <row r="518" spans="1:8" ht="15.75">
      <c r="A518" s="19"/>
      <c r="D518" s="86"/>
      <c r="E518" s="86"/>
      <c r="F518" s="86"/>
      <c r="G518" s="86"/>
      <c r="H518" s="86"/>
    </row>
    <row r="519" spans="1:8" ht="15.75">
      <c r="A519" s="19"/>
      <c r="D519" s="86"/>
      <c r="E519" s="86"/>
      <c r="F519" s="86"/>
      <c r="G519" s="86"/>
      <c r="H519" s="86"/>
    </row>
    <row r="520" spans="1:8" ht="15.75">
      <c r="A520" s="19"/>
      <c r="D520" s="86"/>
      <c r="E520" s="86"/>
      <c r="F520" s="86"/>
      <c r="G520" s="86"/>
      <c r="H520" s="86"/>
    </row>
    <row r="521" spans="1:8" ht="15.75">
      <c r="A521" s="19"/>
      <c r="D521" s="86"/>
      <c r="E521" s="86"/>
      <c r="F521" s="86"/>
      <c r="G521" s="86"/>
      <c r="H521" s="86"/>
    </row>
    <row r="522" spans="1:8" ht="15.75">
      <c r="A522" s="19"/>
      <c r="D522" s="86"/>
      <c r="E522" s="86"/>
      <c r="F522" s="86"/>
      <c r="G522" s="86"/>
      <c r="H522" s="86"/>
    </row>
    <row r="523" spans="1:8" ht="15.75">
      <c r="A523" s="19"/>
      <c r="D523" s="86"/>
      <c r="E523" s="86"/>
      <c r="F523" s="86"/>
      <c r="G523" s="86"/>
      <c r="H523" s="86"/>
    </row>
    <row r="524" spans="1:8" ht="15.75">
      <c r="A524" s="19"/>
      <c r="D524" s="86"/>
      <c r="E524" s="86"/>
      <c r="F524" s="86"/>
      <c r="G524" s="86"/>
      <c r="H524" s="86"/>
    </row>
    <row r="525" spans="1:8" ht="15.75">
      <c r="A525" s="19"/>
      <c r="D525" s="86"/>
      <c r="E525" s="86"/>
      <c r="F525" s="86"/>
      <c r="G525" s="86"/>
      <c r="H525" s="86"/>
    </row>
    <row r="526" spans="1:8" ht="15.75">
      <c r="A526" s="19"/>
      <c r="D526" s="86"/>
      <c r="E526" s="86"/>
      <c r="F526" s="86"/>
      <c r="G526" s="86"/>
      <c r="H526" s="86"/>
    </row>
    <row r="527" spans="1:8" ht="15.75">
      <c r="A527" s="19"/>
      <c r="D527" s="86"/>
      <c r="E527" s="86"/>
      <c r="F527" s="86"/>
      <c r="G527" s="86"/>
      <c r="H527" s="86"/>
    </row>
    <row r="528" spans="1:8" ht="15.75">
      <c r="A528" s="19"/>
      <c r="D528" s="86"/>
      <c r="E528" s="86"/>
      <c r="F528" s="86"/>
      <c r="G528" s="86"/>
      <c r="H528" s="86"/>
    </row>
    <row r="529" spans="1:8" ht="15.75">
      <c r="A529" s="19"/>
      <c r="D529" s="86"/>
      <c r="E529" s="86"/>
      <c r="F529" s="86"/>
      <c r="G529" s="86"/>
      <c r="H529" s="86"/>
    </row>
    <row r="530" spans="1:8" ht="15.75">
      <c r="A530" s="19"/>
      <c r="D530" s="86"/>
      <c r="E530" s="86"/>
      <c r="F530" s="86"/>
      <c r="G530" s="86"/>
      <c r="H530" s="86"/>
    </row>
    <row r="531" spans="1:8" ht="15.75">
      <c r="A531" s="19"/>
      <c r="D531" s="86"/>
      <c r="E531" s="86"/>
      <c r="F531" s="86"/>
      <c r="G531" s="86"/>
      <c r="H531" s="86"/>
    </row>
    <row r="532" spans="1:8" ht="15.75">
      <c r="A532" s="19"/>
      <c r="D532" s="86"/>
      <c r="E532" s="86"/>
      <c r="F532" s="86"/>
      <c r="G532" s="86"/>
      <c r="H532" s="86"/>
    </row>
    <row r="533" spans="1:8" ht="15.75">
      <c r="A533" s="19"/>
      <c r="D533" s="86"/>
      <c r="E533" s="86"/>
      <c r="F533" s="86"/>
      <c r="G533" s="86"/>
      <c r="H533" s="86"/>
    </row>
    <row r="534" spans="1:8" ht="15.75">
      <c r="A534" s="19"/>
      <c r="D534" s="86"/>
      <c r="E534" s="86"/>
      <c r="F534" s="86"/>
      <c r="G534" s="86"/>
      <c r="H534" s="86"/>
    </row>
    <row r="535" spans="1:8" ht="15.75">
      <c r="A535" s="19"/>
      <c r="D535" s="86"/>
      <c r="E535" s="86"/>
      <c r="F535" s="86"/>
      <c r="G535" s="86"/>
      <c r="H535" s="86"/>
    </row>
    <row r="536" spans="1:8" ht="15.75">
      <c r="A536" s="19"/>
      <c r="D536" s="86"/>
      <c r="E536" s="86"/>
      <c r="F536" s="86"/>
      <c r="G536" s="86"/>
      <c r="H536" s="86"/>
    </row>
    <row r="537" spans="1:8" ht="15.75">
      <c r="A537" s="19"/>
      <c r="D537" s="86"/>
      <c r="E537" s="86"/>
      <c r="F537" s="86"/>
      <c r="G537" s="86"/>
      <c r="H537" s="86"/>
    </row>
    <row r="538" spans="1:8" ht="15.75">
      <c r="A538" s="19"/>
      <c r="D538" s="86"/>
      <c r="E538" s="86"/>
      <c r="F538" s="86"/>
      <c r="G538" s="86"/>
      <c r="H538" s="86"/>
    </row>
    <row r="539" spans="1:8" ht="15.75">
      <c r="A539" s="19"/>
      <c r="D539" s="86"/>
      <c r="E539" s="86"/>
      <c r="F539" s="86"/>
      <c r="G539" s="86"/>
      <c r="H539" s="86"/>
    </row>
    <row r="540" spans="1:8" ht="15.75">
      <c r="A540" s="19"/>
      <c r="D540" s="86"/>
      <c r="E540" s="86"/>
      <c r="F540" s="86"/>
      <c r="G540" s="86"/>
      <c r="H540" s="86"/>
    </row>
    <row r="541" spans="1:8" ht="15.75">
      <c r="A541" s="19"/>
      <c r="D541" s="86"/>
      <c r="E541" s="86"/>
      <c r="F541" s="86"/>
      <c r="G541" s="86"/>
      <c r="H541" s="86"/>
    </row>
    <row r="542" spans="1:8" ht="15.75">
      <c r="A542" s="19"/>
      <c r="D542" s="86"/>
      <c r="E542" s="86"/>
      <c r="F542" s="86"/>
      <c r="G542" s="86"/>
      <c r="H542" s="86"/>
    </row>
    <row r="543" spans="1:8" ht="15.75">
      <c r="A543" s="19"/>
      <c r="D543" s="86"/>
      <c r="E543" s="86"/>
      <c r="F543" s="86"/>
      <c r="G543" s="86"/>
      <c r="H543" s="86"/>
    </row>
    <row r="544" spans="1:8" ht="15.75">
      <c r="A544" s="19"/>
      <c r="D544" s="86"/>
      <c r="E544" s="86"/>
      <c r="F544" s="86"/>
      <c r="G544" s="86"/>
      <c r="H544" s="86"/>
    </row>
    <row r="545" spans="1:8" ht="15.75">
      <c r="A545" s="19"/>
      <c r="D545" s="86"/>
      <c r="E545" s="86"/>
      <c r="F545" s="86"/>
      <c r="G545" s="86"/>
      <c r="H545" s="86"/>
    </row>
    <row r="546" spans="1:8" ht="15.75">
      <c r="A546" s="19"/>
      <c r="D546" s="86"/>
      <c r="E546" s="86"/>
      <c r="F546" s="86"/>
      <c r="G546" s="86"/>
      <c r="H546" s="86"/>
    </row>
    <row r="547" spans="1:8" ht="15.75">
      <c r="A547" s="19"/>
      <c r="D547" s="86"/>
      <c r="E547" s="86"/>
      <c r="F547" s="86"/>
      <c r="G547" s="86"/>
      <c r="H547" s="86"/>
    </row>
    <row r="548" spans="1:8" ht="15.75">
      <c r="A548" s="19"/>
      <c r="D548" s="86"/>
      <c r="E548" s="86"/>
      <c r="F548" s="86"/>
      <c r="G548" s="86"/>
      <c r="H548" s="86"/>
    </row>
    <row r="549" spans="1:8" ht="15.75">
      <c r="A549" s="19"/>
      <c r="D549" s="86"/>
      <c r="E549" s="86"/>
      <c r="F549" s="86"/>
      <c r="G549" s="86"/>
      <c r="H549" s="86"/>
    </row>
    <row r="550" spans="1:8" ht="15.75">
      <c r="A550" s="19"/>
      <c r="D550" s="86"/>
      <c r="E550" s="86"/>
      <c r="F550" s="86"/>
      <c r="G550" s="86"/>
      <c r="H550" s="86"/>
    </row>
    <row r="551" spans="1:8" ht="15.75">
      <c r="A551" s="19"/>
      <c r="D551" s="86"/>
      <c r="E551" s="86"/>
      <c r="F551" s="86"/>
      <c r="G551" s="86"/>
      <c r="H551" s="86"/>
    </row>
    <row r="552" spans="1:8" ht="15.75">
      <c r="A552" s="19"/>
      <c r="D552" s="86"/>
      <c r="E552" s="86"/>
      <c r="F552" s="86"/>
      <c r="G552" s="86"/>
      <c r="H552" s="86"/>
    </row>
    <row r="553" spans="1:8" ht="15.75">
      <c r="A553" s="19"/>
      <c r="D553" s="86"/>
      <c r="E553" s="86"/>
      <c r="F553" s="86"/>
      <c r="G553" s="86"/>
      <c r="H553" s="86"/>
    </row>
    <row r="554" spans="1:8" ht="15.75">
      <c r="A554" s="19"/>
      <c r="D554" s="86"/>
      <c r="E554" s="86"/>
      <c r="F554" s="86"/>
      <c r="G554" s="86"/>
      <c r="H554" s="86"/>
    </row>
    <row r="555" spans="1:8" ht="15.75">
      <c r="A555" s="19"/>
      <c r="D555" s="86"/>
      <c r="E555" s="86"/>
      <c r="F555" s="86"/>
      <c r="G555" s="86"/>
      <c r="H555" s="86"/>
    </row>
    <row r="556" spans="1:8" ht="15.75">
      <c r="A556" s="19"/>
      <c r="D556" s="86"/>
      <c r="E556" s="86"/>
      <c r="F556" s="86"/>
      <c r="G556" s="86"/>
      <c r="H556" s="86"/>
    </row>
    <row r="557" spans="1:8" ht="15.75">
      <c r="A557" s="19"/>
      <c r="D557" s="86"/>
      <c r="E557" s="86"/>
      <c r="F557" s="86"/>
      <c r="G557" s="86"/>
      <c r="H557" s="86"/>
    </row>
    <row r="558" spans="1:8" ht="15.75">
      <c r="A558" s="19"/>
      <c r="D558" s="86"/>
      <c r="E558" s="86"/>
      <c r="F558" s="86"/>
      <c r="G558" s="86"/>
      <c r="H558" s="86"/>
    </row>
    <row r="559" spans="1:8" ht="15.75">
      <c r="A559" s="19"/>
      <c r="D559" s="86"/>
      <c r="E559" s="86"/>
      <c r="F559" s="86"/>
      <c r="G559" s="86"/>
      <c r="H559" s="86"/>
    </row>
    <row r="560" spans="1:8" ht="15.75">
      <c r="A560" s="19"/>
      <c r="D560" s="86"/>
      <c r="E560" s="86"/>
      <c r="F560" s="86"/>
      <c r="G560" s="86"/>
      <c r="H560" s="86"/>
    </row>
    <row r="561" spans="1:8" ht="15.75">
      <c r="A561" s="19"/>
      <c r="D561" s="86"/>
      <c r="E561" s="86"/>
      <c r="F561" s="86"/>
      <c r="G561" s="86"/>
      <c r="H561" s="86"/>
    </row>
    <row r="562" spans="1:8" ht="15.75">
      <c r="A562" s="19"/>
      <c r="D562" s="86"/>
      <c r="E562" s="86"/>
      <c r="F562" s="86"/>
      <c r="G562" s="86"/>
      <c r="H562" s="86"/>
    </row>
    <row r="563" spans="1:8" ht="15.75">
      <c r="A563" s="19"/>
      <c r="D563" s="86"/>
      <c r="E563" s="86"/>
      <c r="F563" s="86"/>
      <c r="G563" s="86"/>
      <c r="H563" s="86"/>
    </row>
    <row r="564" spans="1:8" ht="15.75">
      <c r="A564" s="19"/>
      <c r="D564" s="86"/>
      <c r="E564" s="86"/>
      <c r="F564" s="86"/>
      <c r="G564" s="86"/>
      <c r="H564" s="86"/>
    </row>
    <row r="565" spans="1:8" ht="15.75">
      <c r="A565" s="19"/>
      <c r="D565" s="86"/>
      <c r="E565" s="86"/>
      <c r="F565" s="86"/>
      <c r="G565" s="86"/>
      <c r="H565" s="86"/>
    </row>
    <row r="566" spans="1:8" ht="15.75">
      <c r="A566" s="19"/>
      <c r="D566" s="86"/>
      <c r="E566" s="86"/>
      <c r="F566" s="86"/>
      <c r="G566" s="86"/>
      <c r="H566" s="86"/>
    </row>
    <row r="567" spans="1:8" ht="15.75">
      <c r="A567" s="19"/>
      <c r="D567" s="86"/>
      <c r="E567" s="86"/>
      <c r="F567" s="86"/>
      <c r="G567" s="86"/>
      <c r="H567" s="86"/>
    </row>
    <row r="568" spans="1:8" ht="15.75">
      <c r="A568" s="19"/>
      <c r="D568" s="86"/>
      <c r="E568" s="86"/>
      <c r="F568" s="86"/>
      <c r="G568" s="86"/>
      <c r="H568" s="86"/>
    </row>
    <row r="569" spans="1:8" ht="15.75">
      <c r="A569" s="19"/>
      <c r="D569" s="86"/>
      <c r="E569" s="86"/>
      <c r="F569" s="86"/>
      <c r="G569" s="86"/>
      <c r="H569" s="86"/>
    </row>
    <row r="570" spans="1:8" ht="15.75">
      <c r="A570" s="19"/>
      <c r="D570" s="86"/>
      <c r="E570" s="86"/>
      <c r="F570" s="86"/>
      <c r="G570" s="86"/>
      <c r="H570" s="86"/>
    </row>
    <row r="571" spans="1:8" ht="15.75">
      <c r="A571" s="19"/>
      <c r="D571" s="86"/>
      <c r="E571" s="86"/>
      <c r="F571" s="86"/>
      <c r="G571" s="86"/>
      <c r="H571" s="86"/>
    </row>
    <row r="572" spans="1:8" ht="15.75">
      <c r="A572" s="19"/>
      <c r="D572" s="86"/>
      <c r="E572" s="86"/>
      <c r="F572" s="86"/>
      <c r="G572" s="86"/>
      <c r="H572" s="86"/>
    </row>
    <row r="573" spans="1:8" ht="15.75">
      <c r="A573" s="19"/>
      <c r="D573" s="86"/>
      <c r="E573" s="86"/>
      <c r="F573" s="86"/>
      <c r="G573" s="86"/>
      <c r="H573" s="86"/>
    </row>
    <row r="574" spans="1:8" ht="15.75">
      <c r="A574" s="19"/>
      <c r="D574" s="86"/>
      <c r="E574" s="86"/>
      <c r="F574" s="86"/>
      <c r="G574" s="86"/>
      <c r="H574" s="86"/>
    </row>
    <row r="575" spans="1:8" ht="15.75">
      <c r="A575" s="19"/>
      <c r="D575" s="86"/>
      <c r="E575" s="86"/>
      <c r="F575" s="86"/>
      <c r="G575" s="86"/>
      <c r="H575" s="86"/>
    </row>
    <row r="576" spans="1:8" ht="15.75">
      <c r="A576" s="19"/>
      <c r="D576" s="86"/>
      <c r="E576" s="86"/>
      <c r="F576" s="86"/>
      <c r="G576" s="86"/>
      <c r="H576" s="86"/>
    </row>
    <row r="577" spans="1:8" ht="15.75">
      <c r="A577" s="19"/>
      <c r="D577" s="86"/>
      <c r="E577" s="86"/>
      <c r="F577" s="86"/>
      <c r="G577" s="86"/>
      <c r="H577" s="86"/>
    </row>
    <row r="578" spans="1:8" ht="15.75">
      <c r="A578" s="19"/>
      <c r="D578" s="86"/>
      <c r="E578" s="86"/>
      <c r="F578" s="86"/>
      <c r="G578" s="86"/>
      <c r="H578" s="86"/>
    </row>
    <row r="579" spans="1:8" ht="15.75">
      <c r="A579" s="19"/>
      <c r="D579" s="86"/>
      <c r="E579" s="86"/>
      <c r="F579" s="86"/>
      <c r="G579" s="86"/>
      <c r="H579" s="86"/>
    </row>
    <row r="580" spans="1:8" ht="15.75">
      <c r="A580" s="19"/>
      <c r="D580" s="86"/>
      <c r="E580" s="86"/>
      <c r="F580" s="86"/>
      <c r="G580" s="86"/>
      <c r="H580" s="86"/>
    </row>
    <row r="581" spans="1:8" ht="15.75">
      <c r="A581" s="19"/>
      <c r="D581" s="86"/>
      <c r="E581" s="86"/>
      <c r="F581" s="86"/>
      <c r="G581" s="86"/>
      <c r="H581" s="86"/>
    </row>
    <row r="582" spans="1:8" ht="15.75">
      <c r="A582" s="19"/>
      <c r="D582" s="86"/>
      <c r="E582" s="86"/>
      <c r="F582" s="86"/>
      <c r="G582" s="86"/>
      <c r="H582" s="86"/>
    </row>
    <row r="583" spans="1:8" ht="15.75">
      <c r="A583" s="19"/>
      <c r="D583" s="86"/>
      <c r="E583" s="86"/>
      <c r="F583" s="86"/>
      <c r="G583" s="86"/>
      <c r="H583" s="86"/>
    </row>
    <row r="584" spans="1:8" ht="15.75">
      <c r="A584" s="19"/>
      <c r="D584" s="86"/>
      <c r="E584" s="86"/>
      <c r="F584" s="86"/>
      <c r="G584" s="86"/>
      <c r="H584" s="86"/>
    </row>
    <row r="585" spans="1:8" ht="15.75">
      <c r="A585" s="19"/>
      <c r="D585" s="86"/>
      <c r="E585" s="86"/>
      <c r="F585" s="86"/>
      <c r="G585" s="86"/>
      <c r="H585" s="86"/>
    </row>
    <row r="586" spans="1:8" ht="15.75">
      <c r="A586" s="19"/>
      <c r="D586" s="86"/>
      <c r="E586" s="86"/>
      <c r="F586" s="86"/>
      <c r="G586" s="86"/>
      <c r="H586" s="86"/>
    </row>
    <row r="587" spans="1:8" ht="15.75">
      <c r="A587" s="19"/>
      <c r="D587" s="86"/>
      <c r="E587" s="86"/>
      <c r="F587" s="86"/>
      <c r="G587" s="86"/>
      <c r="H587" s="86"/>
    </row>
    <row r="588" spans="1:8" ht="15.75">
      <c r="A588" s="19"/>
      <c r="D588" s="86"/>
      <c r="E588" s="86"/>
      <c r="F588" s="86"/>
      <c r="G588" s="86"/>
      <c r="H588" s="86"/>
    </row>
    <row r="589" spans="1:8" ht="15.75">
      <c r="A589" s="19"/>
      <c r="D589" s="86"/>
      <c r="E589" s="86"/>
      <c r="F589" s="86"/>
      <c r="G589" s="86"/>
      <c r="H589" s="86"/>
    </row>
    <row r="590" spans="1:8" ht="15.75">
      <c r="A590" s="19"/>
      <c r="D590" s="86"/>
      <c r="E590" s="86"/>
      <c r="F590" s="86"/>
      <c r="G590" s="86"/>
      <c r="H590" s="86"/>
    </row>
    <row r="591" spans="1:8" ht="15.75">
      <c r="A591" s="19"/>
      <c r="D591" s="86"/>
      <c r="E591" s="86"/>
      <c r="F591" s="86"/>
      <c r="G591" s="86"/>
      <c r="H591" s="86"/>
    </row>
    <row r="592" spans="1:8" ht="15.75">
      <c r="A592" s="19"/>
      <c r="D592" s="86"/>
      <c r="E592" s="86"/>
      <c r="F592" s="86"/>
      <c r="G592" s="86"/>
      <c r="H592" s="86"/>
    </row>
    <row r="593" spans="1:8" ht="15.75">
      <c r="A593" s="19"/>
      <c r="D593" s="86"/>
      <c r="E593" s="86"/>
      <c r="F593" s="86"/>
      <c r="G593" s="86"/>
      <c r="H593" s="86"/>
    </row>
    <row r="594" spans="1:8" ht="15.75">
      <c r="A594" s="19"/>
      <c r="D594" s="86"/>
      <c r="E594" s="86"/>
      <c r="F594" s="86"/>
      <c r="G594" s="86"/>
      <c r="H594" s="86"/>
    </row>
    <row r="595" spans="1:8" ht="15.75">
      <c r="A595" s="19"/>
      <c r="D595" s="86"/>
      <c r="E595" s="86"/>
      <c r="F595" s="86"/>
      <c r="G595" s="86"/>
      <c r="H595" s="86"/>
    </row>
    <row r="596" spans="1:8" ht="15.75">
      <c r="A596" s="19"/>
      <c r="D596" s="86"/>
      <c r="E596" s="86"/>
      <c r="F596" s="86"/>
      <c r="G596" s="86"/>
      <c r="H596" s="86"/>
    </row>
    <row r="597" spans="1:8" ht="15.75">
      <c r="A597" s="19"/>
      <c r="D597" s="86"/>
      <c r="E597" s="86"/>
      <c r="F597" s="86"/>
      <c r="G597" s="86"/>
      <c r="H597" s="86"/>
    </row>
    <row r="598" spans="1:8" ht="15.75">
      <c r="A598" s="19"/>
      <c r="D598" s="86"/>
      <c r="E598" s="86"/>
      <c r="F598" s="86"/>
      <c r="G598" s="86"/>
      <c r="H598" s="86"/>
    </row>
    <row r="599" spans="1:8" ht="15.75">
      <c r="A599" s="19"/>
      <c r="D599" s="86"/>
      <c r="E599" s="86"/>
      <c r="F599" s="86"/>
      <c r="G599" s="86"/>
      <c r="H599" s="86"/>
    </row>
    <row r="600" spans="1:8" ht="15.75">
      <c r="A600" s="19"/>
      <c r="D600" s="86"/>
      <c r="E600" s="86"/>
      <c r="F600" s="86"/>
      <c r="G600" s="86"/>
      <c r="H600" s="86"/>
    </row>
    <row r="601" spans="1:8" ht="15.75">
      <c r="A601" s="19"/>
      <c r="D601" s="86"/>
      <c r="E601" s="86"/>
      <c r="F601" s="86"/>
      <c r="G601" s="86"/>
      <c r="H601" s="86"/>
    </row>
    <row r="602" spans="1:8" ht="15.75">
      <c r="A602" s="19"/>
      <c r="D602" s="86"/>
      <c r="E602" s="86"/>
      <c r="F602" s="86"/>
      <c r="G602" s="86"/>
      <c r="H602" s="86"/>
    </row>
    <row r="603" spans="1:8" ht="15.75">
      <c r="A603" s="19"/>
      <c r="D603" s="86"/>
      <c r="E603" s="86"/>
      <c r="F603" s="86"/>
      <c r="G603" s="86"/>
      <c r="H603" s="86"/>
    </row>
    <row r="604" spans="1:8" ht="15.75">
      <c r="A604" s="19"/>
      <c r="D604" s="86"/>
      <c r="E604" s="86"/>
      <c r="F604" s="86"/>
      <c r="G604" s="86"/>
      <c r="H604" s="86"/>
    </row>
    <row r="605" spans="1:8" ht="15.75">
      <c r="A605" s="19"/>
      <c r="D605" s="86"/>
      <c r="E605" s="86"/>
      <c r="F605" s="86"/>
      <c r="G605" s="86"/>
      <c r="H605" s="86"/>
    </row>
    <row r="606" spans="1:8" ht="15.75">
      <c r="A606" s="19"/>
      <c r="D606" s="86"/>
      <c r="E606" s="86"/>
      <c r="F606" s="86"/>
      <c r="G606" s="86"/>
      <c r="H606" s="86"/>
    </row>
    <row r="607" spans="1:8" ht="15.75">
      <c r="A607" s="19"/>
      <c r="D607" s="86"/>
      <c r="E607" s="86"/>
      <c r="F607" s="86"/>
      <c r="G607" s="86"/>
      <c r="H607" s="86"/>
    </row>
    <row r="608" spans="1:8" ht="15.75">
      <c r="A608" s="19"/>
      <c r="D608" s="86"/>
      <c r="E608" s="86"/>
      <c r="F608" s="86"/>
      <c r="G608" s="86"/>
      <c r="H608" s="86"/>
    </row>
    <row r="609" spans="1:8" ht="15.75">
      <c r="A609" s="19"/>
      <c r="D609" s="86"/>
      <c r="E609" s="86"/>
      <c r="F609" s="86"/>
      <c r="G609" s="86"/>
      <c r="H609" s="86"/>
    </row>
    <row r="610" spans="1:8" ht="15.75">
      <c r="A610" s="19"/>
      <c r="D610" s="86"/>
      <c r="E610" s="86"/>
      <c r="F610" s="86"/>
      <c r="G610" s="86"/>
      <c r="H610" s="86"/>
    </row>
    <row r="611" spans="1:8" ht="15.75">
      <c r="A611" s="19"/>
      <c r="D611" s="86"/>
      <c r="E611" s="86"/>
      <c r="F611" s="86"/>
      <c r="G611" s="86"/>
      <c r="H611" s="86"/>
    </row>
    <row r="612" spans="1:8" ht="15.75">
      <c r="A612" s="19"/>
      <c r="D612" s="86"/>
      <c r="E612" s="86"/>
      <c r="F612" s="86"/>
      <c r="G612" s="86"/>
      <c r="H612" s="86"/>
    </row>
    <row r="613" spans="1:8" ht="15.75">
      <c r="A613" s="19"/>
      <c r="D613" s="86"/>
      <c r="E613" s="86"/>
      <c r="F613" s="86"/>
      <c r="G613" s="86"/>
      <c r="H613" s="86"/>
    </row>
    <row r="614" spans="1:8" ht="15.75">
      <c r="A614" s="19"/>
      <c r="D614" s="86"/>
      <c r="E614" s="86"/>
      <c r="F614" s="86"/>
      <c r="G614" s="86"/>
      <c r="H614" s="86"/>
    </row>
    <row r="615" spans="1:8" ht="15.75">
      <c r="A615" s="19"/>
      <c r="D615" s="86"/>
      <c r="E615" s="86"/>
      <c r="F615" s="86"/>
      <c r="G615" s="86"/>
      <c r="H615" s="86"/>
    </row>
    <row r="616" spans="1:8" ht="15.75">
      <c r="A616" s="19"/>
      <c r="D616" s="86"/>
      <c r="E616" s="86"/>
      <c r="F616" s="86"/>
      <c r="G616" s="86"/>
      <c r="H616" s="86"/>
    </row>
    <row r="617" spans="1:8" ht="15.75">
      <c r="A617" s="19"/>
      <c r="D617" s="86"/>
      <c r="E617" s="86"/>
      <c r="F617" s="86"/>
      <c r="G617" s="86"/>
      <c r="H617" s="86"/>
    </row>
    <row r="618" spans="1:8" ht="15.75">
      <c r="A618" s="19"/>
      <c r="D618" s="86"/>
      <c r="E618" s="86"/>
      <c r="F618" s="86"/>
      <c r="G618" s="86"/>
      <c r="H618" s="86"/>
    </row>
    <row r="619" spans="1:8" ht="15.75">
      <c r="A619" s="19"/>
      <c r="D619" s="86"/>
      <c r="E619" s="86"/>
      <c r="F619" s="86"/>
      <c r="G619" s="86"/>
      <c r="H619" s="86"/>
    </row>
    <row r="620" spans="1:8" ht="15.75">
      <c r="A620" s="19"/>
      <c r="D620" s="86"/>
      <c r="E620" s="86"/>
      <c r="F620" s="86"/>
      <c r="G620" s="86"/>
      <c r="H620" s="86"/>
    </row>
    <row r="621" spans="1:8" ht="15.75">
      <c r="A621" s="19"/>
      <c r="D621" s="86"/>
      <c r="E621" s="86"/>
      <c r="F621" s="86"/>
      <c r="G621" s="86"/>
      <c r="H621" s="86"/>
    </row>
    <row r="622" spans="1:8" ht="15.75">
      <c r="A622" s="19"/>
      <c r="D622" s="86"/>
      <c r="E622" s="86"/>
      <c r="F622" s="86"/>
      <c r="G622" s="86"/>
      <c r="H622" s="86"/>
    </row>
    <row r="623" spans="1:8" ht="15.75">
      <c r="A623" s="19"/>
      <c r="D623" s="86"/>
      <c r="E623" s="86"/>
      <c r="F623" s="86"/>
      <c r="G623" s="86"/>
      <c r="H623" s="86"/>
    </row>
    <row r="624" spans="1:8" ht="15.75">
      <c r="A624" s="19"/>
      <c r="D624" s="86"/>
      <c r="E624" s="86"/>
      <c r="F624" s="86"/>
      <c r="G624" s="86"/>
      <c r="H624" s="86"/>
    </row>
    <row r="625" spans="1:8" ht="15.75">
      <c r="A625" s="19"/>
      <c r="D625" s="86"/>
      <c r="E625" s="86"/>
      <c r="F625" s="86"/>
      <c r="G625" s="86"/>
      <c r="H625" s="86"/>
    </row>
    <row r="626" spans="1:8" ht="15.75">
      <c r="A626" s="19"/>
      <c r="D626" s="86"/>
      <c r="E626" s="86"/>
      <c r="F626" s="86"/>
      <c r="G626" s="86"/>
      <c r="H626" s="86"/>
    </row>
    <row r="627" spans="1:8" ht="15.75">
      <c r="A627" s="19"/>
      <c r="D627" s="86"/>
      <c r="E627" s="86"/>
      <c r="F627" s="86"/>
      <c r="G627" s="86"/>
      <c r="H627" s="86"/>
    </row>
    <row r="628" spans="1:8" ht="15.75">
      <c r="A628" s="19"/>
      <c r="D628" s="86"/>
      <c r="E628" s="86"/>
      <c r="F628" s="86"/>
      <c r="G628" s="86"/>
      <c r="H628" s="86"/>
    </row>
    <row r="629" spans="1:8" ht="15.75">
      <c r="A629" s="19"/>
      <c r="D629" s="86"/>
      <c r="E629" s="86"/>
      <c r="F629" s="86"/>
      <c r="G629" s="86"/>
      <c r="H629" s="86"/>
    </row>
    <row r="630" spans="1:8" ht="15.75">
      <c r="A630" s="19"/>
      <c r="D630" s="86"/>
      <c r="E630" s="86"/>
      <c r="F630" s="86"/>
      <c r="G630" s="86"/>
      <c r="H630" s="86"/>
    </row>
    <row r="631" spans="1:8" ht="15.75">
      <c r="A631" s="19"/>
      <c r="D631" s="86"/>
      <c r="E631" s="86"/>
      <c r="F631" s="86"/>
      <c r="G631" s="86"/>
      <c r="H631" s="86"/>
    </row>
    <row r="632" spans="1:8" ht="15.75">
      <c r="A632" s="19"/>
      <c r="D632" s="86"/>
      <c r="E632" s="86"/>
      <c r="F632" s="86"/>
      <c r="G632" s="86"/>
      <c r="H632" s="86"/>
    </row>
    <row r="633" spans="1:8" ht="15.75">
      <c r="A633" s="19"/>
      <c r="D633" s="86"/>
      <c r="E633" s="86"/>
      <c r="F633" s="86"/>
      <c r="G633" s="86"/>
      <c r="H633" s="86"/>
    </row>
    <row r="634" spans="1:8" ht="15.75">
      <c r="A634" s="19"/>
      <c r="D634" s="86"/>
      <c r="E634" s="86"/>
      <c r="F634" s="86"/>
      <c r="G634" s="86"/>
      <c r="H634" s="86"/>
    </row>
    <row r="635" spans="1:8" ht="15.75">
      <c r="A635" s="19"/>
      <c r="D635" s="86"/>
      <c r="E635" s="86"/>
      <c r="F635" s="86"/>
      <c r="G635" s="86"/>
      <c r="H635" s="86"/>
    </row>
    <row r="636" spans="1:8" ht="15.75">
      <c r="A636" s="19"/>
      <c r="D636" s="86"/>
      <c r="E636" s="86"/>
      <c r="F636" s="86"/>
      <c r="G636" s="86"/>
      <c r="H636" s="86"/>
    </row>
    <row r="637" spans="1:8" ht="15.75">
      <c r="A637" s="19"/>
      <c r="D637" s="86"/>
      <c r="E637" s="86"/>
      <c r="F637" s="86"/>
      <c r="G637" s="86"/>
      <c r="H637" s="86"/>
    </row>
    <row r="638" spans="1:8" ht="15.75">
      <c r="A638" s="19"/>
      <c r="D638" s="86"/>
      <c r="E638" s="86"/>
      <c r="F638" s="86"/>
      <c r="G638" s="86"/>
      <c r="H638" s="86"/>
    </row>
    <row r="639" spans="1:8" ht="15.75">
      <c r="A639" s="19"/>
      <c r="D639" s="86"/>
      <c r="E639" s="86"/>
      <c r="F639" s="86"/>
      <c r="G639" s="86"/>
      <c r="H639" s="86"/>
    </row>
    <row r="640" spans="1:8" ht="15.75">
      <c r="A640" s="19"/>
      <c r="D640" s="86"/>
      <c r="E640" s="86"/>
      <c r="F640" s="86"/>
      <c r="G640" s="86"/>
      <c r="H640" s="86"/>
    </row>
    <row r="641" spans="1:8" ht="15.75">
      <c r="A641" s="19"/>
      <c r="D641" s="86"/>
      <c r="E641" s="86"/>
      <c r="F641" s="86"/>
      <c r="G641" s="86"/>
      <c r="H641" s="86"/>
    </row>
    <row r="642" spans="1:8" ht="15.75">
      <c r="A642" s="19"/>
      <c r="D642" s="86"/>
      <c r="E642" s="86"/>
      <c r="F642" s="86"/>
      <c r="G642" s="86"/>
      <c r="H642" s="86"/>
    </row>
    <row r="643" spans="1:8" ht="15.75">
      <c r="A643" s="19"/>
      <c r="D643" s="86"/>
      <c r="E643" s="86"/>
      <c r="F643" s="86"/>
      <c r="G643" s="86"/>
      <c r="H643" s="86"/>
    </row>
    <row r="644" spans="1:8" ht="15.75">
      <c r="A644" s="19"/>
      <c r="D644" s="86"/>
      <c r="E644" s="86"/>
      <c r="F644" s="86"/>
      <c r="G644" s="86"/>
      <c r="H644" s="86"/>
    </row>
    <row r="645" spans="1:8" ht="15.75">
      <c r="A645" s="19"/>
      <c r="D645" s="86"/>
      <c r="E645" s="86"/>
      <c r="F645" s="86"/>
      <c r="G645" s="86"/>
      <c r="H645" s="86"/>
    </row>
    <row r="646" spans="1:8" ht="15.75">
      <c r="A646" s="19"/>
      <c r="D646" s="86"/>
      <c r="E646" s="86"/>
      <c r="F646" s="86"/>
      <c r="G646" s="86"/>
      <c r="H646" s="86"/>
    </row>
    <row r="647" spans="1:8" ht="15.75">
      <c r="A647" s="19"/>
      <c r="D647" s="86"/>
      <c r="E647" s="86"/>
      <c r="F647" s="86"/>
      <c r="G647" s="86"/>
      <c r="H647" s="86"/>
    </row>
    <row r="648" spans="1:8" ht="15.75">
      <c r="A648" s="19"/>
      <c r="D648" s="86"/>
      <c r="E648" s="86"/>
      <c r="F648" s="86"/>
      <c r="G648" s="86"/>
      <c r="H648" s="86"/>
    </row>
    <row r="649" spans="1:8" ht="15.75">
      <c r="A649" s="19"/>
      <c r="D649" s="86"/>
      <c r="E649" s="86"/>
      <c r="F649" s="86"/>
      <c r="G649" s="86"/>
      <c r="H649" s="86"/>
    </row>
    <row r="650" spans="1:8" ht="15.75">
      <c r="A650" s="19"/>
      <c r="D650" s="86"/>
      <c r="E650" s="86"/>
      <c r="F650" s="86"/>
      <c r="G650" s="86"/>
      <c r="H650" s="86"/>
    </row>
    <row r="651" spans="1:8" ht="15.75">
      <c r="A651" s="19"/>
      <c r="D651" s="86"/>
      <c r="E651" s="86"/>
      <c r="F651" s="86"/>
      <c r="G651" s="86"/>
      <c r="H651" s="86"/>
    </row>
    <row r="652" spans="1:8" ht="15.75">
      <c r="A652" s="19"/>
      <c r="D652" s="86"/>
      <c r="E652" s="86"/>
      <c r="F652" s="86"/>
      <c r="G652" s="86"/>
      <c r="H652" s="86"/>
    </row>
    <row r="653" spans="1:8" ht="15.75">
      <c r="A653" s="19"/>
      <c r="D653" s="86"/>
      <c r="E653" s="86"/>
      <c r="F653" s="86"/>
      <c r="G653" s="86"/>
      <c r="H653" s="86"/>
    </row>
    <row r="654" spans="1:8" ht="15.75">
      <c r="A654" s="19"/>
      <c r="D654" s="86"/>
      <c r="E654" s="86"/>
      <c r="F654" s="86"/>
      <c r="G654" s="86"/>
      <c r="H654" s="86"/>
    </row>
    <row r="655" spans="1:8" ht="15.75">
      <c r="A655" s="19"/>
      <c r="D655" s="86"/>
      <c r="E655" s="86"/>
      <c r="F655" s="86"/>
      <c r="G655" s="86"/>
      <c r="H655" s="86"/>
    </row>
    <row r="656" spans="1:8" ht="15.75">
      <c r="A656" s="19"/>
      <c r="D656" s="86"/>
      <c r="E656" s="86"/>
      <c r="F656" s="86"/>
      <c r="G656" s="86"/>
      <c r="H656" s="86"/>
    </row>
    <row r="657" spans="1:8" ht="15.75">
      <c r="A657" s="19"/>
      <c r="D657" s="86"/>
      <c r="E657" s="86"/>
      <c r="F657" s="86"/>
      <c r="G657" s="86"/>
      <c r="H657" s="86"/>
    </row>
    <row r="658" spans="1:8" ht="15.75">
      <c r="A658" s="19"/>
      <c r="D658" s="86"/>
      <c r="E658" s="86"/>
      <c r="F658" s="86"/>
      <c r="G658" s="86"/>
      <c r="H658" s="86"/>
    </row>
    <row r="659" spans="1:8" ht="15.75">
      <c r="A659" s="19"/>
      <c r="D659" s="86"/>
      <c r="E659" s="86"/>
      <c r="F659" s="86"/>
      <c r="G659" s="86"/>
      <c r="H659" s="86"/>
    </row>
    <row r="660" spans="1:8" ht="15.75">
      <c r="A660" s="19"/>
      <c r="D660" s="86"/>
      <c r="E660" s="86"/>
      <c r="F660" s="86"/>
      <c r="G660" s="86"/>
      <c r="H660" s="86"/>
    </row>
    <row r="661" spans="1:8" ht="15.75">
      <c r="A661" s="19"/>
      <c r="D661" s="86"/>
      <c r="E661" s="86"/>
      <c r="F661" s="86"/>
      <c r="G661" s="86"/>
      <c r="H661" s="86"/>
    </row>
    <row r="662" spans="1:8" ht="15.75">
      <c r="A662" s="19"/>
      <c r="D662" s="86"/>
      <c r="E662" s="86"/>
      <c r="F662" s="86"/>
      <c r="G662" s="86"/>
      <c r="H662" s="86"/>
    </row>
    <row r="663" spans="1:8" ht="15.75">
      <c r="A663" s="19"/>
      <c r="D663" s="86"/>
      <c r="E663" s="86"/>
      <c r="F663" s="86"/>
      <c r="G663" s="86"/>
      <c r="H663" s="86"/>
    </row>
    <row r="664" spans="1:8" ht="15.75">
      <c r="A664" s="19"/>
      <c r="D664" s="86"/>
      <c r="E664" s="86"/>
      <c r="F664" s="86"/>
      <c r="G664" s="86"/>
      <c r="H664" s="86"/>
    </row>
    <row r="665" spans="1:8" ht="15.75">
      <c r="A665" s="19"/>
      <c r="D665" s="86"/>
      <c r="E665" s="86"/>
      <c r="F665" s="86"/>
      <c r="G665" s="86"/>
      <c r="H665" s="86"/>
    </row>
    <row r="666" spans="1:8" ht="15.75">
      <c r="A666" s="19"/>
      <c r="D666" s="86"/>
      <c r="E666" s="86"/>
      <c r="F666" s="86"/>
      <c r="G666" s="86"/>
      <c r="H666" s="86"/>
    </row>
    <row r="667" spans="1:8" ht="15.75">
      <c r="A667" s="19"/>
      <c r="D667" s="86"/>
      <c r="E667" s="86"/>
      <c r="F667" s="86"/>
      <c r="G667" s="86"/>
      <c r="H667" s="86"/>
    </row>
    <row r="668" spans="1:8" ht="15.75">
      <c r="A668" s="19"/>
      <c r="D668" s="86"/>
      <c r="E668" s="86"/>
      <c r="F668" s="86"/>
      <c r="G668" s="86"/>
      <c r="H668" s="86"/>
    </row>
    <row r="669" spans="1:8" ht="15.75">
      <c r="A669" s="19"/>
      <c r="D669" s="86"/>
      <c r="E669" s="86"/>
      <c r="F669" s="86"/>
      <c r="G669" s="86"/>
      <c r="H669" s="86"/>
    </row>
    <row r="670" spans="1:8" ht="15.75">
      <c r="A670" s="19"/>
      <c r="D670" s="86"/>
      <c r="E670" s="86"/>
      <c r="F670" s="86"/>
      <c r="G670" s="86"/>
      <c r="H670" s="86"/>
    </row>
    <row r="671" spans="1:8" ht="15.75">
      <c r="A671" s="19"/>
      <c r="D671" s="86"/>
      <c r="E671" s="86"/>
      <c r="F671" s="86"/>
      <c r="G671" s="86"/>
      <c r="H671" s="86"/>
    </row>
    <row r="672" spans="1:8" ht="15.75">
      <c r="A672" s="19"/>
      <c r="D672" s="86"/>
      <c r="E672" s="86"/>
      <c r="F672" s="86"/>
      <c r="G672" s="86"/>
      <c r="H672" s="86"/>
    </row>
    <row r="673" spans="1:8" ht="15.75">
      <c r="A673" s="19"/>
      <c r="D673" s="86"/>
      <c r="E673" s="86"/>
      <c r="F673" s="86"/>
      <c r="G673" s="86"/>
      <c r="H673" s="86"/>
    </row>
    <row r="674" spans="1:8" ht="15.75">
      <c r="A674" s="19"/>
      <c r="D674" s="86"/>
      <c r="E674" s="86"/>
      <c r="F674" s="86"/>
      <c r="G674" s="86"/>
      <c r="H674" s="86"/>
    </row>
    <row r="675" spans="1:8" ht="15.75">
      <c r="A675" s="19"/>
      <c r="D675" s="86"/>
      <c r="E675" s="86"/>
      <c r="F675" s="86"/>
      <c r="G675" s="86"/>
      <c r="H675" s="86"/>
    </row>
    <row r="676" spans="1:8" ht="15.75">
      <c r="A676" s="19"/>
      <c r="D676" s="86"/>
      <c r="E676" s="86"/>
      <c r="F676" s="86"/>
      <c r="G676" s="86"/>
      <c r="H676" s="86"/>
    </row>
    <row r="677" spans="1:8" ht="15.75">
      <c r="A677" s="19"/>
      <c r="D677" s="86"/>
      <c r="E677" s="86"/>
      <c r="F677" s="86"/>
      <c r="G677" s="86"/>
      <c r="H677" s="86"/>
    </row>
    <row r="678" spans="1:8" ht="15.75">
      <c r="A678" s="19"/>
      <c r="D678" s="86"/>
      <c r="E678" s="86"/>
      <c r="F678" s="86"/>
      <c r="G678" s="86"/>
      <c r="H678" s="86"/>
    </row>
    <row r="679" spans="1:8" ht="15.75">
      <c r="A679" s="19"/>
      <c r="D679" s="86"/>
      <c r="E679" s="86"/>
      <c r="F679" s="86"/>
      <c r="G679" s="86"/>
      <c r="H679" s="86"/>
    </row>
    <row r="680" spans="1:8" ht="15.75">
      <c r="A680" s="19"/>
      <c r="D680" s="86"/>
      <c r="E680" s="86"/>
      <c r="F680" s="86"/>
      <c r="G680" s="86"/>
      <c r="H680" s="86"/>
    </row>
    <row r="681" spans="1:8" ht="15.75">
      <c r="A681" s="19"/>
      <c r="D681" s="86"/>
      <c r="E681" s="86"/>
      <c r="F681" s="86"/>
      <c r="G681" s="86"/>
      <c r="H681" s="86"/>
    </row>
    <row r="682" spans="1:8" ht="15.75">
      <c r="A682" s="19"/>
      <c r="D682" s="86"/>
      <c r="E682" s="86"/>
      <c r="F682" s="86"/>
      <c r="G682" s="86"/>
      <c r="H682" s="86"/>
    </row>
    <row r="683" spans="1:8" ht="15.75">
      <c r="A683" s="19"/>
      <c r="D683" s="86"/>
      <c r="E683" s="86"/>
      <c r="F683" s="86"/>
      <c r="G683" s="86"/>
      <c r="H683" s="86"/>
    </row>
    <row r="684" spans="1:8" ht="15.75">
      <c r="A684" s="19"/>
      <c r="D684" s="86"/>
      <c r="E684" s="86"/>
      <c r="F684" s="86"/>
      <c r="G684" s="86"/>
      <c r="H684" s="86"/>
    </row>
    <row r="685" spans="1:8" ht="15.75">
      <c r="A685" s="19"/>
      <c r="D685" s="86"/>
      <c r="E685" s="86"/>
      <c r="F685" s="86"/>
      <c r="G685" s="86"/>
      <c r="H685" s="86"/>
    </row>
    <row r="686" spans="1:8" ht="15.75">
      <c r="A686" s="19"/>
      <c r="D686" s="86"/>
      <c r="E686" s="86"/>
      <c r="F686" s="86"/>
      <c r="G686" s="86"/>
      <c r="H686" s="86"/>
    </row>
    <row r="687" spans="1:8" ht="15.75">
      <c r="A687" s="19"/>
      <c r="D687" s="86"/>
      <c r="E687" s="86"/>
      <c r="F687" s="86"/>
      <c r="G687" s="86"/>
      <c r="H687" s="86"/>
    </row>
    <row r="688" spans="1:8" ht="15.75">
      <c r="A688" s="19"/>
      <c r="D688" s="86"/>
      <c r="E688" s="86"/>
      <c r="F688" s="86"/>
      <c r="G688" s="86"/>
      <c r="H688" s="86"/>
    </row>
    <row r="689" spans="1:8" ht="15.75">
      <c r="A689" s="19"/>
      <c r="D689" s="86"/>
      <c r="E689" s="86"/>
      <c r="F689" s="86"/>
      <c r="G689" s="86"/>
      <c r="H689" s="86"/>
    </row>
    <row r="690" spans="1:8" ht="15.75">
      <c r="A690" s="19"/>
      <c r="D690" s="86"/>
      <c r="E690" s="86"/>
      <c r="F690" s="86"/>
      <c r="G690" s="86"/>
      <c r="H690" s="86"/>
    </row>
    <row r="691" spans="1:8" ht="15.75">
      <c r="A691" s="19"/>
      <c r="D691" s="86"/>
      <c r="E691" s="86"/>
      <c r="F691" s="86"/>
      <c r="G691" s="86"/>
      <c r="H691" s="86"/>
    </row>
    <row r="692" spans="1:8" ht="15.75">
      <c r="A692" s="19"/>
      <c r="D692" s="86"/>
      <c r="E692" s="86"/>
      <c r="F692" s="86"/>
      <c r="G692" s="86"/>
      <c r="H692" s="86"/>
    </row>
    <row r="693" spans="1:8" ht="15.75">
      <c r="A693" s="19"/>
      <c r="D693" s="86"/>
      <c r="E693" s="86"/>
      <c r="F693" s="86"/>
      <c r="G693" s="86"/>
      <c r="H693" s="86"/>
    </row>
    <row r="694" spans="1:8" ht="15.75">
      <c r="A694" s="19"/>
      <c r="D694" s="86"/>
      <c r="E694" s="86"/>
      <c r="F694" s="86"/>
      <c r="G694" s="86"/>
      <c r="H694" s="86"/>
    </row>
    <row r="695" spans="1:8" ht="15.75">
      <c r="A695" s="19"/>
      <c r="D695" s="86"/>
      <c r="E695" s="86"/>
      <c r="F695" s="86"/>
      <c r="G695" s="86"/>
      <c r="H695" s="86"/>
    </row>
    <row r="696" spans="1:8" ht="15.75">
      <c r="A696" s="19"/>
      <c r="D696" s="86"/>
      <c r="E696" s="86"/>
      <c r="F696" s="86"/>
      <c r="G696" s="86"/>
      <c r="H696" s="86"/>
    </row>
    <row r="697" spans="1:8" ht="15.75">
      <c r="A697" s="19"/>
      <c r="D697" s="86"/>
      <c r="E697" s="86"/>
      <c r="F697" s="86"/>
      <c r="G697" s="86"/>
      <c r="H697" s="86"/>
    </row>
    <row r="698" spans="1:8" ht="15.75">
      <c r="A698" s="19"/>
      <c r="D698" s="86"/>
      <c r="E698" s="86"/>
      <c r="F698" s="86"/>
      <c r="G698" s="86"/>
      <c r="H698" s="86"/>
    </row>
    <row r="699" spans="1:8" ht="15.75">
      <c r="A699" s="19"/>
      <c r="D699" s="86"/>
      <c r="E699" s="86"/>
      <c r="F699" s="86"/>
      <c r="G699" s="86"/>
      <c r="H699" s="86"/>
    </row>
    <row r="700" spans="1:8" ht="15.75">
      <c r="A700" s="19"/>
      <c r="D700" s="86"/>
      <c r="E700" s="86"/>
      <c r="F700" s="86"/>
      <c r="G700" s="86"/>
      <c r="H700" s="86"/>
    </row>
    <row r="701" spans="1:8" ht="15.75">
      <c r="A701" s="19"/>
      <c r="D701" s="86"/>
      <c r="E701" s="86"/>
      <c r="F701" s="86"/>
      <c r="G701" s="86"/>
      <c r="H701" s="86"/>
    </row>
    <row r="702" spans="1:8" ht="15.75">
      <c r="A702" s="19"/>
      <c r="D702" s="86"/>
      <c r="E702" s="86"/>
      <c r="F702" s="86"/>
      <c r="G702" s="86"/>
      <c r="H702" s="86"/>
    </row>
    <row r="703" spans="1:8" ht="15.75">
      <c r="A703" s="19"/>
      <c r="D703" s="86"/>
      <c r="E703" s="86"/>
      <c r="F703" s="86"/>
      <c r="G703" s="86"/>
      <c r="H703" s="86"/>
    </row>
    <row r="704" spans="1:8" ht="15.75">
      <c r="A704" s="19"/>
      <c r="D704" s="86"/>
      <c r="E704" s="86"/>
      <c r="F704" s="86"/>
      <c r="G704" s="86"/>
      <c r="H704" s="86"/>
    </row>
    <row r="705" spans="1:8" ht="15.75">
      <c r="A705" s="19"/>
      <c r="D705" s="86"/>
      <c r="E705" s="86"/>
      <c r="F705" s="86"/>
      <c r="G705" s="86"/>
      <c r="H705" s="86"/>
    </row>
    <row r="706" spans="1:8" ht="15.75">
      <c r="A706" s="19"/>
      <c r="D706" s="86"/>
      <c r="E706" s="86"/>
      <c r="F706" s="86"/>
      <c r="G706" s="86"/>
      <c r="H706" s="86"/>
    </row>
    <row r="707" spans="1:8" ht="15.75">
      <c r="A707" s="19"/>
      <c r="D707" s="86"/>
      <c r="E707" s="86"/>
      <c r="F707" s="86"/>
      <c r="G707" s="86"/>
      <c r="H707" s="86"/>
    </row>
    <row r="708" spans="1:8" ht="15.75">
      <c r="A708" s="19"/>
      <c r="D708" s="86"/>
      <c r="E708" s="86"/>
      <c r="F708" s="86"/>
      <c r="G708" s="86"/>
      <c r="H708" s="86"/>
    </row>
    <row r="709" spans="1:8" ht="15.75">
      <c r="A709" s="19"/>
      <c r="D709" s="86"/>
      <c r="E709" s="86"/>
      <c r="F709" s="86"/>
      <c r="G709" s="86"/>
      <c r="H709" s="86"/>
    </row>
    <row r="710" spans="1:8" ht="15.75">
      <c r="A710" s="19"/>
      <c r="D710" s="86"/>
      <c r="E710" s="86"/>
      <c r="F710" s="86"/>
      <c r="G710" s="86"/>
      <c r="H710" s="86"/>
    </row>
    <row r="711" spans="1:8" ht="15.75">
      <c r="A711" s="19"/>
      <c r="D711" s="86"/>
      <c r="E711" s="86"/>
      <c r="F711" s="86"/>
      <c r="G711" s="86"/>
      <c r="H711" s="86"/>
    </row>
    <row r="712" spans="1:8" ht="15.75">
      <c r="A712" s="19"/>
      <c r="D712" s="86"/>
      <c r="E712" s="86"/>
      <c r="F712" s="86"/>
      <c r="G712" s="86"/>
      <c r="H712" s="86"/>
    </row>
    <row r="713" spans="1:8" ht="15.75">
      <c r="A713" s="19"/>
      <c r="D713" s="86"/>
      <c r="E713" s="86"/>
      <c r="F713" s="86"/>
      <c r="G713" s="86"/>
      <c r="H713" s="86"/>
    </row>
    <row r="714" spans="1:8" ht="15.75">
      <c r="A714" s="19"/>
      <c r="D714" s="86"/>
      <c r="E714" s="86"/>
      <c r="F714" s="86"/>
      <c r="G714" s="86"/>
      <c r="H714" s="86"/>
    </row>
    <row r="715" spans="1:8" ht="15.75">
      <c r="A715" s="19"/>
      <c r="D715" s="86"/>
      <c r="E715" s="86"/>
      <c r="F715" s="86"/>
      <c r="G715" s="86"/>
      <c r="H715" s="86"/>
    </row>
    <row r="716" spans="1:8" ht="15.75">
      <c r="A716" s="19"/>
      <c r="D716" s="86"/>
      <c r="E716" s="86"/>
      <c r="F716" s="86"/>
      <c r="G716" s="86"/>
      <c r="H716" s="86"/>
    </row>
    <row r="717" spans="1:8" ht="15.75">
      <c r="A717" s="19"/>
      <c r="D717" s="86"/>
      <c r="E717" s="86"/>
      <c r="F717" s="86"/>
      <c r="G717" s="86"/>
      <c r="H717" s="86"/>
    </row>
    <row r="718" spans="1:8" ht="15.75">
      <c r="A718" s="19"/>
      <c r="D718" s="86"/>
      <c r="E718" s="86"/>
      <c r="F718" s="86"/>
      <c r="G718" s="86"/>
      <c r="H718" s="86"/>
    </row>
    <row r="719" spans="1:8" ht="15.75">
      <c r="A719" s="19"/>
      <c r="D719" s="86"/>
      <c r="E719" s="86"/>
      <c r="F719" s="86"/>
      <c r="G719" s="86"/>
      <c r="H719" s="86"/>
    </row>
    <row r="720" spans="1:8" ht="15.75">
      <c r="A720" s="19"/>
      <c r="D720" s="86"/>
      <c r="E720" s="86"/>
      <c r="F720" s="86"/>
      <c r="G720" s="86"/>
      <c r="H720" s="86"/>
    </row>
    <row r="721" spans="1:8" ht="15.75">
      <c r="A721" s="19"/>
      <c r="D721" s="86"/>
      <c r="E721" s="86"/>
      <c r="F721" s="86"/>
      <c r="G721" s="86"/>
      <c r="H721" s="86"/>
    </row>
    <row r="722" spans="1:8" ht="15.75">
      <c r="A722" s="19"/>
      <c r="D722" s="86"/>
      <c r="E722" s="86"/>
      <c r="F722" s="86"/>
      <c r="G722" s="86"/>
      <c r="H722" s="86"/>
    </row>
    <row r="723" spans="1:8" ht="15.75">
      <c r="A723" s="19"/>
      <c r="D723" s="86"/>
      <c r="E723" s="86"/>
      <c r="F723" s="86"/>
      <c r="G723" s="86"/>
      <c r="H723" s="86"/>
    </row>
    <row r="724" spans="1:8" ht="15.75">
      <c r="A724" s="19"/>
      <c r="D724" s="86"/>
      <c r="E724" s="86"/>
      <c r="F724" s="86"/>
      <c r="G724" s="86"/>
      <c r="H724" s="86"/>
    </row>
    <row r="725" spans="1:8" ht="15.75">
      <c r="A725" s="19"/>
      <c r="D725" s="86"/>
      <c r="E725" s="86"/>
      <c r="F725" s="86"/>
      <c r="G725" s="86"/>
      <c r="H725" s="86"/>
    </row>
    <row r="726" spans="1:8" ht="15.75">
      <c r="A726" s="19"/>
      <c r="D726" s="86"/>
      <c r="E726" s="86"/>
      <c r="F726" s="86"/>
      <c r="G726" s="86"/>
      <c r="H726" s="86"/>
    </row>
    <row r="727" spans="1:8" ht="15.75">
      <c r="A727" s="19"/>
      <c r="D727" s="86"/>
      <c r="E727" s="86"/>
      <c r="F727" s="86"/>
      <c r="G727" s="86"/>
      <c r="H727" s="86"/>
    </row>
    <row r="728" spans="1:8" ht="15.75">
      <c r="A728" s="19"/>
      <c r="D728" s="86"/>
      <c r="E728" s="86"/>
      <c r="F728" s="86"/>
      <c r="G728" s="86"/>
      <c r="H728" s="86"/>
    </row>
    <row r="729" spans="1:8" ht="15.75">
      <c r="A729" s="19"/>
      <c r="D729" s="86"/>
      <c r="E729" s="86"/>
      <c r="F729" s="86"/>
      <c r="G729" s="86"/>
      <c r="H729" s="86"/>
    </row>
    <row r="730" spans="1:8" ht="15.75">
      <c r="A730" s="19"/>
      <c r="D730" s="86"/>
      <c r="E730" s="86"/>
      <c r="F730" s="86"/>
      <c r="G730" s="86"/>
      <c r="H730" s="86"/>
    </row>
    <row r="731" spans="1:8" ht="15.75">
      <c r="A731" s="19"/>
      <c r="D731" s="86"/>
      <c r="E731" s="86"/>
      <c r="F731" s="86"/>
      <c r="G731" s="86"/>
      <c r="H731" s="86"/>
    </row>
    <row r="732" spans="1:8" ht="15.75">
      <c r="A732" s="19"/>
      <c r="D732" s="86"/>
      <c r="E732" s="86"/>
      <c r="F732" s="86"/>
      <c r="G732" s="86"/>
      <c r="H732" s="86"/>
    </row>
    <row r="733" spans="1:8" ht="15.75">
      <c r="A733" s="19"/>
      <c r="D733" s="86"/>
      <c r="E733" s="86"/>
      <c r="F733" s="86"/>
      <c r="G733" s="86"/>
      <c r="H733" s="86"/>
    </row>
    <row r="734" spans="1:8" ht="15.75">
      <c r="A734" s="19"/>
      <c r="D734" s="86"/>
      <c r="E734" s="86"/>
      <c r="F734" s="86"/>
      <c r="G734" s="86"/>
      <c r="H734" s="86"/>
    </row>
    <row r="735" spans="1:8" ht="15.75">
      <c r="A735" s="19"/>
      <c r="D735" s="86"/>
      <c r="E735" s="86"/>
      <c r="F735" s="86"/>
      <c r="G735" s="86"/>
      <c r="H735" s="86"/>
    </row>
    <row r="736" spans="1:8" ht="15.75">
      <c r="A736" s="19"/>
      <c r="D736" s="86"/>
      <c r="E736" s="86"/>
      <c r="F736" s="86"/>
      <c r="G736" s="86"/>
      <c r="H736" s="86"/>
    </row>
    <row r="737" spans="1:8" ht="15.75">
      <c r="A737" s="19"/>
      <c r="D737" s="86"/>
      <c r="E737" s="86"/>
      <c r="F737" s="86"/>
      <c r="G737" s="86"/>
      <c r="H737" s="86"/>
    </row>
    <row r="738" spans="1:8" ht="15.75">
      <c r="A738" s="19"/>
      <c r="D738" s="86"/>
      <c r="E738" s="86"/>
      <c r="F738" s="86"/>
      <c r="G738" s="86"/>
      <c r="H738" s="86"/>
    </row>
    <row r="739" spans="1:8" ht="15.75">
      <c r="A739" s="19"/>
      <c r="D739" s="86"/>
      <c r="E739" s="86"/>
      <c r="F739" s="86"/>
      <c r="G739" s="86"/>
      <c r="H739" s="86"/>
    </row>
    <row r="740" spans="1:8" ht="15.75">
      <c r="A740" s="19"/>
      <c r="D740" s="86"/>
      <c r="E740" s="86"/>
      <c r="F740" s="86"/>
      <c r="G740" s="86"/>
      <c r="H740" s="86"/>
    </row>
    <row r="741" spans="1:8" ht="15.75">
      <c r="A741" s="19"/>
      <c r="D741" s="86"/>
      <c r="E741" s="86"/>
      <c r="F741" s="86"/>
      <c r="G741" s="86"/>
      <c r="H741" s="86"/>
    </row>
    <row r="742" spans="1:8" ht="15.75">
      <c r="A742" s="19"/>
      <c r="D742" s="86"/>
      <c r="E742" s="86"/>
      <c r="F742" s="86"/>
      <c r="G742" s="86"/>
      <c r="H742" s="86"/>
    </row>
    <row r="743" spans="1:8" ht="15.75">
      <c r="A743" s="19"/>
      <c r="D743" s="86"/>
      <c r="E743" s="86"/>
      <c r="F743" s="86"/>
      <c r="G743" s="86"/>
      <c r="H743" s="86"/>
    </row>
    <row r="744" spans="1:8" ht="15.75">
      <c r="A744" s="19"/>
      <c r="D744" s="86"/>
      <c r="E744" s="86"/>
      <c r="F744" s="86"/>
      <c r="G744" s="86"/>
      <c r="H744" s="86"/>
    </row>
    <row r="745" spans="1:8" ht="15.75">
      <c r="A745" s="19"/>
      <c r="D745" s="86"/>
      <c r="E745" s="86"/>
      <c r="F745" s="86"/>
      <c r="G745" s="86"/>
      <c r="H745" s="86"/>
    </row>
    <row r="746" spans="1:8" ht="15.75">
      <c r="A746" s="19"/>
      <c r="D746" s="86"/>
      <c r="E746" s="86"/>
      <c r="F746" s="86"/>
      <c r="G746" s="86"/>
      <c r="H746" s="86"/>
    </row>
    <row r="747" spans="1:8" ht="15.75">
      <c r="A747" s="19"/>
      <c r="D747" s="86"/>
      <c r="E747" s="86"/>
      <c r="F747" s="86"/>
      <c r="G747" s="86"/>
      <c r="H747" s="86"/>
    </row>
    <row r="748" spans="1:8" ht="15.75">
      <c r="A748" s="19"/>
      <c r="D748" s="86"/>
      <c r="E748" s="86"/>
      <c r="F748" s="86"/>
      <c r="G748" s="86"/>
      <c r="H748" s="86"/>
    </row>
    <row r="749" spans="1:8" ht="15.75">
      <c r="A749" s="19"/>
      <c r="D749" s="86"/>
      <c r="E749" s="86"/>
      <c r="F749" s="86"/>
      <c r="G749" s="86"/>
      <c r="H749" s="86"/>
    </row>
    <row r="750" spans="1:8" ht="15.75">
      <c r="A750" s="19"/>
      <c r="D750" s="86"/>
      <c r="E750" s="86"/>
      <c r="F750" s="86"/>
      <c r="G750" s="86"/>
      <c r="H750" s="86"/>
    </row>
    <row r="751" spans="1:8" ht="15.75">
      <c r="A751" s="19"/>
      <c r="D751" s="86"/>
      <c r="E751" s="86"/>
      <c r="F751" s="86"/>
      <c r="G751" s="86"/>
      <c r="H751" s="86"/>
    </row>
    <row r="752" spans="1:8" ht="15.75">
      <c r="A752" s="19"/>
      <c r="D752" s="86"/>
      <c r="E752" s="86"/>
      <c r="F752" s="86"/>
      <c r="G752" s="86"/>
      <c r="H752" s="86"/>
    </row>
    <row r="753" spans="1:8" ht="15.75">
      <c r="A753" s="19"/>
      <c r="D753" s="86"/>
      <c r="E753" s="86"/>
      <c r="F753" s="86"/>
      <c r="G753" s="86"/>
      <c r="H753" s="86"/>
    </row>
    <row r="754" spans="1:8" ht="15.75">
      <c r="A754" s="19"/>
      <c r="D754" s="86"/>
      <c r="E754" s="86"/>
      <c r="F754" s="86"/>
      <c r="G754" s="86"/>
      <c r="H754" s="86"/>
    </row>
    <row r="755" spans="1:8" ht="15.75">
      <c r="A755" s="19"/>
      <c r="D755" s="86"/>
      <c r="E755" s="86"/>
      <c r="F755" s="86"/>
      <c r="G755" s="86"/>
      <c r="H755" s="86"/>
    </row>
    <row r="756" spans="1:8" ht="15.75">
      <c r="A756" s="19"/>
      <c r="D756" s="86"/>
      <c r="E756" s="86"/>
      <c r="F756" s="86"/>
      <c r="G756" s="86"/>
      <c r="H756" s="86"/>
    </row>
    <row r="757" spans="1:8" ht="15.75">
      <c r="A757" s="19"/>
      <c r="D757" s="86"/>
      <c r="E757" s="86"/>
      <c r="F757" s="86"/>
      <c r="G757" s="86"/>
      <c r="H757" s="86"/>
    </row>
    <row r="758" spans="1:8" ht="15.75">
      <c r="A758" s="19"/>
      <c r="D758" s="86"/>
      <c r="E758" s="86"/>
      <c r="F758" s="86"/>
      <c r="G758" s="86"/>
      <c r="H758" s="86"/>
    </row>
    <row r="759" spans="1:8" ht="15.75">
      <c r="A759" s="19"/>
      <c r="D759" s="86"/>
      <c r="E759" s="86"/>
      <c r="F759" s="86"/>
      <c r="G759" s="86"/>
      <c r="H759" s="86"/>
    </row>
    <row r="760" spans="1:8" ht="15.75">
      <c r="A760" s="19"/>
      <c r="D760" s="86"/>
      <c r="E760" s="86"/>
      <c r="F760" s="86"/>
      <c r="G760" s="86"/>
      <c r="H760" s="86"/>
    </row>
    <row r="761" spans="1:8" ht="15.75">
      <c r="A761" s="19"/>
      <c r="D761" s="86"/>
      <c r="E761" s="86"/>
      <c r="F761" s="86"/>
      <c r="G761" s="86"/>
      <c r="H761" s="86"/>
    </row>
    <row r="762" spans="1:8" ht="15.75">
      <c r="A762" s="19"/>
      <c r="D762" s="86"/>
      <c r="E762" s="86"/>
      <c r="F762" s="86"/>
      <c r="G762" s="86"/>
      <c r="H762" s="86"/>
    </row>
    <row r="763" spans="1:8" ht="15.75">
      <c r="A763" s="19"/>
      <c r="D763" s="86"/>
      <c r="E763" s="86"/>
      <c r="F763" s="86"/>
      <c r="G763" s="86"/>
      <c r="H763" s="86"/>
    </row>
    <row r="764" spans="1:8" ht="15.75">
      <c r="A764" s="19"/>
      <c r="D764" s="86"/>
      <c r="E764" s="86"/>
      <c r="F764" s="86"/>
      <c r="G764" s="86"/>
      <c r="H764" s="86"/>
    </row>
    <row r="765" spans="1:8" ht="15.75">
      <c r="A765" s="19"/>
      <c r="D765" s="86"/>
      <c r="E765" s="86"/>
      <c r="F765" s="86"/>
      <c r="G765" s="86"/>
      <c r="H765" s="86"/>
    </row>
    <row r="766" spans="1:8" ht="15.75">
      <c r="A766" s="19"/>
      <c r="D766" s="86"/>
      <c r="E766" s="86"/>
      <c r="F766" s="86"/>
      <c r="G766" s="86"/>
      <c r="H766" s="86"/>
    </row>
    <row r="767" spans="1:8" ht="15.75">
      <c r="A767" s="19"/>
      <c r="D767" s="86"/>
      <c r="E767" s="86"/>
      <c r="F767" s="86"/>
      <c r="G767" s="86"/>
      <c r="H767" s="86"/>
    </row>
    <row r="768" spans="1:8" ht="15.75">
      <c r="A768" s="19"/>
      <c r="D768" s="86"/>
      <c r="E768" s="86"/>
      <c r="F768" s="86"/>
      <c r="G768" s="86"/>
      <c r="H768" s="86"/>
    </row>
    <row r="769" spans="1:8" ht="15.75">
      <c r="A769" s="19"/>
      <c r="D769" s="86"/>
      <c r="E769" s="86"/>
      <c r="F769" s="86"/>
      <c r="G769" s="86"/>
      <c r="H769" s="86"/>
    </row>
    <row r="770" spans="1:8" ht="15.75">
      <c r="A770" s="19"/>
      <c r="D770" s="86"/>
      <c r="E770" s="86"/>
      <c r="F770" s="86"/>
      <c r="G770" s="86"/>
      <c r="H770" s="86"/>
    </row>
    <row r="771" spans="1:8" ht="15.75">
      <c r="A771" s="19"/>
      <c r="D771" s="86"/>
      <c r="E771" s="86"/>
      <c r="F771" s="86"/>
      <c r="G771" s="86"/>
      <c r="H771" s="86"/>
    </row>
    <row r="772" spans="1:8" ht="15.75">
      <c r="A772" s="19"/>
      <c r="D772" s="86"/>
      <c r="E772" s="86"/>
      <c r="F772" s="86"/>
      <c r="G772" s="86"/>
      <c r="H772" s="86"/>
    </row>
    <row r="773" spans="1:8" ht="15.75">
      <c r="A773" s="19"/>
      <c r="D773" s="86"/>
      <c r="E773" s="86"/>
      <c r="F773" s="86"/>
      <c r="G773" s="86"/>
      <c r="H773" s="86"/>
    </row>
    <row r="774" spans="1:8" ht="15.75">
      <c r="A774" s="19"/>
      <c r="D774" s="86"/>
      <c r="E774" s="86"/>
      <c r="F774" s="86"/>
      <c r="G774" s="86"/>
      <c r="H774" s="86"/>
    </row>
    <row r="775" spans="1:8" ht="15.75">
      <c r="A775" s="19"/>
      <c r="D775" s="86"/>
      <c r="E775" s="86"/>
      <c r="F775" s="86"/>
      <c r="G775" s="86"/>
      <c r="H775" s="86"/>
    </row>
    <row r="776" spans="1:8" ht="15.75">
      <c r="A776" s="19"/>
      <c r="D776" s="86"/>
      <c r="E776" s="86"/>
      <c r="F776" s="86"/>
      <c r="G776" s="86"/>
      <c r="H776" s="86"/>
    </row>
    <row r="777" spans="1:8" ht="15.75">
      <c r="A777" s="19"/>
      <c r="D777" s="86"/>
      <c r="E777" s="86"/>
      <c r="F777" s="86"/>
      <c r="G777" s="86"/>
      <c r="H777" s="86"/>
    </row>
    <row r="778" spans="1:8" ht="15.75">
      <c r="A778" s="19"/>
      <c r="D778" s="86"/>
      <c r="E778" s="86"/>
      <c r="F778" s="86"/>
      <c r="G778" s="86"/>
      <c r="H778" s="86"/>
    </row>
    <row r="779" spans="1:8" ht="15.75">
      <c r="A779" s="19"/>
      <c r="D779" s="86"/>
      <c r="E779" s="86"/>
      <c r="F779" s="86"/>
      <c r="G779" s="86"/>
      <c r="H779" s="86"/>
    </row>
    <row r="780" spans="1:8" ht="15.75">
      <c r="A780" s="19"/>
      <c r="D780" s="86"/>
      <c r="E780" s="86"/>
      <c r="F780" s="86"/>
      <c r="G780" s="86"/>
      <c r="H780" s="86"/>
    </row>
    <row r="781" spans="1:8" ht="15.75">
      <c r="A781" s="19"/>
      <c r="D781" s="86"/>
      <c r="E781" s="86"/>
      <c r="F781" s="86"/>
      <c r="G781" s="86"/>
      <c r="H781" s="86"/>
    </row>
    <row r="782" spans="1:8" ht="15.75">
      <c r="A782" s="19"/>
      <c r="D782" s="86"/>
      <c r="E782" s="86"/>
      <c r="F782" s="86"/>
      <c r="G782" s="86"/>
      <c r="H782" s="86"/>
    </row>
    <row r="783" spans="1:8" ht="15.75">
      <c r="A783" s="19"/>
      <c r="D783" s="86"/>
      <c r="E783" s="86"/>
      <c r="F783" s="86"/>
      <c r="G783" s="86"/>
      <c r="H783" s="86"/>
    </row>
    <row r="784" spans="1:8" ht="15.75">
      <c r="A784" s="19"/>
      <c r="D784" s="86"/>
      <c r="E784" s="86"/>
      <c r="F784" s="86"/>
      <c r="G784" s="86"/>
      <c r="H784" s="86"/>
    </row>
    <row r="785" spans="1:8" ht="15.75">
      <c r="A785" s="19"/>
      <c r="D785" s="86"/>
      <c r="E785" s="86"/>
      <c r="F785" s="86"/>
      <c r="G785" s="86"/>
      <c r="H785" s="86"/>
    </row>
    <row r="786" spans="1:8" ht="15.75">
      <c r="A786" s="19"/>
      <c r="D786" s="86"/>
      <c r="E786" s="86"/>
      <c r="F786" s="86"/>
      <c r="G786" s="86"/>
      <c r="H786" s="86"/>
    </row>
    <row r="787" spans="1:8" ht="15.75">
      <c r="A787" s="19"/>
      <c r="D787" s="86"/>
      <c r="E787" s="86"/>
      <c r="F787" s="86"/>
      <c r="G787" s="86"/>
      <c r="H787" s="86"/>
    </row>
    <row r="788" spans="1:8" ht="15.75">
      <c r="A788" s="19"/>
      <c r="D788" s="86"/>
      <c r="E788" s="86"/>
      <c r="F788" s="86"/>
      <c r="G788" s="86"/>
      <c r="H788" s="86"/>
    </row>
    <row r="789" spans="1:8" ht="15.75">
      <c r="A789" s="19"/>
      <c r="D789" s="86"/>
      <c r="E789" s="86"/>
      <c r="F789" s="86"/>
      <c r="G789" s="86"/>
      <c r="H789" s="86"/>
    </row>
    <row r="790" spans="1:8" ht="15.75">
      <c r="A790" s="19"/>
      <c r="D790" s="86"/>
      <c r="E790" s="86"/>
      <c r="F790" s="86"/>
      <c r="G790" s="86"/>
      <c r="H790" s="86"/>
    </row>
    <row r="791" spans="1:8" ht="15.75">
      <c r="A791" s="19"/>
      <c r="D791" s="86"/>
      <c r="E791" s="86"/>
      <c r="F791" s="86"/>
      <c r="G791" s="86"/>
      <c r="H791" s="86"/>
    </row>
    <row r="792" spans="1:8" ht="15.75">
      <c r="A792" s="19"/>
      <c r="D792" s="86"/>
      <c r="E792" s="86"/>
      <c r="F792" s="86"/>
      <c r="G792" s="86"/>
      <c r="H792" s="86"/>
    </row>
    <row r="793" spans="1:8" ht="15.75">
      <c r="A793" s="19"/>
      <c r="D793" s="86"/>
      <c r="E793" s="86"/>
      <c r="F793" s="86"/>
      <c r="G793" s="86"/>
      <c r="H793" s="86"/>
    </row>
    <row r="794" spans="1:8" ht="15.75">
      <c r="A794" s="19"/>
      <c r="D794" s="86"/>
      <c r="E794" s="86"/>
      <c r="F794" s="86"/>
      <c r="G794" s="86"/>
      <c r="H794" s="86"/>
    </row>
    <row r="795" spans="1:8" ht="15.75">
      <c r="A795" s="19"/>
      <c r="D795" s="86"/>
      <c r="E795" s="86"/>
      <c r="F795" s="86"/>
      <c r="G795" s="86"/>
      <c r="H795" s="86"/>
    </row>
    <row r="796" spans="1:8" ht="15.75">
      <c r="A796" s="19"/>
      <c r="D796" s="86"/>
      <c r="E796" s="86"/>
      <c r="F796" s="86"/>
      <c r="G796" s="86"/>
      <c r="H796" s="86"/>
    </row>
    <row r="797" spans="1:8" ht="15.75">
      <c r="A797" s="19"/>
      <c r="D797" s="86"/>
      <c r="E797" s="86"/>
      <c r="F797" s="86"/>
      <c r="G797" s="86"/>
      <c r="H797" s="86"/>
    </row>
    <row r="798" spans="1:8" ht="15.75">
      <c r="A798" s="19"/>
      <c r="D798" s="86"/>
      <c r="E798" s="86"/>
      <c r="F798" s="86"/>
      <c r="G798" s="86"/>
      <c r="H798" s="86"/>
    </row>
    <row r="799" spans="1:8" ht="15.75">
      <c r="A799" s="19"/>
      <c r="D799" s="86"/>
      <c r="E799" s="86"/>
      <c r="F799" s="86"/>
      <c r="G799" s="86"/>
      <c r="H799" s="86"/>
    </row>
    <row r="800" spans="1:8" ht="15.75">
      <c r="A800" s="19"/>
      <c r="D800" s="86"/>
      <c r="E800" s="86"/>
      <c r="F800" s="86"/>
      <c r="G800" s="86"/>
      <c r="H800" s="86"/>
    </row>
    <row r="801" spans="1:8" ht="15.75">
      <c r="A801" s="19"/>
      <c r="D801" s="86"/>
      <c r="E801" s="86"/>
      <c r="F801" s="86"/>
      <c r="G801" s="86"/>
      <c r="H801" s="86"/>
    </row>
    <row r="802" spans="1:8" ht="15.75">
      <c r="A802" s="19"/>
      <c r="D802" s="86"/>
      <c r="E802" s="86"/>
      <c r="F802" s="86"/>
      <c r="G802" s="86"/>
      <c r="H802" s="86"/>
    </row>
    <row r="803" spans="1:8" ht="15.75">
      <c r="A803" s="19"/>
      <c r="D803" s="86"/>
      <c r="E803" s="86"/>
      <c r="F803" s="86"/>
      <c r="G803" s="86"/>
      <c r="H803" s="86"/>
    </row>
    <row r="804" spans="1:8" ht="15.75">
      <c r="A804" s="19"/>
      <c r="D804" s="86"/>
      <c r="E804" s="86"/>
      <c r="F804" s="86"/>
      <c r="G804" s="86"/>
      <c r="H804" s="86"/>
    </row>
    <row r="805" spans="1:8" ht="15.75">
      <c r="A805" s="19"/>
      <c r="D805" s="86"/>
      <c r="E805" s="86"/>
      <c r="F805" s="86"/>
      <c r="G805" s="86"/>
      <c r="H805" s="86"/>
    </row>
    <row r="806" spans="1:8" ht="15.75">
      <c r="A806" s="19"/>
      <c r="D806" s="86"/>
      <c r="E806" s="86"/>
      <c r="F806" s="86"/>
      <c r="G806" s="86"/>
      <c r="H806" s="86"/>
    </row>
    <row r="807" spans="1:8" ht="15.75">
      <c r="A807" s="19"/>
      <c r="D807" s="86"/>
      <c r="E807" s="86"/>
      <c r="F807" s="86"/>
      <c r="G807" s="86"/>
      <c r="H807" s="86"/>
    </row>
    <row r="808" spans="1:8" ht="15.75">
      <c r="A808" s="19"/>
      <c r="D808" s="86"/>
      <c r="E808" s="86"/>
      <c r="F808" s="86"/>
      <c r="G808" s="86"/>
      <c r="H808" s="86"/>
    </row>
    <row r="809" spans="1:8" ht="15.75">
      <c r="A809" s="19"/>
      <c r="D809" s="86"/>
      <c r="E809" s="86"/>
      <c r="F809" s="86"/>
      <c r="G809" s="86"/>
      <c r="H809" s="86"/>
    </row>
    <row r="810" spans="1:8" ht="15.75">
      <c r="A810" s="19"/>
      <c r="D810" s="86"/>
      <c r="E810" s="86"/>
      <c r="F810" s="86"/>
      <c r="G810" s="86"/>
      <c r="H810" s="86"/>
    </row>
    <row r="811" spans="1:8" ht="15.75">
      <c r="A811" s="19"/>
      <c r="D811" s="86"/>
      <c r="E811" s="86"/>
      <c r="F811" s="86"/>
      <c r="G811" s="86"/>
      <c r="H811" s="86"/>
    </row>
    <row r="812" spans="1:8" ht="15.75">
      <c r="A812" s="19"/>
      <c r="D812" s="86"/>
      <c r="E812" s="86"/>
      <c r="F812" s="86"/>
      <c r="G812" s="86"/>
      <c r="H812" s="86"/>
    </row>
    <row r="813" spans="1:8" ht="15.75">
      <c r="A813" s="19"/>
      <c r="D813" s="86"/>
      <c r="E813" s="86"/>
      <c r="F813" s="86"/>
      <c r="G813" s="86"/>
      <c r="H813" s="86"/>
    </row>
    <row r="814" spans="1:8" ht="15.75">
      <c r="A814" s="19"/>
      <c r="D814" s="86"/>
      <c r="E814" s="86"/>
      <c r="F814" s="86"/>
      <c r="G814" s="86"/>
      <c r="H814" s="86"/>
    </row>
    <row r="815" spans="1:8" ht="15.75">
      <c r="A815" s="19"/>
      <c r="D815" s="86"/>
      <c r="E815" s="86"/>
      <c r="F815" s="86"/>
      <c r="G815" s="86"/>
      <c r="H815" s="86"/>
    </row>
    <row r="816" spans="1:8" ht="15.75">
      <c r="A816" s="19"/>
      <c r="D816" s="86"/>
      <c r="E816" s="86"/>
      <c r="F816" s="86"/>
      <c r="G816" s="86"/>
      <c r="H816" s="86"/>
    </row>
    <row r="817" spans="1:8" ht="15.75">
      <c r="A817" s="19"/>
      <c r="D817" s="86"/>
      <c r="E817" s="86"/>
      <c r="F817" s="86"/>
      <c r="G817" s="86"/>
      <c r="H817" s="86"/>
    </row>
    <row r="818" spans="1:8" ht="15.75">
      <c r="A818" s="19"/>
      <c r="D818" s="86"/>
      <c r="E818" s="86"/>
      <c r="F818" s="86"/>
      <c r="G818" s="86"/>
      <c r="H818" s="86"/>
    </row>
    <row r="819" spans="1:8" ht="15.75">
      <c r="A819" s="19"/>
      <c r="D819" s="86"/>
      <c r="E819" s="86"/>
      <c r="F819" s="86"/>
      <c r="G819" s="86"/>
      <c r="H819" s="86"/>
    </row>
    <row r="820" spans="1:8" ht="15.75">
      <c r="A820" s="19"/>
      <c r="D820" s="86"/>
      <c r="E820" s="86"/>
      <c r="F820" s="86"/>
      <c r="G820" s="86"/>
      <c r="H820" s="86"/>
    </row>
    <row r="821" spans="1:8" ht="15.75">
      <c r="A821" s="19"/>
      <c r="D821" s="86"/>
      <c r="E821" s="86"/>
      <c r="F821" s="86"/>
      <c r="G821" s="86"/>
      <c r="H821" s="86"/>
    </row>
    <row r="822" spans="1:8" ht="15.75">
      <c r="A822" s="19"/>
      <c r="D822" s="86"/>
      <c r="E822" s="86"/>
      <c r="F822" s="86"/>
      <c r="G822" s="86"/>
      <c r="H822" s="86"/>
    </row>
    <row r="823" spans="1:8" ht="15.75">
      <c r="A823" s="19"/>
      <c r="D823" s="86"/>
      <c r="E823" s="86"/>
      <c r="F823" s="86"/>
      <c r="G823" s="86"/>
      <c r="H823" s="86"/>
    </row>
    <row r="824" spans="1:8" ht="15.75">
      <c r="A824" s="19"/>
      <c r="D824" s="86"/>
      <c r="E824" s="86"/>
      <c r="F824" s="86"/>
      <c r="G824" s="86"/>
      <c r="H824" s="86"/>
    </row>
    <row r="825" spans="1:8" ht="15.75">
      <c r="A825" s="19"/>
      <c r="D825" s="86"/>
      <c r="E825" s="86"/>
      <c r="F825" s="86"/>
      <c r="G825" s="86"/>
      <c r="H825" s="86"/>
    </row>
    <row r="826" spans="1:8" ht="15.75">
      <c r="A826" s="19"/>
      <c r="D826" s="86"/>
      <c r="E826" s="86"/>
      <c r="F826" s="86"/>
      <c r="G826" s="86"/>
      <c r="H826" s="86"/>
    </row>
    <row r="827" spans="1:8" ht="15.75">
      <c r="A827" s="19"/>
      <c r="D827" s="86"/>
      <c r="E827" s="86"/>
      <c r="F827" s="86"/>
      <c r="G827" s="86"/>
      <c r="H827" s="86"/>
    </row>
    <row r="828" spans="1:8" ht="15.75">
      <c r="A828" s="19"/>
      <c r="D828" s="86"/>
      <c r="E828" s="86"/>
      <c r="F828" s="86"/>
      <c r="G828" s="86"/>
      <c r="H828" s="86"/>
    </row>
    <row r="829" spans="1:8" ht="15.75">
      <c r="A829" s="19"/>
      <c r="D829" s="86"/>
      <c r="E829" s="86"/>
      <c r="F829" s="86"/>
      <c r="G829" s="86"/>
      <c r="H829" s="86"/>
    </row>
    <row r="830" spans="1:8" ht="15.75">
      <c r="A830" s="19"/>
      <c r="D830" s="86"/>
      <c r="E830" s="86"/>
      <c r="F830" s="86"/>
      <c r="G830" s="86"/>
      <c r="H830" s="86"/>
    </row>
    <row r="831" spans="1:8" ht="15.75">
      <c r="A831" s="19"/>
      <c r="D831" s="86"/>
      <c r="E831" s="86"/>
      <c r="F831" s="86"/>
      <c r="G831" s="86"/>
      <c r="H831" s="86"/>
    </row>
    <row r="832" spans="1:8" ht="15.75">
      <c r="A832" s="19"/>
      <c r="D832" s="86"/>
      <c r="E832" s="86"/>
      <c r="F832" s="86"/>
      <c r="G832" s="86"/>
      <c r="H832" s="86"/>
    </row>
    <row r="833" spans="1:8" ht="15.75">
      <c r="A833" s="19"/>
      <c r="D833" s="86"/>
      <c r="E833" s="86"/>
      <c r="F833" s="86"/>
      <c r="G833" s="86"/>
      <c r="H833" s="86"/>
    </row>
    <row r="834" spans="1:8" ht="15.75">
      <c r="A834" s="19"/>
      <c r="D834" s="86"/>
      <c r="E834" s="86"/>
      <c r="F834" s="86"/>
      <c r="G834" s="86"/>
      <c r="H834" s="86"/>
    </row>
    <row r="835" spans="1:8" ht="15.75">
      <c r="A835" s="19"/>
      <c r="D835" s="86"/>
      <c r="E835" s="86"/>
      <c r="F835" s="86"/>
      <c r="G835" s="86"/>
      <c r="H835" s="86"/>
    </row>
    <row r="836" spans="1:8" ht="15.75">
      <c r="A836" s="19"/>
      <c r="D836" s="86"/>
      <c r="E836" s="86"/>
      <c r="F836" s="86"/>
      <c r="G836" s="86"/>
      <c r="H836" s="86"/>
    </row>
    <row r="837" spans="1:8" ht="15.75">
      <c r="A837" s="19"/>
      <c r="D837" s="86"/>
      <c r="E837" s="86"/>
      <c r="F837" s="86"/>
      <c r="G837" s="86"/>
      <c r="H837" s="86"/>
    </row>
    <row r="838" spans="1:8" ht="15.75">
      <c r="A838" s="19"/>
      <c r="D838" s="86"/>
      <c r="E838" s="86"/>
      <c r="F838" s="86"/>
      <c r="G838" s="86"/>
      <c r="H838" s="86"/>
    </row>
    <row r="839" spans="1:8" ht="15.75">
      <c r="A839" s="19"/>
      <c r="D839" s="86"/>
      <c r="E839" s="86"/>
      <c r="F839" s="86"/>
      <c r="G839" s="86"/>
      <c r="H839" s="86"/>
    </row>
    <row r="840" spans="1:8" ht="15.75">
      <c r="A840" s="19"/>
      <c r="D840" s="86"/>
      <c r="E840" s="86"/>
      <c r="F840" s="86"/>
      <c r="G840" s="86"/>
      <c r="H840" s="86"/>
    </row>
    <row r="841" spans="1:8" ht="15.75">
      <c r="A841" s="19"/>
      <c r="D841" s="86"/>
      <c r="E841" s="86"/>
      <c r="F841" s="86"/>
      <c r="G841" s="86"/>
      <c r="H841" s="86"/>
    </row>
    <row r="842" spans="1:8" ht="15.75">
      <c r="A842" s="19"/>
      <c r="D842" s="86"/>
      <c r="E842" s="86"/>
      <c r="F842" s="86"/>
      <c r="G842" s="86"/>
      <c r="H842" s="86"/>
    </row>
    <row r="843" spans="1:8" ht="15.75">
      <c r="A843" s="19"/>
      <c r="D843" s="86"/>
      <c r="E843" s="86"/>
      <c r="F843" s="86"/>
      <c r="G843" s="86"/>
      <c r="H843" s="86"/>
    </row>
    <row r="844" spans="1:8" ht="15.75">
      <c r="A844" s="19"/>
      <c r="D844" s="86"/>
      <c r="E844" s="86"/>
      <c r="F844" s="86"/>
      <c r="G844" s="86"/>
      <c r="H844" s="86"/>
    </row>
    <row r="845" spans="1:8" ht="15.75">
      <c r="A845" s="19"/>
      <c r="D845" s="86"/>
      <c r="E845" s="86"/>
      <c r="F845" s="86"/>
      <c r="G845" s="86"/>
      <c r="H845" s="86"/>
    </row>
    <row r="846" spans="1:8" ht="15.75">
      <c r="A846" s="19"/>
      <c r="D846" s="86"/>
      <c r="E846" s="86"/>
      <c r="F846" s="86"/>
      <c r="G846" s="86"/>
      <c r="H846" s="86"/>
    </row>
    <row r="847" spans="1:8" ht="15.75">
      <c r="A847" s="19"/>
      <c r="D847" s="86"/>
      <c r="E847" s="86"/>
      <c r="F847" s="86"/>
      <c r="G847" s="86"/>
      <c r="H847" s="86"/>
    </row>
    <row r="848" spans="1:8" ht="15.75">
      <c r="A848" s="19"/>
      <c r="D848" s="86"/>
      <c r="E848" s="86"/>
      <c r="F848" s="86"/>
      <c r="G848" s="86"/>
      <c r="H848" s="86"/>
    </row>
    <row r="849" spans="1:8" ht="15.75">
      <c r="A849" s="19"/>
      <c r="D849" s="86"/>
      <c r="E849" s="86"/>
      <c r="F849" s="86"/>
      <c r="G849" s="86"/>
      <c r="H849" s="86"/>
    </row>
    <row r="850" spans="1:8" ht="15.75">
      <c r="A850" s="19"/>
      <c r="D850" s="86"/>
      <c r="E850" s="86"/>
      <c r="F850" s="86"/>
      <c r="G850" s="86"/>
      <c r="H850" s="86"/>
    </row>
    <row r="851" spans="1:8" ht="15.75">
      <c r="A851" s="19"/>
      <c r="D851" s="86"/>
      <c r="E851" s="86"/>
      <c r="F851" s="86"/>
      <c r="G851" s="86"/>
      <c r="H851" s="86"/>
    </row>
    <row r="852" spans="1:8" ht="15.75">
      <c r="A852" s="19"/>
      <c r="D852" s="86"/>
      <c r="E852" s="86"/>
      <c r="F852" s="86"/>
      <c r="G852" s="86"/>
      <c r="H852" s="86"/>
    </row>
    <row r="853" spans="1:8" ht="15.75">
      <c r="A853" s="19"/>
      <c r="D853" s="86"/>
      <c r="E853" s="86"/>
      <c r="F853" s="86"/>
      <c r="G853" s="86"/>
      <c r="H853" s="86"/>
    </row>
    <row r="854" spans="1:8" ht="15.75">
      <c r="A854" s="19"/>
      <c r="D854" s="86"/>
      <c r="E854" s="86"/>
      <c r="F854" s="86"/>
      <c r="G854" s="86"/>
      <c r="H854" s="86"/>
    </row>
    <row r="855" spans="1:8" ht="15.75">
      <c r="A855" s="19"/>
      <c r="D855" s="86"/>
      <c r="E855" s="86"/>
      <c r="F855" s="86"/>
      <c r="G855" s="86"/>
      <c r="H855" s="86"/>
    </row>
    <row r="856" spans="1:8" ht="15.75">
      <c r="A856" s="19"/>
      <c r="D856" s="86"/>
      <c r="E856" s="86"/>
      <c r="F856" s="86"/>
      <c r="G856" s="86"/>
      <c r="H856" s="86"/>
    </row>
    <row r="857" spans="1:8" ht="15.75">
      <c r="A857" s="19"/>
      <c r="D857" s="86"/>
      <c r="E857" s="86"/>
      <c r="F857" s="86"/>
      <c r="G857" s="86"/>
      <c r="H857" s="86"/>
    </row>
    <row r="858" spans="1:8" ht="15.75">
      <c r="A858" s="19"/>
      <c r="D858" s="86"/>
      <c r="E858" s="86"/>
      <c r="F858" s="86"/>
      <c r="G858" s="86"/>
      <c r="H858" s="86"/>
    </row>
    <row r="859" spans="1:8" ht="15.75">
      <c r="A859" s="19"/>
      <c r="D859" s="86"/>
      <c r="E859" s="86"/>
      <c r="F859" s="86"/>
      <c r="G859" s="86"/>
      <c r="H859" s="86"/>
    </row>
    <row r="860" spans="1:8" ht="15.75">
      <c r="A860" s="19"/>
      <c r="D860" s="86"/>
      <c r="E860" s="86"/>
      <c r="F860" s="86"/>
      <c r="G860" s="86"/>
      <c r="H860" s="86"/>
    </row>
    <row r="861" spans="1:8" ht="15.75">
      <c r="A861" s="19"/>
      <c r="D861" s="86"/>
      <c r="E861" s="86"/>
      <c r="F861" s="86"/>
      <c r="G861" s="86"/>
      <c r="H861" s="86"/>
    </row>
    <row r="862" spans="1:8" ht="15.75">
      <c r="A862" s="19"/>
      <c r="D862" s="86"/>
      <c r="E862" s="86"/>
      <c r="F862" s="86"/>
      <c r="G862" s="86"/>
      <c r="H862" s="86"/>
    </row>
    <row r="863" spans="1:8" ht="15.75">
      <c r="A863" s="19"/>
      <c r="D863" s="86"/>
      <c r="E863" s="86"/>
      <c r="F863" s="86"/>
      <c r="G863" s="86"/>
      <c r="H863" s="86"/>
    </row>
    <row r="864" spans="1:8" ht="15.75">
      <c r="A864" s="19"/>
      <c r="D864" s="86"/>
      <c r="E864" s="86"/>
      <c r="F864" s="86"/>
      <c r="G864" s="86"/>
      <c r="H864" s="86"/>
    </row>
    <row r="865" spans="1:8" ht="15.75">
      <c r="A865" s="19"/>
      <c r="D865" s="86"/>
      <c r="E865" s="86"/>
      <c r="F865" s="86"/>
      <c r="G865" s="86"/>
      <c r="H865" s="86"/>
    </row>
    <row r="866" spans="1:8" ht="15.75">
      <c r="A866" s="19"/>
      <c r="D866" s="86"/>
      <c r="E866" s="86"/>
      <c r="F866" s="86"/>
      <c r="G866" s="86"/>
      <c r="H866" s="86"/>
    </row>
    <row r="867" spans="1:8" ht="15.75">
      <c r="A867" s="19"/>
      <c r="D867" s="86"/>
      <c r="E867" s="86"/>
      <c r="F867" s="86"/>
      <c r="G867" s="86"/>
      <c r="H867" s="86"/>
    </row>
    <row r="868" spans="1:8" ht="15.75">
      <c r="A868" s="19"/>
      <c r="D868" s="86"/>
      <c r="E868" s="86"/>
      <c r="F868" s="86"/>
      <c r="G868" s="86"/>
      <c r="H868" s="86"/>
    </row>
    <row r="869" spans="1:8" ht="15.75">
      <c r="A869" s="19"/>
      <c r="D869" s="86"/>
      <c r="E869" s="86"/>
      <c r="F869" s="86"/>
      <c r="G869" s="86"/>
      <c r="H869" s="86"/>
    </row>
    <row r="870" spans="1:8" ht="15.75">
      <c r="A870" s="19"/>
      <c r="D870" s="86"/>
      <c r="E870" s="86"/>
      <c r="F870" s="86"/>
      <c r="G870" s="86"/>
      <c r="H870" s="86"/>
    </row>
    <row r="871" spans="1:8" ht="15.75">
      <c r="A871" s="19"/>
      <c r="D871" s="86"/>
      <c r="E871" s="86"/>
      <c r="F871" s="86"/>
      <c r="G871" s="86"/>
      <c r="H871" s="86"/>
    </row>
    <row r="872" spans="1:8" ht="15.75">
      <c r="A872" s="19"/>
      <c r="D872" s="86"/>
      <c r="E872" s="86"/>
      <c r="F872" s="86"/>
      <c r="G872" s="86"/>
      <c r="H872" s="86"/>
    </row>
    <row r="873" spans="1:8" ht="15.75">
      <c r="A873" s="19"/>
      <c r="D873" s="86"/>
      <c r="E873" s="86"/>
      <c r="F873" s="86"/>
      <c r="G873" s="86"/>
      <c r="H873" s="86"/>
    </row>
    <row r="874" spans="1:8" ht="15.75">
      <c r="A874" s="19"/>
      <c r="D874" s="86"/>
      <c r="E874" s="86"/>
      <c r="F874" s="86"/>
      <c r="G874" s="86"/>
      <c r="H874" s="86"/>
    </row>
    <row r="875" spans="1:8" ht="15.75">
      <c r="A875" s="19"/>
      <c r="D875" s="86"/>
      <c r="E875" s="86"/>
      <c r="F875" s="86"/>
      <c r="G875" s="86"/>
      <c r="H875" s="86"/>
    </row>
    <row r="876" spans="1:8" ht="15.75">
      <c r="A876" s="19"/>
      <c r="D876" s="86"/>
      <c r="E876" s="86"/>
      <c r="F876" s="86"/>
      <c r="G876" s="86"/>
      <c r="H876" s="86"/>
    </row>
    <row r="877" spans="1:8" ht="15.75">
      <c r="A877" s="19"/>
      <c r="D877" s="86"/>
      <c r="E877" s="86"/>
      <c r="F877" s="86"/>
      <c r="G877" s="86"/>
      <c r="H877" s="86"/>
    </row>
    <row r="878" spans="1:8" ht="15.75">
      <c r="A878" s="19"/>
      <c r="D878" s="86"/>
      <c r="E878" s="86"/>
      <c r="F878" s="86"/>
      <c r="G878" s="86"/>
      <c r="H878" s="86"/>
    </row>
    <row r="879" spans="1:8" ht="15.75">
      <c r="A879" s="19"/>
      <c r="D879" s="86"/>
      <c r="E879" s="86"/>
      <c r="F879" s="86"/>
      <c r="G879" s="86"/>
      <c r="H879" s="86"/>
    </row>
    <row r="880" spans="1:8" ht="15.75">
      <c r="A880" s="19"/>
      <c r="D880" s="86"/>
      <c r="E880" s="86"/>
      <c r="F880" s="86"/>
      <c r="G880" s="86"/>
      <c r="H880" s="86"/>
    </row>
    <row r="881" spans="1:8" ht="15.75">
      <c r="A881" s="19"/>
      <c r="D881" s="86"/>
      <c r="E881" s="86"/>
      <c r="F881" s="86"/>
      <c r="G881" s="86"/>
      <c r="H881" s="86"/>
    </row>
    <row r="882" spans="1:8" ht="15.75">
      <c r="A882" s="19"/>
      <c r="D882" s="86"/>
      <c r="E882" s="86"/>
      <c r="F882" s="86"/>
      <c r="G882" s="86"/>
      <c r="H882" s="86"/>
    </row>
    <row r="883" spans="1:8" ht="15.75">
      <c r="A883" s="19"/>
      <c r="D883" s="86"/>
      <c r="E883" s="86"/>
      <c r="F883" s="86"/>
      <c r="G883" s="86"/>
      <c r="H883" s="86"/>
    </row>
    <row r="884" spans="1:8" ht="15.75">
      <c r="A884" s="19"/>
      <c r="D884" s="86"/>
      <c r="E884" s="86"/>
      <c r="F884" s="86"/>
      <c r="G884" s="86"/>
      <c r="H884" s="86"/>
    </row>
    <row r="885" spans="1:8" ht="15.75">
      <c r="A885" s="19"/>
      <c r="D885" s="86"/>
      <c r="E885" s="86"/>
      <c r="F885" s="86"/>
      <c r="G885" s="86"/>
      <c r="H885" s="86"/>
    </row>
    <row r="886" spans="1:8" ht="15.75">
      <c r="A886" s="19"/>
      <c r="D886" s="86"/>
      <c r="E886" s="86"/>
      <c r="F886" s="86"/>
      <c r="G886" s="86"/>
      <c r="H886" s="86"/>
    </row>
    <row r="887" spans="1:8" ht="15.75">
      <c r="A887" s="19"/>
      <c r="D887" s="86"/>
      <c r="E887" s="86"/>
      <c r="F887" s="86"/>
      <c r="G887" s="86"/>
      <c r="H887" s="86"/>
    </row>
    <row r="888" spans="1:8" ht="15.75">
      <c r="A888" s="19"/>
      <c r="D888" s="86"/>
      <c r="E888" s="86"/>
      <c r="F888" s="86"/>
      <c r="G888" s="86"/>
      <c r="H888" s="86"/>
    </row>
    <row r="889" spans="1:8" ht="15.75">
      <c r="A889" s="19"/>
      <c r="D889" s="86"/>
      <c r="E889" s="86"/>
      <c r="F889" s="86"/>
      <c r="G889" s="86"/>
      <c r="H889" s="86"/>
    </row>
    <row r="890" spans="1:8" ht="15.75">
      <c r="A890" s="19"/>
      <c r="D890" s="86"/>
      <c r="E890" s="86"/>
      <c r="F890" s="86"/>
      <c r="G890" s="86"/>
      <c r="H890" s="86"/>
    </row>
    <row r="891" spans="1:8" ht="15.75">
      <c r="A891" s="19"/>
      <c r="D891" s="86"/>
      <c r="E891" s="86"/>
      <c r="F891" s="86"/>
      <c r="G891" s="86"/>
      <c r="H891" s="86"/>
    </row>
    <row r="892" spans="1:8" ht="15.75">
      <c r="A892" s="19"/>
      <c r="D892" s="86"/>
      <c r="E892" s="86"/>
      <c r="F892" s="86"/>
      <c r="G892" s="86"/>
      <c r="H892" s="86"/>
    </row>
    <row r="893" spans="1:8" ht="15.75">
      <c r="A893" s="19"/>
      <c r="D893" s="86"/>
      <c r="E893" s="86"/>
      <c r="F893" s="86"/>
      <c r="G893" s="86"/>
      <c r="H893" s="86"/>
    </row>
    <row r="894" spans="1:8" ht="15.75">
      <c r="A894" s="19"/>
      <c r="D894" s="86"/>
      <c r="E894" s="86"/>
      <c r="F894" s="86"/>
      <c r="G894" s="86"/>
      <c r="H894" s="86"/>
    </row>
    <row r="895" spans="1:8" ht="15.75">
      <c r="A895" s="19"/>
      <c r="D895" s="86"/>
      <c r="E895" s="86"/>
      <c r="F895" s="86"/>
      <c r="G895" s="86"/>
      <c r="H895" s="86"/>
    </row>
    <row r="896" spans="1:8" ht="15.75">
      <c r="A896" s="19"/>
      <c r="D896" s="86"/>
      <c r="E896" s="86"/>
      <c r="F896" s="86"/>
      <c r="G896" s="86"/>
      <c r="H896" s="86"/>
    </row>
    <row r="897" spans="1:8" ht="15.75">
      <c r="A897" s="19"/>
      <c r="D897" s="86"/>
      <c r="E897" s="86"/>
      <c r="F897" s="86"/>
      <c r="G897" s="86"/>
      <c r="H897" s="86"/>
    </row>
    <row r="898" spans="1:8" ht="15.75">
      <c r="A898" s="19"/>
      <c r="D898" s="86"/>
      <c r="E898" s="86"/>
      <c r="F898" s="86"/>
      <c r="G898" s="86"/>
      <c r="H898" s="86"/>
    </row>
    <row r="899" spans="1:8" ht="15.75">
      <c r="A899" s="19"/>
      <c r="D899" s="86"/>
      <c r="E899" s="86"/>
      <c r="F899" s="86"/>
      <c r="G899" s="86"/>
      <c r="H899" s="86"/>
    </row>
    <row r="900" spans="1:8" ht="15.75">
      <c r="A900" s="19"/>
      <c r="D900" s="86"/>
      <c r="E900" s="86"/>
      <c r="F900" s="86"/>
      <c r="G900" s="86"/>
      <c r="H900" s="86"/>
    </row>
    <row r="901" spans="1:8" ht="15.75">
      <c r="A901" s="19"/>
      <c r="D901" s="86"/>
      <c r="E901" s="86"/>
      <c r="F901" s="86"/>
      <c r="G901" s="86"/>
      <c r="H901" s="86"/>
    </row>
    <row r="902" spans="1:8" ht="15.75">
      <c r="A902" s="19"/>
      <c r="D902" s="86"/>
      <c r="E902" s="86"/>
      <c r="F902" s="86"/>
      <c r="G902" s="86"/>
      <c r="H902" s="86"/>
    </row>
    <row r="903" spans="1:8" ht="15.75">
      <c r="A903" s="19"/>
      <c r="D903" s="86"/>
      <c r="E903" s="86"/>
      <c r="F903" s="86"/>
      <c r="G903" s="86"/>
      <c r="H903" s="86"/>
    </row>
    <row r="904" spans="1:8" ht="15.75">
      <c r="A904" s="19"/>
      <c r="D904" s="86"/>
      <c r="E904" s="86"/>
      <c r="F904" s="86"/>
      <c r="G904" s="86"/>
      <c r="H904" s="86"/>
    </row>
    <row r="905" spans="1:8" ht="15.75">
      <c r="A905" s="19"/>
      <c r="D905" s="86"/>
      <c r="E905" s="86"/>
      <c r="F905" s="86"/>
      <c r="G905" s="86"/>
      <c r="H905" s="86"/>
    </row>
    <row r="906" spans="1:8" ht="15.75">
      <c r="A906" s="19"/>
      <c r="D906" s="86"/>
      <c r="E906" s="86"/>
      <c r="F906" s="86"/>
      <c r="G906" s="86"/>
      <c r="H906" s="86"/>
    </row>
    <row r="907" spans="1:8" ht="15.75">
      <c r="A907" s="19"/>
      <c r="D907" s="86"/>
      <c r="E907" s="86"/>
      <c r="F907" s="86"/>
      <c r="G907" s="86"/>
      <c r="H907" s="86"/>
    </row>
    <row r="908" spans="1:8" ht="15.75">
      <c r="A908" s="19"/>
      <c r="D908" s="86"/>
      <c r="E908" s="86"/>
      <c r="F908" s="86"/>
      <c r="G908" s="86"/>
      <c r="H908" s="86"/>
    </row>
    <row r="909" spans="1:8" ht="15.75">
      <c r="A909" s="19"/>
      <c r="D909" s="86"/>
      <c r="E909" s="86"/>
      <c r="F909" s="86"/>
      <c r="G909" s="86"/>
      <c r="H909" s="86"/>
    </row>
    <row r="910" spans="1:8" ht="15.75">
      <c r="A910" s="19"/>
      <c r="D910" s="86"/>
      <c r="E910" s="86"/>
      <c r="F910" s="86"/>
      <c r="G910" s="86"/>
      <c r="H910" s="86"/>
    </row>
    <row r="911" spans="1:8" ht="15.75">
      <c r="A911" s="19"/>
      <c r="D911" s="86"/>
      <c r="E911" s="86"/>
      <c r="F911" s="86"/>
      <c r="G911" s="86"/>
      <c r="H911" s="86"/>
    </row>
    <row r="912" spans="1:8" ht="15.75">
      <c r="A912" s="19"/>
      <c r="D912" s="86"/>
      <c r="E912" s="86"/>
      <c r="F912" s="86"/>
      <c r="G912" s="86"/>
      <c r="H912" s="86"/>
    </row>
    <row r="913" spans="1:8" ht="15.75">
      <c r="A913" s="19"/>
      <c r="D913" s="86"/>
      <c r="E913" s="86"/>
      <c r="F913" s="86"/>
      <c r="G913" s="86"/>
      <c r="H913" s="86"/>
    </row>
    <row r="914" spans="1:8" ht="15.75">
      <c r="A914" s="19"/>
      <c r="D914" s="86"/>
      <c r="E914" s="86"/>
      <c r="F914" s="86"/>
      <c r="G914" s="86"/>
      <c r="H914" s="86"/>
    </row>
    <row r="915" spans="1:8" ht="15.75">
      <c r="A915" s="19"/>
      <c r="D915" s="86"/>
      <c r="E915" s="86"/>
      <c r="F915" s="86"/>
      <c r="G915" s="86"/>
      <c r="H915" s="86"/>
    </row>
    <row r="916" spans="1:8" ht="15.75">
      <c r="A916" s="19"/>
      <c r="D916" s="86"/>
      <c r="E916" s="86"/>
      <c r="F916" s="86"/>
      <c r="G916" s="86"/>
      <c r="H916" s="86"/>
    </row>
    <row r="917" spans="1:8" ht="15.75">
      <c r="A917" s="19"/>
      <c r="D917" s="86"/>
      <c r="E917" s="86"/>
      <c r="F917" s="86"/>
      <c r="G917" s="86"/>
      <c r="H917" s="86"/>
    </row>
    <row r="918" spans="1:8" ht="15.75">
      <c r="A918" s="19"/>
      <c r="D918" s="86"/>
      <c r="E918" s="86"/>
      <c r="F918" s="86"/>
      <c r="G918" s="86"/>
      <c r="H918" s="86"/>
    </row>
    <row r="919" spans="1:8" ht="15.75">
      <c r="A919" s="19"/>
      <c r="D919" s="86"/>
      <c r="E919" s="86"/>
      <c r="F919" s="86"/>
      <c r="G919" s="86"/>
      <c r="H919" s="86"/>
    </row>
    <row r="920" spans="1:8" ht="15.75">
      <c r="A920" s="19"/>
      <c r="D920" s="86"/>
      <c r="E920" s="86"/>
      <c r="F920" s="86"/>
      <c r="G920" s="86"/>
      <c r="H920" s="86"/>
    </row>
    <row r="921" spans="1:8" ht="15.75">
      <c r="A921" s="19"/>
      <c r="D921" s="86"/>
      <c r="E921" s="86"/>
      <c r="F921" s="86"/>
      <c r="G921" s="86"/>
      <c r="H921" s="86"/>
    </row>
    <row r="922" spans="1:8" ht="15.75">
      <c r="A922" s="19"/>
      <c r="D922" s="86"/>
      <c r="E922" s="86"/>
      <c r="F922" s="86"/>
      <c r="G922" s="86"/>
      <c r="H922" s="86"/>
    </row>
    <row r="923" spans="1:8" ht="15.75">
      <c r="A923" s="19"/>
      <c r="D923" s="86"/>
      <c r="E923" s="86"/>
      <c r="F923" s="86"/>
      <c r="G923" s="86"/>
      <c r="H923" s="86"/>
    </row>
    <row r="924" spans="1:8" ht="15.75">
      <c r="A924" s="19"/>
      <c r="D924" s="86"/>
      <c r="E924" s="86"/>
      <c r="F924" s="86"/>
      <c r="G924" s="86"/>
      <c r="H924" s="86"/>
    </row>
    <row r="925" spans="1:8" ht="15.75">
      <c r="A925" s="19"/>
      <c r="D925" s="86"/>
      <c r="E925" s="86"/>
      <c r="F925" s="86"/>
      <c r="G925" s="86"/>
      <c r="H925" s="86"/>
    </row>
    <row r="926" spans="1:8" ht="15.75">
      <c r="A926" s="19"/>
      <c r="D926" s="86"/>
      <c r="E926" s="86"/>
      <c r="F926" s="86"/>
      <c r="G926" s="86"/>
      <c r="H926" s="86"/>
    </row>
    <row r="927" spans="1:8" ht="15.75">
      <c r="A927" s="19"/>
      <c r="D927" s="86"/>
      <c r="E927" s="86"/>
      <c r="F927" s="86"/>
      <c r="G927" s="86"/>
      <c r="H927" s="86"/>
    </row>
    <row r="928" spans="1:8" ht="15.75">
      <c r="A928" s="19"/>
      <c r="D928" s="86"/>
      <c r="E928" s="86"/>
      <c r="F928" s="86"/>
      <c r="G928" s="86"/>
      <c r="H928" s="86"/>
    </row>
    <row r="929" spans="1:8" ht="15.75">
      <c r="A929" s="19"/>
      <c r="D929" s="86"/>
      <c r="E929" s="86"/>
      <c r="F929" s="86"/>
      <c r="G929" s="86"/>
      <c r="H929" s="86"/>
    </row>
    <row r="930" spans="1:8" ht="15.75">
      <c r="A930" s="19"/>
      <c r="D930" s="86"/>
      <c r="E930" s="86"/>
      <c r="F930" s="86"/>
      <c r="G930" s="86"/>
      <c r="H930" s="86"/>
    </row>
    <row r="931" spans="1:8" ht="15.75">
      <c r="A931" s="19"/>
      <c r="D931" s="86"/>
      <c r="E931" s="86"/>
      <c r="F931" s="86"/>
      <c r="G931" s="86"/>
      <c r="H931" s="86"/>
    </row>
    <row r="932" spans="1:8" ht="15.75">
      <c r="A932" s="19"/>
      <c r="D932" s="86"/>
      <c r="E932" s="86"/>
      <c r="F932" s="86"/>
      <c r="G932" s="86"/>
      <c r="H932" s="86"/>
    </row>
    <row r="933" spans="1:8" ht="15.75">
      <c r="A933" s="19"/>
      <c r="D933" s="86"/>
      <c r="E933" s="86"/>
      <c r="F933" s="86"/>
      <c r="G933" s="86"/>
      <c r="H933" s="86"/>
    </row>
    <row r="934" spans="1:8" ht="15.75">
      <c r="A934" s="19"/>
      <c r="D934" s="86"/>
      <c r="E934" s="86"/>
      <c r="F934" s="86"/>
      <c r="G934" s="86"/>
      <c r="H934" s="86"/>
    </row>
    <row r="935" spans="1:8" ht="15.75">
      <c r="A935" s="19"/>
      <c r="D935" s="86"/>
      <c r="E935" s="86"/>
      <c r="F935" s="86"/>
      <c r="G935" s="86"/>
      <c r="H935" s="86"/>
    </row>
    <row r="936" spans="1:8" ht="15.75">
      <c r="A936" s="19"/>
      <c r="D936" s="86"/>
      <c r="E936" s="86"/>
      <c r="F936" s="86"/>
      <c r="G936" s="86"/>
      <c r="H936" s="86"/>
    </row>
    <row r="937" spans="1:8" ht="15.75">
      <c r="A937" s="19"/>
      <c r="D937" s="86"/>
      <c r="E937" s="86"/>
      <c r="F937" s="86"/>
      <c r="G937" s="86"/>
      <c r="H937" s="86"/>
    </row>
    <row r="938" spans="1:8" ht="15.75">
      <c r="A938" s="19"/>
      <c r="D938" s="86"/>
      <c r="E938" s="86"/>
      <c r="F938" s="86"/>
      <c r="G938" s="86"/>
      <c r="H938" s="86"/>
    </row>
    <row r="939" spans="1:8" ht="15.75">
      <c r="A939" s="19"/>
      <c r="D939" s="86"/>
      <c r="E939" s="86"/>
      <c r="F939" s="86"/>
      <c r="G939" s="86"/>
      <c r="H939" s="86"/>
    </row>
    <row r="940" spans="1:8" ht="15.75">
      <c r="A940" s="19"/>
      <c r="D940" s="86"/>
      <c r="E940" s="86"/>
      <c r="F940" s="86"/>
      <c r="G940" s="86"/>
      <c r="H940" s="86"/>
    </row>
    <row r="941" spans="1:8" ht="15.75">
      <c r="A941" s="19"/>
      <c r="D941" s="86"/>
      <c r="E941" s="86"/>
      <c r="F941" s="86"/>
      <c r="G941" s="86"/>
      <c r="H941" s="86"/>
    </row>
    <row r="942" spans="1:8" ht="15.75">
      <c r="A942" s="19"/>
      <c r="D942" s="86"/>
      <c r="E942" s="86"/>
      <c r="F942" s="86"/>
      <c r="G942" s="86"/>
      <c r="H942" s="86"/>
    </row>
    <row r="943" spans="1:8" ht="15.75">
      <c r="A943" s="19"/>
      <c r="D943" s="86"/>
      <c r="E943" s="86"/>
      <c r="F943" s="86"/>
      <c r="G943" s="86"/>
      <c r="H943" s="86"/>
    </row>
    <row r="944" spans="1:8" ht="15.75">
      <c r="A944" s="19"/>
      <c r="D944" s="86"/>
      <c r="E944" s="86"/>
      <c r="F944" s="86"/>
      <c r="G944" s="86"/>
      <c r="H944" s="86"/>
    </row>
    <row r="945" spans="1:8" ht="15.75">
      <c r="A945" s="19"/>
      <c r="D945" s="86"/>
      <c r="E945" s="86"/>
      <c r="F945" s="86"/>
      <c r="G945" s="86"/>
      <c r="H945" s="86"/>
    </row>
    <row r="946" spans="1:8" ht="15.75">
      <c r="A946" s="19"/>
      <c r="D946" s="86"/>
      <c r="E946" s="86"/>
      <c r="F946" s="86"/>
      <c r="G946" s="86"/>
      <c r="H946" s="86"/>
    </row>
    <row r="947" spans="1:8" ht="15.75">
      <c r="A947" s="19"/>
      <c r="D947" s="86"/>
      <c r="E947" s="86"/>
      <c r="F947" s="86"/>
      <c r="G947" s="86"/>
      <c r="H947" s="86"/>
    </row>
    <row r="948" spans="1:8" ht="15.75">
      <c r="A948" s="19"/>
      <c r="D948" s="86"/>
      <c r="E948" s="86"/>
      <c r="F948" s="86"/>
      <c r="G948" s="86"/>
      <c r="H948" s="86"/>
    </row>
    <row r="949" spans="1:8" ht="15.75">
      <c r="A949" s="19"/>
      <c r="D949" s="86"/>
      <c r="E949" s="86"/>
      <c r="F949" s="86"/>
      <c r="G949" s="86"/>
      <c r="H949" s="86"/>
    </row>
    <row r="950" spans="1:8" ht="15.75">
      <c r="A950" s="19"/>
      <c r="D950" s="86"/>
      <c r="E950" s="86"/>
      <c r="F950" s="86"/>
      <c r="G950" s="86"/>
      <c r="H950" s="86"/>
    </row>
    <row r="951" spans="1:8" ht="15.75">
      <c r="A951" s="19"/>
      <c r="D951" s="86"/>
      <c r="E951" s="86"/>
      <c r="F951" s="86"/>
      <c r="G951" s="86"/>
      <c r="H951" s="86"/>
    </row>
    <row r="952" spans="1:8" ht="15.75">
      <c r="A952" s="19"/>
      <c r="D952" s="86"/>
      <c r="E952" s="86"/>
      <c r="F952" s="86"/>
      <c r="G952" s="86"/>
      <c r="H952" s="86"/>
    </row>
    <row r="953" spans="1:8" ht="15.75">
      <c r="A953" s="19"/>
      <c r="D953" s="86"/>
      <c r="E953" s="86"/>
      <c r="F953" s="86"/>
      <c r="G953" s="86"/>
      <c r="H953" s="86"/>
    </row>
  </sheetData>
  <mergeCells count="32">
    <mergeCell ref="D4:H4"/>
    <mergeCell ref="D5:H5"/>
    <mergeCell ref="D6:H6"/>
    <mergeCell ref="D7:H7"/>
    <mergeCell ref="D13:H13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I60:T60"/>
    <mergeCell ref="D61:G61"/>
    <mergeCell ref="D62:G62"/>
    <mergeCell ref="D63:G63"/>
    <mergeCell ref="D14:H14"/>
    <mergeCell ref="D15:H15"/>
    <mergeCell ref="D64:G64"/>
    <mergeCell ref="D65:G65"/>
    <mergeCell ref="D66:G66"/>
    <mergeCell ref="D23:H23"/>
    <mergeCell ref="D24:H24"/>
    <mergeCell ref="D25:H25"/>
    <mergeCell ref="D27:H27"/>
    <mergeCell ref="D28:H28"/>
    <mergeCell ref="D29:H29"/>
    <mergeCell ref="D30:H30"/>
    <mergeCell ref="D60:G6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Hoja3!$O$3:$O$7</xm:f>
          </x14:formula1>
          <xm:sqref>D60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Hoja3!$R$4:$R$99</xm:f>
          </x14:formula1>
          <xm:sqref>B38 B40 B44:B47</xm:sqref>
        </x14:dataValidation>
        <x14:dataValidation type="list" allowBlank="1" showErrorMessage="1">
          <x14:formula1>
            <xm:f>Hoja3!$R$3:$R$99</xm:f>
          </x14:formula1>
          <xm:sqref>B35 D62</xm:sqref>
        </x14:dataValidation>
        <x14:dataValidation type="list" allowBlank="1" showErrorMessage="1">
          <x14:formula1>
            <xm:f>Hoja3!$Q$3:$Q$5</xm:f>
          </x14:formula1>
          <xm:sqref>D64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Hoja3!$P$3:$P$6</xm:f>
          </x14:formula1>
          <xm:sqref>D61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1" max="1" width="0.42578125" customWidth="1"/>
    <col min="2" max="2" width="8.85546875" customWidth="1"/>
    <col min="3" max="5" width="23.85546875" customWidth="1"/>
    <col min="6" max="10" width="12.7109375" customWidth="1"/>
    <col min="11" max="11" width="13.42578125" customWidth="1"/>
    <col min="12" max="26" width="23.85546875" customWidth="1"/>
  </cols>
  <sheetData>
    <row r="1" spans="1:26" ht="1.5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30" customHeight="1">
      <c r="A2" s="115"/>
      <c r="B2" s="116" t="str">
        <f ca="1">IFERROR(__xludf.DUMMYFUNCTION("QUERY(MIR!A32:R49, ""select C,D,E,I,F,H,G,M,N,O,Q,R"")"),"RESUMEN NARRATIVO")</f>
        <v>RESUMEN NARRATIVO</v>
      </c>
      <c r="C2" s="116" t="str">
        <f ca="1">IFERROR(__xludf.DUMMYFUNCTION("""COMPUTED_VALUE"""),"OBJETIVOS DE RESULTADO")</f>
        <v>OBJETIVOS DE RESULTADO</v>
      </c>
      <c r="D2" s="116" t="str">
        <f ca="1">IFERROR(__xludf.DUMMYFUNCTION("""COMPUTED_VALUE"""),"NOMBRE DEL INDICADOR")</f>
        <v>NOMBRE DEL INDICADOR</v>
      </c>
      <c r="E2" s="116" t="str">
        <f ca="1">IFERROR(__xludf.DUMMYFUNCTION("""COMPUTED_VALUE"""),"MÉTODO DE CÁLCULO")</f>
        <v>MÉTODO DE CÁLCULO</v>
      </c>
      <c r="F2" s="116" t="str">
        <f ca="1">IFERROR(__xludf.DUMMYFUNCTION("""COMPUTED_VALUE"""),"DEFINICIÓN")</f>
        <v>DEFINICIÓN</v>
      </c>
      <c r="G2" s="116" t="str">
        <f ca="1">IFERROR(__xludf.DUMMYFUNCTION("""COMPUTED_VALUE"""),"TIPO")</f>
        <v>TIPO</v>
      </c>
      <c r="H2" s="116" t="str">
        <f ca="1">IFERROR(__xludf.DUMMYFUNCTION("""COMPUTED_VALUE"""),"DIMENSIÓN")</f>
        <v>DIMENSIÓN</v>
      </c>
      <c r="I2" s="116" t="str">
        <f ca="1">IFERROR(__xludf.DUMMYFUNCTION("""COMPUTED_VALUE"""),"UNIDAD DE MEDIDA")</f>
        <v>UNIDAD DE MEDIDA</v>
      </c>
      <c r="J2" s="116" t="str">
        <f ca="1">IFERROR(__xludf.DUMMYFUNCTION("""COMPUTED_VALUE"""),"LINEA BASE")</f>
        <v>LINEA BASE</v>
      </c>
      <c r="K2" s="116" t="str">
        <f ca="1">IFERROR(__xludf.DUMMYFUNCTION("""COMPUTED_VALUE"""),"META PROGRAMADA")</f>
        <v>META PROGRAMADA</v>
      </c>
      <c r="L2" s="116" t="str">
        <f ca="1">IFERROR(__xludf.DUMMYFUNCTION("""COMPUTED_VALUE"""),"FUENTES DE INFORMACIÓN Y MEDIOS DE VERIFICACIÓN")</f>
        <v>FUENTES DE INFORMACIÓN Y MEDIOS DE VERIFICACIÓN</v>
      </c>
      <c r="M2" s="116" t="str">
        <f ca="1">IFERROR(__xludf.DUMMYFUNCTION("""COMPUTED_VALUE"""),"SUPUESTOS")</f>
        <v>SUPUESTOS</v>
      </c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85.5" customHeight="1">
      <c r="A3" s="115"/>
      <c r="B3" s="116" t="str">
        <f ca="1">IFERROR(__xludf.DUMMYFUNCTION("""COMPUTED_VALUE"""),"FIN")</f>
        <v>FIN</v>
      </c>
      <c r="C3" s="116" t="str">
        <f ca="1">IFERROR(__xludf.DUMMYFUNCTION("""COMPUTED_VALUE"""),"Las personas adultas mayores, personas con discapacidad o con alguna condición de vulnerabilidad, reciben atención integral para su desarrollo pleno en el municipio de Guadalajara durante el 2023")</f>
        <v>Las personas adultas mayores, personas con discapacidad o con alguna condición de vulnerabilidad, reciben atención integral para su desarrollo pleno en el municipio de Guadalajara durante el 2023</v>
      </c>
      <c r="D3" s="116" t="str">
        <f ca="1">IFERROR(__xludf.DUMMYFUNCTION("""COMPUTED_VALUE"""),"Porcentaje de personas adultas mayores, con discapacidad y con alguna condición de vulnerabilidad que recibieron atención en los servicios del eje Guadalajara sin Barreras en 2023")</f>
        <v>Porcentaje de personas adultas mayores, con discapacidad y con alguna condición de vulnerabilidad que recibieron atención en los servicios del eje Guadalajara sin Barreras en 2023</v>
      </c>
      <c r="E3" s="116" t="str">
        <f ca="1">IFERROR(__xludf.DUMMYFUNCTION("""COMPUTED_VALUE"""),"Número de personas atendidas en los programas de CEAMIVIDA,, DIPAM, CAIPED y CADI / Número de personas programadas por atender en CEAMIVIDA, DIPAM, CAIPED y CADI*100")</f>
        <v>Número de personas atendidas en los programas de CEAMIVIDA,, DIPAM, CAIPED y CADI / Número de personas programadas por atender en CEAMIVIDA, DIPAM, CAIPED y CADI*100</v>
      </c>
      <c r="F3" s="116" t="str">
        <f ca="1">IFERROR(__xludf.DUMMYFUNCTION("""COMPUTED_VALUE"""),"Mide el porcentaje de personas adultos mayores, con discapacidad y con alguna condición de vulnerabilidad que recibieron atención en los servicios del eje Guadalajara Sin Barreras respecto de la meta planteada para el 2023")</f>
        <v>Mide el porcentaje de personas adultos mayores, con discapacidad y con alguna condición de vulnerabilidad que recibieron atención en los servicios del eje Guadalajara Sin Barreras respecto de la meta planteada para el 2023</v>
      </c>
      <c r="G3" s="116" t="str">
        <f ca="1">IFERROR(__xludf.DUMMYFUNCTION("""COMPUTED_VALUE"""),"Estratégico ")</f>
        <v xml:space="preserve">Estratégico </v>
      </c>
      <c r="H3" s="116" t="str">
        <f ca="1">IFERROR(__xludf.DUMMYFUNCTION("""COMPUTED_VALUE"""),"Eficacia")</f>
        <v>Eficacia</v>
      </c>
      <c r="I3" s="116" t="str">
        <f ca="1">IFERROR(__xludf.DUMMYFUNCTION("""COMPUTED_VALUE"""),"Porcentaje")</f>
        <v>Porcentaje</v>
      </c>
      <c r="J3" s="116" t="str">
        <f ca="1">IFERROR(__xludf.DUMMYFUNCTION("""COMPUTED_VALUE"""),"No disponible")</f>
        <v>No disponible</v>
      </c>
      <c r="K3" s="117">
        <f ca="1">IFERROR(__xludf.DUMMYFUNCTION("""COMPUTED_VALUE"""),10216)</f>
        <v>10216</v>
      </c>
      <c r="L3" s="116" t="str">
        <f ca="1">IFERROR(__xludf.DUMMYFUNCTION("""COMPUTED_VALUE"""),"V1: Padrón de beneficiarios y reportes de avances mensuales de de los programas del eje de Guadalajara sin Barreras del Sistema DIF Guadalajara / V2: Planes de trabajo de los programas del eje de Guadalajara sin Barreras del Sistema DIF Guadalajara")</f>
        <v>V1: Padrón de beneficiarios y reportes de avances mensuales de de los programas del eje de Guadalajara sin Barreras del Sistema DIF Guadalajara / V2: Planes de trabajo de los programas del eje de Guadalajara sin Barreras del Sistema DIF Guadalajara</v>
      </c>
      <c r="M3" s="116" t="str">
        <f ca="1">IFERROR(__xludf.DUMMYFUNCTION("""COMPUTED_VALUE"""),"Las usuarias y usuarios de los programas del eje de Guadalajara sin barreras del Sistema DIF Guadalajara logran mejoras en su bienestar físico y condiciones de inserción social ")</f>
        <v xml:space="preserve">Las usuarias y usuarios de los programas del eje de Guadalajara sin barreras del Sistema DIF Guadalajara logran mejoras en su bienestar físico y condiciones de inserción social 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85.5" customHeight="1">
      <c r="A4" s="115"/>
      <c r="B4" s="116" t="str">
        <f ca="1">IFERROR(__xludf.DUMMYFUNCTION("""COMPUTED_VALUE"""),"PROPÓSITO")</f>
        <v>PROPÓSITO</v>
      </c>
      <c r="C4" s="116" t="str">
        <f ca="1">IFERROR(__xludf.DUMMYFUNCTION("""COMPUTED_VALUE"""),"Se contribuye a desarrollar el bienestar físico,  integral e inclusión de las personas adultas mayores y personas con algún tipo de discapacidad con al menos una vulnerabilidad social o de ingresos que habitan en el municipio de Guadalajara a través de lo"&amp;"s programas que integran el eje de Guadalajara sin Barreras del Sistema DIF Guadalajara  durante el 2023")</f>
        <v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2023</v>
      </c>
      <c r="D4" s="116" t="str">
        <f ca="1">IFERROR(__xludf.DUMMYFUNCTION("""COMPUTED_VALUE"""),"Porcentaje de cobertura de servicios de bienestar físico e inclusión para personas adultas mayores o que viven con alguna discapacidad en el municipio de Guadalajara en 2023")</f>
        <v>Porcentaje de cobertura de servicios de bienestar físico e inclusión para personas adultas mayores o que viven con alguna discapacidad en el municipio de Guadalajara en 2023</v>
      </c>
      <c r="E4" s="116" t="str">
        <f ca="1">IFERROR(__xludf.DUMMYFUNCTION("""COMPUTED_VALUE"""),"Número de servicios brindados en el eje de Guadalajara Sin Barreras/ número de servicios meta del eje Sin Barreras 2022*100")</f>
        <v>Número de servicios brindados en el eje de Guadalajara Sin Barreras/ número de servicios meta del eje Sin Barreras 2022*100</v>
      </c>
      <c r="F4" s="116" t="str">
        <f ca="1">IFERROR(__xludf.DUMMYFUNCTION("""COMPUTED_VALUE"""),"Mide el porcentaje de cobertura de servicios de bienestar físico e inclusión para personas adultas mayores o que viven con alguna discapacidad en el municipio de Guadalajara respecto de la meta planteada para el 2023")</f>
        <v>Mide el porcentaje de cobertura de servicios de bienestar físico e inclusión para personas adultas mayores o que viven con alguna discapacidad en el municipio de Guadalajara respecto de la meta planteada para el 2023</v>
      </c>
      <c r="G4" s="116" t="str">
        <f ca="1">IFERROR(__xludf.DUMMYFUNCTION("""COMPUTED_VALUE"""),"Estratégico ")</f>
        <v xml:space="preserve">Estratégico </v>
      </c>
      <c r="H4" s="116" t="str">
        <f ca="1">IFERROR(__xludf.DUMMYFUNCTION("""COMPUTED_VALUE"""),"Eficacia")</f>
        <v>Eficacia</v>
      </c>
      <c r="I4" s="116" t="str">
        <f ca="1">IFERROR(__xludf.DUMMYFUNCTION("""COMPUTED_VALUE"""),"Porcentaje")</f>
        <v>Porcentaje</v>
      </c>
      <c r="J4" s="116" t="str">
        <f ca="1">IFERROR(__xludf.DUMMYFUNCTION("""COMPUTED_VALUE"""),"No disponible")</f>
        <v>No disponible</v>
      </c>
      <c r="K4" s="117">
        <f ca="1">IFERROR(__xludf.DUMMYFUNCTION("""COMPUTED_VALUE"""),36800)</f>
        <v>36800</v>
      </c>
      <c r="L4" s="116" t="str">
        <f ca="1">IFERROR(__xludf.DUMMYFUNCTION("""COMPUTED_VALUE"""),"V1: Padrón de beneficiarios y registro de avances de los programas del eje de Guadalajara sin Barreras del Sistema DIF Guadalajara /V2: Planes de trabajo de los programas del eje de Guadalajara sin Barreras del Sistema DIF Guadalajara")</f>
        <v>V1: Padrón de beneficiarios y registro de avances de los programas del eje de Guadalajara sin Barreras del Sistema DIF Guadalajara /V2: Planes de trabajo de los programas del eje de Guadalajara sin Barreras del Sistema DIF Guadalajara</v>
      </c>
      <c r="M4" s="116" t="str">
        <f ca="1">IFERROR(__xludf.DUMMYFUNCTION("""COMPUTED_VALUE"""),"La comunidad de Guadalajara pone los medios necesarios para que las personas adultas mayores o con discapacidad asistan a los centros.")</f>
        <v>La comunidad de Guadalajara pone los medios necesarios para que las personas adultas mayores o con discapacidad asistan a los centros.</v>
      </c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85.5" customHeight="1">
      <c r="A5" s="115"/>
      <c r="B5" s="116" t="str">
        <f ca="1">IFERROR(__xludf.DUMMYFUNCTION("""COMPUTED_VALUE"""),"COMPONENTE 1")</f>
        <v>COMPONENTE 1</v>
      </c>
      <c r="C5" s="116" t="str">
        <f ca="1">IFERROR(__xludf.DUMMYFUNCTION("""COMPUTED_VALUE"""),"C1. Servicios de atención integral a personas con discapacidad intelectual y sus familias brindados en CEAMIVIDA")</f>
        <v>C1. Servicios de atención integral a personas con discapacidad intelectual y sus familias brindados en CEAMIVIDA</v>
      </c>
      <c r="D5" s="116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E5" s="116" t="str">
        <f ca="1">IFERROR(__xludf.DUMMYFUNCTION("""COMPUTED_VALUE"""),"(Número de personas atendidas en talleres recreativos, formativos, deportivos, consultas médicas y psicológicas impartidas en el programa de CEAMIVIDA durante el 2023)/4")</f>
        <v>(Número de personas atendidas en talleres recreativos, formativos, deportivos, consultas médicas y psicológicas impartidas en el programa de CEAMIVIDA durante el 2023)/4</v>
      </c>
      <c r="F5" s="116" t="str">
        <f ca="1">IFERROR(__xludf.DUMMYFUNCTION("""COMPUTED_VALUE"""),"Mide el promedio de personas atendidas y sus familias en talleres recreativos, formativos, deportivos, consultas médicas y psicológicas impartidas en el programa de CEAMIVIDA en 2023")</f>
        <v>Mide el promedio de personas atendidas y sus familias en talleres recreativos, formativos, deportivos, consultas médicas y psicológicas impartidas en el programa de CEAMIVIDA en 2023</v>
      </c>
      <c r="G5" s="116" t="str">
        <f ca="1">IFERROR(__xludf.DUMMYFUNCTION("""COMPUTED_VALUE"""),"Estratégico ")</f>
        <v xml:space="preserve">Estratégico </v>
      </c>
      <c r="H5" s="116" t="str">
        <f ca="1">IFERROR(__xludf.DUMMYFUNCTION("""COMPUTED_VALUE"""),"Eficacia")</f>
        <v>Eficacia</v>
      </c>
      <c r="I5" s="116" t="str">
        <f ca="1">IFERROR(__xludf.DUMMYFUNCTION("""COMPUTED_VALUE"""),"Promedio")</f>
        <v>Promedio</v>
      </c>
      <c r="J5" s="116" t="str">
        <f ca="1">IFERROR(__xludf.DUMMYFUNCTION("""COMPUTED_VALUE"""),"No disponible")</f>
        <v>No disponible</v>
      </c>
      <c r="K5" s="117">
        <f ca="1">IFERROR(__xludf.DUMMYFUNCTION("""COMPUTED_VALUE"""),372)</f>
        <v>372</v>
      </c>
      <c r="L5" s="116" t="str">
        <f ca="1">IFERROR(__xludf.DUMMYFUNCTION("""COMPUTED_VALUE"""),"Expediente, listas de asistencia")</f>
        <v>Expediente, listas de asistencia</v>
      </c>
      <c r="M5" s="116" t="str">
        <f ca="1">IFERROR(__xludf.DUMMYFUNCTION("""COMPUTED_VALUE"""),"Los beneficiarios de CEAMIVIDA cuentan con el mínimo estado de salud para poder asistir al CEAMIVIDA.")</f>
        <v>Los beneficiarios de CEAMIVIDA cuentan con el mínimo estado de salud para poder asistir al CEAMIVIDA.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85.5" customHeight="1">
      <c r="A6" s="115"/>
      <c r="B6" s="116" t="str">
        <f ca="1">IFERROR(__xludf.DUMMYFUNCTION("""COMPUTED_VALUE"""),"ACTIVIDAD 1.1")</f>
        <v>ACTIVIDAD 1.1</v>
      </c>
      <c r="C6" s="116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D6" s="116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E6" s="116" t="str">
        <f ca="1">IFERROR(__xludf.DUMMYFUNCTION("""COMPUTED_VALUE"""),"((Número de consultas psicológicas o médicas para personas con discapacidad intelectual  y sus familias brindadas  en CEAMIVIDA durante el 2023 )/( Número de consultas psicológicas o médicas para personas con discapacidad intelectual  y sus familias progr"&amp;"amadas en CEAMIVIDA para el 2023))*100")</f>
        <v>((Número de consultas psicológicas o médicas para personas con discapacidad intelectual  y sus familias brindadas  en CEAMIVIDA durante el 2023 )/( Número de consultas psicológicas o médicas para personas con discapacidad intelectual  y sus familias programadas en CEAMIVIDA para el 2023))*100</v>
      </c>
      <c r="F6" s="116" t="str">
        <f ca="1">IFERROR(__xludf.DUMMYFUNCTION("""COMPUTED_VALUE"""),"Mide el porcentaje de consultas psicológicas o médicas para personas con discapacidad intelectual brindadas en CEAMIVIDA en 2023")</f>
        <v>Mide el porcentaje de consultas psicológicas o médicas para personas con discapacidad intelectual brindadas en CEAMIVIDA en 2023</v>
      </c>
      <c r="G6" s="116" t="str">
        <f ca="1">IFERROR(__xludf.DUMMYFUNCTION("""COMPUTED_VALUE"""),"Gestión")</f>
        <v>Gestión</v>
      </c>
      <c r="H6" s="116" t="str">
        <f ca="1">IFERROR(__xludf.DUMMYFUNCTION("""COMPUTED_VALUE"""),"Eficacia")</f>
        <v>Eficacia</v>
      </c>
      <c r="I6" s="116" t="str">
        <f ca="1">IFERROR(__xludf.DUMMYFUNCTION("""COMPUTED_VALUE"""),"Porcentaje")</f>
        <v>Porcentaje</v>
      </c>
      <c r="J6" s="116" t="str">
        <f ca="1">IFERROR(__xludf.DUMMYFUNCTION("""COMPUTED_VALUE"""),"No disponible")</f>
        <v>No disponible</v>
      </c>
      <c r="K6" s="117">
        <f ca="1">IFERROR(__xludf.DUMMYFUNCTION("""COMPUTED_VALUE"""),810)</f>
        <v>810</v>
      </c>
      <c r="L6" s="116" t="str">
        <f ca="1">IFERROR(__xludf.DUMMYFUNCTION("""COMPUTED_VALUE"""),"Bitácora")</f>
        <v>Bitácora</v>
      </c>
      <c r="M6" s="116" t="str">
        <f ca="1">IFERROR(__xludf.DUMMYFUNCTION("""COMPUTED_VALUE"""),"La población de personas con discapacidad intelectual y sus familias reconocen la importancia de la atención psicológica y médica brindada por el DIF a través de CEAMIVIDA para mejorar su calidad de vida y está dispuesta a participar activamente en el pro"&amp;"grama. ")</f>
        <v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v>
      </c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85.5" customHeight="1">
      <c r="A7" s="115"/>
      <c r="B7" s="116" t="str">
        <f ca="1">IFERROR(__xludf.DUMMYFUNCTION("""COMPUTED_VALUE"""),"ACTIVIDAD 1.2")</f>
        <v>ACTIVIDAD 1.2</v>
      </c>
      <c r="C7" s="116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D7" s="116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E7" s="116" t="str">
        <f ca="1">IFERROR(__xludf.DUMMYFUNCTION("""COMPUTED_VALUE"""),"((Número de sesiones de talleres recreativos, formativos y deportivos para personas con discapacidad intelectual  y sus familias implementados en CEAMIVIDA  durante el 2023)/ (Número de sesiones de talleres recreativos, formativos y deportivos para person"&amp;"as con discapacidad intelectual  y sus familias programados en CEAMIVIDA para el 2023))*100")</f>
        <v>((Número de sesiones de talleres recreativos, formativos y deportivos para personas con discapacidad intelectual  y sus familias implementados en CEAMIVIDA  durante el 2023)/ (Número de sesiones de talleres recreativos, formativos y deportivos para personas con discapacidad intelectual  y sus familias programados en CEAMIVIDA para el 2023))*100</v>
      </c>
      <c r="F7" s="116" t="str">
        <f ca="1">IFERROR(__xludf.DUMMYFUNCTION("""COMPUTED_VALUE"""),"Mide el porcentaje de sesiones de talleres recreativos, formativos y deportivos para personas con discapacidad intelectual implementados en CEAMIVIDA en 2023")</f>
        <v>Mide el porcentaje de sesiones de talleres recreativos, formativos y deportivos para personas con discapacidad intelectual implementados en CEAMIVIDA en 2023</v>
      </c>
      <c r="G7" s="116" t="str">
        <f ca="1">IFERROR(__xludf.DUMMYFUNCTION("""COMPUTED_VALUE"""),"Gestión")</f>
        <v>Gestión</v>
      </c>
      <c r="H7" s="116" t="str">
        <f ca="1">IFERROR(__xludf.DUMMYFUNCTION("""COMPUTED_VALUE"""),"Eficacia")</f>
        <v>Eficacia</v>
      </c>
      <c r="I7" s="116" t="str">
        <f ca="1">IFERROR(__xludf.DUMMYFUNCTION("""COMPUTED_VALUE"""),"Porcentaje")</f>
        <v>Porcentaje</v>
      </c>
      <c r="J7" s="116" t="str">
        <f ca="1">IFERROR(__xludf.DUMMYFUNCTION("""COMPUTED_VALUE"""),"No disponible")</f>
        <v>No disponible</v>
      </c>
      <c r="K7" s="117">
        <f ca="1">IFERROR(__xludf.DUMMYFUNCTION("""COMPUTED_VALUE"""),990)</f>
        <v>990</v>
      </c>
      <c r="L7" s="116" t="str">
        <f ca="1">IFERROR(__xludf.DUMMYFUNCTION("""COMPUTED_VALUE"""),"Listas de asistencia")</f>
        <v>Listas de asistencia</v>
      </c>
      <c r="M7" s="116" t="str">
        <f ca="1">IFERROR(__xludf.DUMMYFUNCTION("""COMPUTED_VALUE"""),"Las personas con discapacidad intelectual y sus familias en la ciudad de Guadalajara tienen acceso y conocimiento de los servicios y programas que ofrece el DIF, y tienen la disponibilidad y disposición de asistir a los talleres especializados brindados e"&amp;"n CEAMIVIDA.")</f>
        <v>Las personas con discapacidad intelectual y sus familias en la ciudad de Guadalajara tienen acceso y conocimiento de los servicios y programas que ofrece el DIF, y tienen la disponibilidad y disposición de asistir a los talleres especializados brindados en CEAMIVIDA.</v>
      </c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85.5" customHeight="1">
      <c r="A8" s="115"/>
      <c r="B8" s="116" t="str">
        <f ca="1">IFERROR(__xludf.DUMMYFUNCTION("""COMPUTED_VALUE"""),"COMPONENTE 2")</f>
        <v>COMPONENTE 2</v>
      </c>
      <c r="C8" s="116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D8" s="116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E8" s="116" t="str">
        <f ca="1">IFERROR(__xludf.DUMMYFUNCTION("""COMPUTED_VALUE"""),"(Número de personas atendidas en terapia especializada para DI, TEA, durante el 2023)/ 4")</f>
        <v>(Número de personas atendidas en terapia especializada para DI, TEA, durante el 2023)/ 4</v>
      </c>
      <c r="F8" s="116" t="str">
        <f ca="1">IFERROR(__xludf.DUMMYFUNCTION("""COMPUTED_VALUE"""),"Mide el promedio de personas atendidas en terapia especializada durante el transcurso del año 2023")</f>
        <v>Mide el promedio de personas atendidas en terapia especializada durante el transcurso del año 2023</v>
      </c>
      <c r="G8" s="116" t="str">
        <f ca="1">IFERROR(__xludf.DUMMYFUNCTION("""COMPUTED_VALUE"""),"Estratégico ")</f>
        <v xml:space="preserve">Estratégico </v>
      </c>
      <c r="H8" s="116" t="str">
        <f ca="1">IFERROR(__xludf.DUMMYFUNCTION("""COMPUTED_VALUE"""),"Eficacia")</f>
        <v>Eficacia</v>
      </c>
      <c r="I8" s="116" t="str">
        <f ca="1">IFERROR(__xludf.DUMMYFUNCTION("""COMPUTED_VALUE"""),"Promedio")</f>
        <v>Promedio</v>
      </c>
      <c r="J8" s="116" t="str">
        <f ca="1">IFERROR(__xludf.DUMMYFUNCTION("""COMPUTED_VALUE"""),"No disponible")</f>
        <v>No disponible</v>
      </c>
      <c r="K8" s="117">
        <f ca="1">IFERROR(__xludf.DUMMYFUNCTION("""COMPUTED_VALUE"""),450)</f>
        <v>450</v>
      </c>
      <c r="L8" s="116" t="str">
        <f ca="1">IFERROR(__xludf.DUMMYFUNCTION("""COMPUTED_VALUE"""),"Expediente, listas de asistencia")</f>
        <v>Expediente, listas de asistencia</v>
      </c>
      <c r="M8" s="116" t="str">
        <f ca="1">IFERROR(__xludf.DUMMYFUNCTION("""COMPUTED_VALUE"""),"Los pacientes cuentan con los mínimos requisitos de salud para poder asistir a terapias a CADI,")</f>
        <v>Los pacientes cuentan con los mínimos requisitos de salud para poder asistir a terapias a CADI,</v>
      </c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ht="85.5" customHeight="1">
      <c r="A9" s="115"/>
      <c r="B9" s="116" t="str">
        <f ca="1">IFERROR(__xludf.DUMMYFUNCTION("""COMPUTED_VALUE"""),"ACTIVIDAD 2.1")</f>
        <v>ACTIVIDAD 2.1</v>
      </c>
      <c r="C9" s="116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D9" s="116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E9" s="116" t="str">
        <f ca="1">IFERROR(__xludf.DUMMYFUNCTION("""COMPUTED_VALUE"""),"Número de sesiones de terapia especializada individual para discapacidad intelectual o trastorno del espectro autista, lenguaje y estimulación cognitiva durante el 2023/ Número de sesiones de terapia especializada individual y discapacidad intelectual o t"&amp;"rastorno del espectro autista, lenguaje y estimulación cognitiva programadas para el 2023*100")</f>
        <v>Número de sesiones de terapia especializada individual para discapacidad intelectual o trastorno del espectro autista, lenguaje y estimulación cognitiva durante el 2023/ Número de sesiones de terapia especializada individual y discapacidad intelectual o trastorno del espectro autista, lenguaje y estimulación cognitiva programadas para el 2023*100</v>
      </c>
      <c r="F9" s="116" t="str">
        <f ca="1">IFERROR(__xludf.DUMMYFUNCTION("""COMPUTED_VALUE"""),"Mide el porcentaje logrado de sesiones de terapia especializada y complementaria para personas con DI o TEA planteadas como meta anual del 2023")</f>
        <v>Mide el porcentaje logrado de sesiones de terapia especializada y complementaria para personas con DI o TEA planteadas como meta anual del 2023</v>
      </c>
      <c r="G9" s="116" t="str">
        <f ca="1">IFERROR(__xludf.DUMMYFUNCTION("""COMPUTED_VALUE"""),"Gestión")</f>
        <v>Gestión</v>
      </c>
      <c r="H9" s="116" t="str">
        <f ca="1">IFERROR(__xludf.DUMMYFUNCTION("""COMPUTED_VALUE"""),"Eficacia")</f>
        <v>Eficacia</v>
      </c>
      <c r="I9" s="116" t="str">
        <f ca="1">IFERROR(__xludf.DUMMYFUNCTION("""COMPUTED_VALUE"""),"Porcentaje")</f>
        <v>Porcentaje</v>
      </c>
      <c r="J9" s="116" t="str">
        <f ca="1">IFERROR(__xludf.DUMMYFUNCTION("""COMPUTED_VALUE"""),"No disponible")</f>
        <v>No disponible</v>
      </c>
      <c r="K9" s="117">
        <f ca="1">IFERROR(__xludf.DUMMYFUNCTION("""COMPUTED_VALUE"""),5600)</f>
        <v>5600</v>
      </c>
      <c r="L9" s="116" t="str">
        <f ca="1">IFERROR(__xludf.DUMMYFUNCTION("""COMPUTED_VALUE"""),"Expedientes")</f>
        <v>Expedientes</v>
      </c>
      <c r="M9" s="116" t="str">
        <f ca="1">IFERROR(__xludf.DUMMYFUNCTION("""COMPUTED_VALUE"""),"Cuidadores de las personas con TEA y de DI acuden a las instalaciones con los pacientes del centro. ")</f>
        <v xml:space="preserve">Cuidadores de las personas con TEA y de DI acuden a las instalaciones con los pacientes del centro. 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ht="85.5" customHeight="1">
      <c r="A10" s="115"/>
      <c r="B10" s="116" t="str">
        <f ca="1">IFERROR(__xludf.DUMMYFUNCTION("""COMPUTED_VALUE"""),"COMPONENTE 3")</f>
        <v>COMPONENTE 3</v>
      </c>
      <c r="C10" s="116" t="str">
        <f ca="1">IFERROR(__xludf.DUMMYFUNCTION("""COMPUTED_VALUE"""),"Número de apoyos, servicios y actividades de promoción dirigidas a la inclusión y garantía de derechos de personas con discapacidad realizadas en 2023")</f>
        <v>Número de apoyos, servicios y actividades de promoción dirigidas a la inclusión y garantía de derechos de personas con discapacidad realizadas en 2023</v>
      </c>
      <c r="D10" s="116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E10" s="116" t="str">
        <f ca="1">IFERROR(__xludf.DUMMYFUNCTION("""COMPUTED_VALUE"""),"(Número de apoyos, servicios y actividades realizados en 2023 /Número de apoyos, servicios y actividades programados para el 2023)*100")</f>
        <v>(Número de apoyos, servicios y actividades realizados en 2023 /Número de apoyos, servicios y actividades programados para el 2023)*100</v>
      </c>
      <c r="F10" s="116" t="str">
        <f ca="1">IFERROR(__xludf.DUMMYFUNCTION("""COMPUTED_VALUE"""),"Mide el porcentaje de apoyos, servicios y actividades realizadas y dirigidas a personas con discapacidad en 2023")</f>
        <v>Mide el porcentaje de apoyos, servicios y actividades realizadas y dirigidas a personas con discapacidad en 2023</v>
      </c>
      <c r="G10" s="116" t="str">
        <f ca="1">IFERROR(__xludf.DUMMYFUNCTION("""COMPUTED_VALUE"""),"Estratégico ")</f>
        <v xml:space="preserve">Estratégico </v>
      </c>
      <c r="H10" s="116" t="str">
        <f ca="1">IFERROR(__xludf.DUMMYFUNCTION("""COMPUTED_VALUE"""),"Eficacia")</f>
        <v>Eficacia</v>
      </c>
      <c r="I10" s="116" t="str">
        <f ca="1">IFERROR(__xludf.DUMMYFUNCTION("""COMPUTED_VALUE"""),"Porcentaje")</f>
        <v>Porcentaje</v>
      </c>
      <c r="J10" s="116" t="str">
        <f ca="1">IFERROR(__xludf.DUMMYFUNCTION("""COMPUTED_VALUE"""),"No disponible")</f>
        <v>No disponible</v>
      </c>
      <c r="K10" s="117">
        <f ca="1">IFERROR(__xludf.DUMMYFUNCTION("""COMPUTED_VALUE"""),470)</f>
        <v>470</v>
      </c>
      <c r="L10" s="116" t="str">
        <f ca="1">IFERROR(__xludf.DUMMYFUNCTION("""COMPUTED_VALUE"""),"Listas de asistencia, padrón de beneficiarios")</f>
        <v>Listas de asistencia, padrón de beneficiarios</v>
      </c>
      <c r="M10" s="116" t="str">
        <f ca="1">IFERROR(__xludf.DUMMYFUNCTION("""COMPUTED_VALUE"""),"Los cuidadores de las personas con discapacidad tienen acceso a la información sobre los servicios y actividades de promoción a través de canales de comunicación accesibles y adecuados a sus necesidades")</f>
        <v>Los cuidadores de las personas con discapacidad tienen acceso a la información sobre los servicios y actividades de promoción a través de canales de comunicación accesibles y adecuados a sus necesidades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85.5" customHeight="1">
      <c r="A11" s="115"/>
      <c r="B11" s="116" t="str">
        <f ca="1">IFERROR(__xludf.DUMMYFUNCTION("""COMPUTED_VALUE"""),"ACTIVIDAD 3.1")</f>
        <v>ACTIVIDAD 3.1</v>
      </c>
      <c r="C11" s="116" t="str">
        <f ca="1">IFERROR(__xludf.DUMMYFUNCTION("""COMPUTED_VALUE"""),"Otorgar medicamentos a personas adultas con discapacidad intelectual institucionalizadas para la garantía de sus derechos durante el 2023.")</f>
        <v>Otorgar medicamentos a personas adultas con discapacidad intelectual institucionalizadas para la garantía de sus derechos durante el 2023.</v>
      </c>
      <c r="D11" s="116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E11" s="116" t="str">
        <f ca="1">IFERROR(__xludf.DUMMYFUNCTION("""COMPUTED_VALUE"""),"(Número de personas con discapacidad institucionalizados que reciben medicamentos durante el 2023/ 4)")</f>
        <v>(Número de personas con discapacidad institucionalizados que reciben medicamentos durante el 2023/ 4)</v>
      </c>
      <c r="F11" s="116" t="str">
        <f ca="1">IFERROR(__xludf.DUMMYFUNCTION("""COMPUTED_VALUE"""),"Mide el Promedio de personas adultas con discapacidad intelectual institucionalizadas que reciben de manera oportuna medicamentos para la garantía de sus derechos durante el 2023")</f>
        <v>Mide el Promedio de personas adultas con discapacidad intelectual institucionalizadas que reciben de manera oportuna medicamentos para la garantía de sus derechos durante el 2023</v>
      </c>
      <c r="G11" s="116" t="str">
        <f ca="1">IFERROR(__xludf.DUMMYFUNCTION("""COMPUTED_VALUE"""),"Gestión")</f>
        <v>Gestión</v>
      </c>
      <c r="H11" s="116" t="str">
        <f ca="1">IFERROR(__xludf.DUMMYFUNCTION("""COMPUTED_VALUE"""),"Eficacia")</f>
        <v>Eficacia</v>
      </c>
      <c r="I11" s="116" t="str">
        <f ca="1">IFERROR(__xludf.DUMMYFUNCTION("""COMPUTED_VALUE"""),"Promedio")</f>
        <v>Promedio</v>
      </c>
      <c r="J11" s="116" t="str">
        <f ca="1">IFERROR(__xludf.DUMMYFUNCTION("""COMPUTED_VALUE"""),"No disponible")</f>
        <v>No disponible</v>
      </c>
      <c r="K11" s="117">
        <f ca="1">IFERROR(__xludf.DUMMYFUNCTION("""COMPUTED_VALUE"""),66)</f>
        <v>66</v>
      </c>
      <c r="L11" s="116" t="str">
        <f ca="1">IFERROR(__xludf.DUMMYFUNCTION("""COMPUTED_VALUE"""),"Listas de asistencia, padrón de beneficiarios")</f>
        <v>Listas de asistencia, padrón de beneficiarios</v>
      </c>
      <c r="M11" s="116" t="str">
        <f ca="1">IFERROR(__xludf.DUMMYFUNCTION("""COMPUTED_VALUE"""),"Existen y están disponibilidad los medicamentos necesarios, en el mercado farmacéutico local y/o internacional,")</f>
        <v>Existen y están disponibilidad los medicamentos necesarios, en el mercado farmacéutico local y/o internacional,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ht="85.5" customHeight="1">
      <c r="A12" s="115"/>
      <c r="B12" s="116" t="str">
        <f ca="1">IFERROR(__xludf.DUMMYFUNCTION("""COMPUTED_VALUE"""),"ACTIVIDAD 3.2")</f>
        <v>ACTIVIDAD 3.2</v>
      </c>
      <c r="C12" s="116" t="str">
        <f ca="1">IFERROR(__xludf.DUMMYFUNCTION("""COMPUTED_VALUE"""),"Otorgar apoyo de vivienda temporal a personas con discapacidad intelectual o mental institucionalizados para la garantía de sus derechos durante el 2023.")</f>
        <v>Otorgar apoyo de vivienda temporal a personas con discapacidad intelectual o mental institucionalizados para la garantía de sus derechos durante el 2023.</v>
      </c>
      <c r="D12" s="116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E12" s="116" t="str">
        <f ca="1">IFERROR(__xludf.DUMMYFUNCTION("""COMPUTED_VALUE"""),"(Número de personas institucionalizados con discapacidad intelectual o mental que recibieron apoyo de vivienda temporal durante el 2023/ Número de personas  institucionalizados con discapacidad intelectual o mental programadas para el 2023)*100")</f>
        <v>(Número de personas institucionalizados con discapacidad intelectual o mental que recibieron apoyo de vivienda temporal durante el 2023/ Número de personas  institucionalizados con discapacidad intelectual o mental programadas para el 2023)*100</v>
      </c>
      <c r="F12" s="116" t="str">
        <f ca="1">IFERROR(__xludf.DUMMYFUNCTION("""COMPUTED_VALUE"""),"Mide el Porcentaje de personas con discapacidad intelectual o mental institucionalizados que recibieron apoyo de vivienda temporal para la garantía de sus derechos en 2023")</f>
        <v>Mide el Porcentaje de personas con discapacidad intelectual o mental institucionalizados que recibieron apoyo de vivienda temporal para la garantía de sus derechos en 2023</v>
      </c>
      <c r="G12" s="116" t="str">
        <f ca="1">IFERROR(__xludf.DUMMYFUNCTION("""COMPUTED_VALUE"""),"Gestión")</f>
        <v>Gestión</v>
      </c>
      <c r="H12" s="116" t="str">
        <f ca="1">IFERROR(__xludf.DUMMYFUNCTION("""COMPUTED_VALUE"""),"Eficacia")</f>
        <v>Eficacia</v>
      </c>
      <c r="I12" s="116" t="str">
        <f ca="1">IFERROR(__xludf.DUMMYFUNCTION("""COMPUTED_VALUE"""),"Porcentaje")</f>
        <v>Porcentaje</v>
      </c>
      <c r="J12" s="116" t="str">
        <f ca="1">IFERROR(__xludf.DUMMYFUNCTION("""COMPUTED_VALUE"""),"No disponible")</f>
        <v>No disponible</v>
      </c>
      <c r="K12" s="117">
        <f ca="1">IFERROR(__xludf.DUMMYFUNCTION("""COMPUTED_VALUE"""),15)</f>
        <v>15</v>
      </c>
      <c r="L12" s="116" t="str">
        <f ca="1">IFERROR(__xludf.DUMMYFUNCTION("""COMPUTED_VALUE"""),"Padrón de beneficiarios")</f>
        <v>Padrón de beneficiarios</v>
      </c>
      <c r="M12" s="116" t="str">
        <f ca="1">IFERROR(__xludf.DUMMYFUNCTION("""COMPUTED_VALUE"""),"Exist eun balance entre el espacio disponible y la demanda a cubrir.")</f>
        <v>Exist eun balance entre el espacio disponible y la demanda a cubrir.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85.5" customHeight="1">
      <c r="A13" s="115"/>
      <c r="B13" s="116" t="str">
        <f ca="1">IFERROR(__xludf.DUMMYFUNCTION("""COMPUTED_VALUE"""),"ACTIVIDAD 3.3")</f>
        <v>ACTIVIDAD 3.3</v>
      </c>
      <c r="C13" s="116" t="str">
        <f ca="1">IFERROR(__xludf.DUMMYFUNCTION("""COMPUTED_VALUE"""),"Impartición de talleres de sensibilización a instituciones y centros laborales del sector público y privado, instituciones escolares y público en general de promoción de la cultura de inclusión durante el 2023.")</f>
        <v>Impartición de talleres de sensibilización a instituciones y centros laborales del sector público y privado, instituciones escolares y público en general de promoción de la cultura de inclusión durante el 2023.</v>
      </c>
      <c r="D13" s="116" t="str">
        <f ca="1">IFERROR(__xludf.DUMMYFUNCTION("""COMPUTED_VALUE"""),"Porcentaje de talleres brindados durante el 2023")</f>
        <v>Porcentaje de talleres brindados durante el 2023</v>
      </c>
      <c r="E13" s="116" t="str">
        <f ca="1">IFERROR(__xludf.DUMMYFUNCTION("""COMPUTED_VALUE"""),"(Número de talleres impartidos durante el 2023/Número de talleres establecidos como meta para el 2023)*100")</f>
        <v>(Número de talleres impartidos durante el 2023/Número de talleres establecidos como meta para el 2023)*100</v>
      </c>
      <c r="F13" s="116" t="str">
        <f ca="1">IFERROR(__xludf.DUMMYFUNCTION("""COMPUTED_VALUE"""),"Mide el Porcentaje de talleres brindados durante el 2023")</f>
        <v>Mide el Porcentaje de talleres brindados durante el 2023</v>
      </c>
      <c r="G13" s="116" t="str">
        <f ca="1">IFERROR(__xludf.DUMMYFUNCTION("""COMPUTED_VALUE"""),"Gestión")</f>
        <v>Gestión</v>
      </c>
      <c r="H13" s="116" t="str">
        <f ca="1">IFERROR(__xludf.DUMMYFUNCTION("""COMPUTED_VALUE"""),"Eficacia")</f>
        <v>Eficacia</v>
      </c>
      <c r="I13" s="116" t="str">
        <f ca="1">IFERROR(__xludf.DUMMYFUNCTION("""COMPUTED_VALUE"""),"Porcentaje")</f>
        <v>Porcentaje</v>
      </c>
      <c r="J13" s="116" t="str">
        <f ca="1">IFERROR(__xludf.DUMMYFUNCTION("""COMPUTED_VALUE"""),"No disponible")</f>
        <v>No disponible</v>
      </c>
      <c r="K13" s="117">
        <f ca="1">IFERROR(__xludf.DUMMYFUNCTION("""COMPUTED_VALUE"""),25)</f>
        <v>25</v>
      </c>
      <c r="L13" s="116" t="str">
        <f ca="1">IFERROR(__xludf.DUMMYFUNCTION("""COMPUTED_VALUE"""),"Listas de asistencia y evidencia fotográfica")</f>
        <v>Listas de asistencia y evidencia fotográfica</v>
      </c>
      <c r="M13" s="116" t="str">
        <f ca="1">IFERROR(__xludf.DUMMYFUNCTION("""COMPUTED_VALUE"""),"Existe una disposición por parte de las instituciones y centros laborales del sector público y privado, instituciones escolares y público en general para participar en los talleres de sensibilización y promoción de la cultura de inclusión.")</f>
        <v>Existe una disposición por parte de las instituciones y centros laborales del sector público y privado, instituciones escolares y público en general para participar en los talleres de sensibilización y promoción de la cultura de inclusión.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85.5" customHeight="1">
      <c r="A14" s="115"/>
      <c r="B14" s="116" t="str">
        <f ca="1">IFERROR(__xludf.DUMMYFUNCTION("""COMPUTED_VALUE"""),"COMPONENTE 4")</f>
        <v>COMPONENTE 4</v>
      </c>
      <c r="C14" s="116" t="str">
        <f ca="1">IFERROR(__xludf.DUMMYFUNCTION("""COMPUTED_VALUE"""),"Asistencias de personas adultas mayores a capacitaciones y talleres de envejecimiento activo en 2023")</f>
        <v>Asistencias de personas adultas mayores a capacitaciones y talleres de envejecimiento activo en 2023</v>
      </c>
      <c r="D14" s="116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E14" s="116" t="str">
        <f ca="1">IFERROR(__xludf.DUMMYFUNCTION("""COMPUTED_VALUE"""),"Número de asistencias a una capacitación o taller durante el 2023/4")</f>
        <v>Número de asistencias a una capacitación o taller durante el 2023/4</v>
      </c>
      <c r="F14" s="116" t="str">
        <f ca="1">IFERROR(__xludf.DUMMYFUNCTION("""COMPUTED_VALUE"""),"Mide el promedio de asistencias de personas adultas mayores a capacitación y taller de envejecimiento activo durante el 2023")</f>
        <v>Mide el promedio de asistencias de personas adultas mayores a capacitación y taller de envejecimiento activo durante el 2023</v>
      </c>
      <c r="G14" s="116" t="str">
        <f ca="1">IFERROR(__xludf.DUMMYFUNCTION("""COMPUTED_VALUE"""),"Estratégico ")</f>
        <v xml:space="preserve">Estratégico </v>
      </c>
      <c r="H14" s="116" t="str">
        <f ca="1">IFERROR(__xludf.DUMMYFUNCTION("""COMPUTED_VALUE"""),"Eficacia")</f>
        <v>Eficacia</v>
      </c>
      <c r="I14" s="116" t="str">
        <f ca="1">IFERROR(__xludf.DUMMYFUNCTION("""COMPUTED_VALUE"""),"Promedio")</f>
        <v>Promedio</v>
      </c>
      <c r="J14" s="116" t="str">
        <f ca="1">IFERROR(__xludf.DUMMYFUNCTION("""COMPUTED_VALUE"""),"1853")</f>
        <v>1853</v>
      </c>
      <c r="K14" s="117">
        <f ca="1">IFERROR(__xludf.DUMMYFUNCTION("""COMPUTED_VALUE"""),6000)</f>
        <v>6000</v>
      </c>
      <c r="L14" s="116" t="str">
        <f ca="1">IFERROR(__xludf.DUMMYFUNCTION("""COMPUTED_VALUE"""),"Lista de asistencia")</f>
        <v>Lista de asistencia</v>
      </c>
      <c r="M14" s="116" t="str">
        <f ca="1">IFERROR(__xludf.DUMMYFUNCTION("""COMPUTED_VALUE"""),"Las personas adultas mayores tienen acceso y disponibilidad para asistir a las capacitaciones y talleres ofrecidos por el DIF, tales como transporte y cuidados necesarios para asistir a dichas actividades")</f>
        <v>Las personas adultas mayores tienen acceso y disponibilidad para asistir a las capacitaciones y talleres ofrecidos por el DIF, tales como transporte y cuidados necesarios para asistir a dichas actividades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85.5" customHeight="1">
      <c r="A15" s="115"/>
      <c r="B15" s="116" t="str">
        <f ca="1">IFERROR(__xludf.DUMMYFUNCTION("""COMPUTED_VALUE"""),"ACTIVIDAD 4.1")</f>
        <v>ACTIVIDAD 4.1</v>
      </c>
      <c r="C15" s="116" t="str">
        <f ca="1">IFERROR(__xludf.DUMMYFUNCTION("""COMPUTED_VALUE"""),"Encuentros intergeneracionales realizados en el Programa DIPAM en 2023")</f>
        <v>Encuentros intergeneracionales realizados en el Programa DIPAM en 2023</v>
      </c>
      <c r="D15" s="116" t="str">
        <f ca="1">IFERROR(__xludf.DUMMYFUNCTION("""COMPUTED_VALUE"""),"Porcentaje de encuentros intergeneracionales llevados a cabo en 2023")</f>
        <v>Porcentaje de encuentros intergeneracionales llevados a cabo en 2023</v>
      </c>
      <c r="E15" s="116" t="str">
        <f ca="1">IFERROR(__xludf.DUMMYFUNCTION("""COMPUTED_VALUE"""),"(Número de encuentros intergeneracionales llevados a cabo en 2023/ número de encuentros intergeneracionales programados para el 2023)*100")</f>
        <v>(Número de encuentros intergeneracionales llevados a cabo en 2023/ número de encuentros intergeneracionales programados para el 2023)*100</v>
      </c>
      <c r="F15" s="116" t="str">
        <f ca="1">IFERROR(__xludf.DUMMYFUNCTION("""COMPUTED_VALUE"""),"Mide el porcentaje de encuentros intergeneracionales llevados a cabo en 2023")</f>
        <v>Mide el porcentaje de encuentros intergeneracionales llevados a cabo en 2023</v>
      </c>
      <c r="G15" s="116" t="str">
        <f ca="1">IFERROR(__xludf.DUMMYFUNCTION("""COMPUTED_VALUE"""),"Gestión")</f>
        <v>Gestión</v>
      </c>
      <c r="H15" s="116" t="str">
        <f ca="1">IFERROR(__xludf.DUMMYFUNCTION("""COMPUTED_VALUE"""),"Eficacia")</f>
        <v>Eficacia</v>
      </c>
      <c r="I15" s="116" t="str">
        <f ca="1">IFERROR(__xludf.DUMMYFUNCTION("""COMPUTED_VALUE"""),"Porcentaje")</f>
        <v>Porcentaje</v>
      </c>
      <c r="J15" s="116" t="str">
        <f ca="1">IFERROR(__xludf.DUMMYFUNCTION("""COMPUTED_VALUE"""),"22")</f>
        <v>22</v>
      </c>
      <c r="K15" s="117">
        <f ca="1">IFERROR(__xludf.DUMMYFUNCTION("""COMPUTED_VALUE"""),22)</f>
        <v>22</v>
      </c>
      <c r="L15" s="116" t="str">
        <f ca="1">IFERROR(__xludf.DUMMYFUNCTION("""COMPUTED_VALUE"""),"Lista de asistencia")</f>
        <v>Lista de asistencia</v>
      </c>
      <c r="M15" s="116" t="str">
        <f ca="1">IFERROR(__xludf.DUMMYFUNCTION("""COMPUTED_VALUE"""),"Existe una participación activa y dispuesta por parte de los adultos mayores para asistir a los encuentros intergeneracionales, y cuentan con los recursos materiales y humanos necesarios para llevar a cabo los mismos.")</f>
        <v>Existe una participación activa y dispuesta por parte de los adultos mayores para asistir a los encuentros intergeneracionales, y cuentan con los recursos materiales y humanos necesarios para llevar a cabo los mismos.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ht="85.5" customHeight="1">
      <c r="A16" s="115"/>
      <c r="B16" s="116" t="str">
        <f ca="1">IFERROR(__xludf.DUMMYFUNCTION("""COMPUTED_VALUE"""),"ACTIVIDAD 4.2")</f>
        <v>ACTIVIDAD 4.2</v>
      </c>
      <c r="C16" s="116" t="str">
        <f ca="1">IFERROR(__xludf.DUMMYFUNCTION("""COMPUTED_VALUE"""),"Raciones alimenticias entregadas en el comedor de DIPAM en 2023")</f>
        <v>Raciones alimenticias entregadas en el comedor de DIPAM en 2023</v>
      </c>
      <c r="D16" s="116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E16" s="116" t="str">
        <f ca="1">IFERROR(__xludf.DUMMYFUNCTION("""COMPUTED_VALUE"""),"(Número de raciones alimentarias entregadas en DIPAM en 2023/ número de raciones alimentarias programadas como meta para el 2023)*100")</f>
        <v>(Número de raciones alimentarias entregadas en DIPAM en 2023/ número de raciones alimentarias programadas como meta para el 2023)*100</v>
      </c>
      <c r="F16" s="116" t="str">
        <f ca="1">IFERROR(__xludf.DUMMYFUNCTION("""COMPUTED_VALUE"""),"Mide el porcentaje de cumplimiento en la entrega de raciones alimenticias en el comedor de DIPAM, durante el 2023")</f>
        <v>Mide el porcentaje de cumplimiento en la entrega de raciones alimenticias en el comedor de DIPAM, durante el 2023</v>
      </c>
      <c r="G16" s="116" t="str">
        <f ca="1">IFERROR(__xludf.DUMMYFUNCTION("""COMPUTED_VALUE"""),"Gestión")</f>
        <v>Gestión</v>
      </c>
      <c r="H16" s="116" t="str">
        <f ca="1">IFERROR(__xludf.DUMMYFUNCTION("""COMPUTED_VALUE"""),"Eficacia")</f>
        <v>Eficacia</v>
      </c>
      <c r="I16" s="116" t="str">
        <f ca="1">IFERROR(__xludf.DUMMYFUNCTION("""COMPUTED_VALUE"""),"Porcentaje")</f>
        <v>Porcentaje</v>
      </c>
      <c r="J16" s="116" t="str">
        <f ca="1">IFERROR(__xludf.DUMMYFUNCTION("""COMPUTED_VALUE"""),"No disponible")</f>
        <v>No disponible</v>
      </c>
      <c r="K16" s="117">
        <f ca="1">IFERROR(__xludf.DUMMYFUNCTION("""COMPUTED_VALUE"""),22000)</f>
        <v>22000</v>
      </c>
      <c r="L16" s="116" t="str">
        <f ca="1">IFERROR(__xludf.DUMMYFUNCTION("""COMPUTED_VALUE"""),"Listas de asistencia")</f>
        <v>Listas de asistencia</v>
      </c>
      <c r="M16" s="116" t="str">
        <f ca="1">IFERROR(__xludf.DUMMYFUNCTION("""COMPUTED_VALUE""")," La oferta de alimentos en el mercado local es suficiente y nutritiva para cubrir la demanda de alimentos del programa de asistencia social.")</f>
        <v xml:space="preserve"> La oferta de alimentos en el mercado local es suficiente y nutritiva para cubrir la demanda de alimentos del programa de asistencia social.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85.5" customHeight="1">
      <c r="A17" s="115"/>
      <c r="B17" s="116" t="str">
        <f ca="1">IFERROR(__xludf.DUMMYFUNCTION("""COMPUTED_VALUE"""),"COMPONENTE 5")</f>
        <v>COMPONENTE 5</v>
      </c>
      <c r="C17" s="116" t="str">
        <f ca="1">IFERROR(__xludf.DUMMYFUNCTION("""COMPUTED_VALUE"""),"C5.  Servicios de terapia física, atención psicológica y consulta médica de rehabilitación y de traumatología y ortopedia brindados en el CAIPED en 2023")</f>
        <v>C5.  Servicios de terapia física, atención psicológica y consulta médica de rehabilitación y de traumatología y ortopedia brindados en el CAIPED en 2023</v>
      </c>
      <c r="D17" s="116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E17" s="116" t="str">
        <f ca="1">IFERROR(__xludf.DUMMYFUNCTION("""COMPUTED_VALUE"""),"(Número de personas atendidas en el Centro CAIPED durante el 2023/ número de personas programadas para el 2023)*100")</f>
        <v>(Número de personas atendidas en el Centro CAIPED durante el 2023/ número de personas programadas para el 2023)*100</v>
      </c>
      <c r="F17" s="116" t="str">
        <f ca="1">IFERROR(__xludf.DUMMYFUNCTION("""COMPUTED_VALUE"""),"Mide el porcentaje de servicios brindados a las personas con discapacidad temporal o permanente y población en general atendidos en servicios de terapia física y de lenguaje, consulta médica en rehabilitación, consulta de podología, consulta en traumatolo"&amp;"gía/ortopedia, y psicología en 2023")</f>
        <v>Mide el porcentaje de servicios brindados a las personas con discapacidad temporal o permanente y población en general atendidos en servicios de terapia física y de lenguaje, consulta médica en rehabilitación, consulta de podología, consulta en traumatología/ortopedia, y psicología en 2023</v>
      </c>
      <c r="G17" s="116" t="str">
        <f ca="1">IFERROR(__xludf.DUMMYFUNCTION("""COMPUTED_VALUE"""),"Estratégico ")</f>
        <v xml:space="preserve">Estratégico </v>
      </c>
      <c r="H17" s="116" t="str">
        <f ca="1">IFERROR(__xludf.DUMMYFUNCTION("""COMPUTED_VALUE"""),"Eficacia")</f>
        <v>Eficacia</v>
      </c>
      <c r="I17" s="116" t="str">
        <f ca="1">IFERROR(__xludf.DUMMYFUNCTION("""COMPUTED_VALUE"""),"Porcentaje")</f>
        <v>Porcentaje</v>
      </c>
      <c r="J17" s="116" t="str">
        <f ca="1">IFERROR(__xludf.DUMMYFUNCTION("""COMPUTED_VALUE"""),"No disponible")</f>
        <v>No disponible</v>
      </c>
      <c r="K17" s="117">
        <f ca="1">IFERROR(__xludf.DUMMYFUNCTION("""COMPUTED_VALUE"""),7920)</f>
        <v>7920</v>
      </c>
      <c r="L17" s="116" t="str">
        <f ca="1">IFERROR(__xludf.DUMMYFUNCTION("""COMPUTED_VALUE"""),"Padrón de beneficiarios o listas de asistencia")</f>
        <v>Padrón de beneficiarios o listas de asistencia</v>
      </c>
      <c r="M17" s="116" t="str">
        <f ca="1">IFERROR(__xludf.DUMMYFUNCTION("""COMPUTED_VALUE"""),"La población objetivo cuenta con acceso y disponibilidad para asistir a las instalaciones del CAIPED y recibir los servicios de terapia física, atención psicológica y consulta médica de rehabilitación y de traumatología y ortopedia.")</f>
        <v>La población objetivo cuenta con acceso y disponibilidad para asistir a las instalaciones del CAIPED y recibir los servicios de terapia física, atención psicológica y consulta médica de rehabilitación y de traumatología y ortopedia.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ht="85.5" customHeight="1">
      <c r="A18" s="115"/>
      <c r="B18" s="116" t="str">
        <f ca="1">IFERROR(__xludf.DUMMYFUNCTION("""COMPUTED_VALUE"""),"ACTIVIDAD 5.1")</f>
        <v>ACTIVIDAD 5.1</v>
      </c>
      <c r="C18" s="116" t="str">
        <f ca="1">IFERROR(__xludf.DUMMYFUNCTION("""COMPUTED_VALUE"""),"Sesiones de terapia física brindadas en el Centro CAIPED en 2023")</f>
        <v>Sesiones de terapia física brindadas en el Centro CAIPED en 2023</v>
      </c>
      <c r="D18" s="116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E18" s="116" t="str">
        <f ca="1">IFERROR(__xludf.DUMMYFUNCTION("""COMPUTED_VALUE"""),"(Número de sesiones de terapia física brindadas en el centro CAIPED en 2023/ número de sesiones programadas para el  2023)*100")</f>
        <v>(Número de sesiones de terapia física brindadas en el centro CAIPED en 2023/ número de sesiones programadas para el  2023)*100</v>
      </c>
      <c r="F18" s="116" t="str">
        <f ca="1">IFERROR(__xludf.DUMMYFUNCTION("""COMPUTED_VALUE"""),"Mide el porcentaje de sesiones de terapia física a personas con discapacidad permanente o temporal y población en general en 2023")</f>
        <v>Mide el porcentaje de sesiones de terapia física a personas con discapacidad permanente o temporal y población en general en 2023</v>
      </c>
      <c r="G18" s="116" t="str">
        <f ca="1">IFERROR(__xludf.DUMMYFUNCTION("""COMPUTED_VALUE"""),"Gestión")</f>
        <v>Gestión</v>
      </c>
      <c r="H18" s="116" t="str">
        <f ca="1">IFERROR(__xludf.DUMMYFUNCTION("""COMPUTED_VALUE"""),"Eficacia")</f>
        <v>Eficacia</v>
      </c>
      <c r="I18" s="116" t="str">
        <f ca="1">IFERROR(__xludf.DUMMYFUNCTION("""COMPUTED_VALUE"""),"Porcentaje")</f>
        <v>Porcentaje</v>
      </c>
      <c r="J18" s="116" t="str">
        <f ca="1">IFERROR(__xludf.DUMMYFUNCTION("""COMPUTED_VALUE"""),"No disponible")</f>
        <v>No disponible</v>
      </c>
      <c r="K18" s="117">
        <f ca="1">IFERROR(__xludf.DUMMYFUNCTION("""COMPUTED_VALUE"""),7250)</f>
        <v>7250</v>
      </c>
      <c r="L18" s="116" t="str">
        <f ca="1">IFERROR(__xludf.DUMMYFUNCTION("""COMPUTED_VALUE"""),"Padrón de beneficiarios o listas de asistencia")</f>
        <v>Padrón de beneficiarios o listas de asistencia</v>
      </c>
      <c r="M18" s="116" t="str">
        <f ca="1">IFERROR(__xludf.DUMMYFUNCTION("""COMPUTED_VALUE"""),"Los pacientes que requieren servicios de terapia física en el CAIPED tienen acceso y disponibilidad para asistir regularmente a las sesiones programadas.")</f>
        <v>Los pacientes que requieren servicios de terapia física en el CAIPED tienen acceso y disponibilidad para asistir regularmente a las sesiones programadas.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ht="85.5" customHeight="1">
      <c r="A19" s="115"/>
      <c r="B19" s="116" t="str">
        <f ca="1">IFERROR(__xludf.DUMMYFUNCTION("""COMPUTED_VALUE"""),"ACTIVIDAD 5.2")</f>
        <v>ACTIVIDAD 5.2</v>
      </c>
      <c r="C19" s="116" t="str">
        <f ca="1">IFERROR(__xludf.DUMMYFUNCTION("""COMPUTED_VALUE"""),"Sesiones de consulta médica brindadas en el Centro CAIPED en 2023")</f>
        <v>Sesiones de consulta médica brindadas en el Centro CAIPED en 2023</v>
      </c>
      <c r="D19" s="116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E19" s="116" t="str">
        <f ca="1">IFERROR(__xludf.DUMMYFUNCTION("""COMPUTED_VALUE"""),"(Número de sesiones de consulta médica en rehabilitación y traumatología-ortopedia brindadas en el centro CAIPED, en el 2023/ número de sesiones programadas para el 2023)*100")</f>
        <v>(Número de sesiones de consulta médica en rehabilitación y traumatología-ortopedia brindadas en el centro CAIPED, en el 2023/ número de sesiones programadas para el 2023)*100</v>
      </c>
      <c r="F19" s="116" t="str">
        <f ca="1">IFERROR(__xludf.DUMMYFUNCTION("""COMPUTED_VALUE"""),"Mide el porcentaje de sesiones de consulta médica en rehabilitación y traumatología/ortopedia a personas con discapacidad permanente o temporal y población en general en 2023")</f>
        <v>Mide el porcentaje de sesiones de consulta médica en rehabilitación y traumatología/ortopedia a personas con discapacidad permanente o temporal y población en general en 2023</v>
      </c>
      <c r="G19" s="116" t="str">
        <f ca="1">IFERROR(__xludf.DUMMYFUNCTION("""COMPUTED_VALUE"""),"Gestión")</f>
        <v>Gestión</v>
      </c>
      <c r="H19" s="116" t="str">
        <f ca="1">IFERROR(__xludf.DUMMYFUNCTION("""COMPUTED_VALUE"""),"Eficacia")</f>
        <v>Eficacia</v>
      </c>
      <c r="I19" s="116" t="str">
        <f ca="1">IFERROR(__xludf.DUMMYFUNCTION("""COMPUTED_VALUE"""),"Porcentaje")</f>
        <v>Porcentaje</v>
      </c>
      <c r="J19" s="116" t="str">
        <f ca="1">IFERROR(__xludf.DUMMYFUNCTION("""COMPUTED_VALUE"""),"No disponible")</f>
        <v>No disponible</v>
      </c>
      <c r="K19" s="117">
        <f ca="1">IFERROR(__xludf.DUMMYFUNCTION("""COMPUTED_VALUE"""),670)</f>
        <v>670</v>
      </c>
      <c r="L19" s="116" t="str">
        <f ca="1">IFERROR(__xludf.DUMMYFUNCTION("""COMPUTED_VALUE"""),"Padrón de beneficiarios o listas de asistencia")</f>
        <v>Padrón de beneficiarios o listas de asistencia</v>
      </c>
      <c r="M19" s="116" t="str">
        <f ca="1">IFERROR(__xludf.DUMMYFUNCTION("""COMPUTED_VALUE"""),"La población objetivo cuenta con acceso a los servicios de salud y transporte público para acudir al centro CAIPED")</f>
        <v>La población objetivo cuenta con acceso a los servicios de salud y transporte público para acudir al centro CAIPED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85.5" customHeight="1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ht="85.5" customHeight="1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ht="85.5" customHeight="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ht="85.5" customHeigh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85.5" customHeight="1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85.5" customHeight="1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85.5" customHeight="1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85.5" customHeight="1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ht="85.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ht="85.5" customHeight="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85.5" customHeight="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85.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ht="85.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ht="85.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85.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ht="85.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ht="85.5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ht="85.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ht="85.5" customHeight="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ht="85.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85.5" customHeight="1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ht="85.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ht="85.5" customHeight="1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ht="85.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ht="85.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85.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ht="85.5" customHeight="1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ht="85.5" customHeigh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ht="85.5" customHeigh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ht="85.5" customHeight="1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ht="85.5" customHeigh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85.5" customHeight="1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ht="85.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ht="85.5" customHeight="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ht="85.5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ht="85.5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ht="85.5" customHeight="1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ht="85.5" customHeigh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ht="85.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85.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85.5" customHeigh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ht="85.5" customHeigh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85.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85.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85.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85.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85.5" customHeight="1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85.5" customHeigh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85.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85.5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ht="85.5" customHeigh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85.5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ht="85.5" customHeight="1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ht="85.5" customHeigh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ht="85.5" customHeigh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ht="85.5" customHeigh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ht="85.5" customHeigh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85.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ht="85.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ht="85.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ht="85.5" customHeigh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ht="85.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ht="85.5" customHeight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ht="85.5" customHeigh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ht="85.5" customHeight="1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ht="85.5" customHeigh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85.5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ht="85.5" customHeight="1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ht="85.5" customHeight="1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85.5" customHeigh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ht="85.5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ht="85.5" customHeigh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ht="85.5" customHeigh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ht="85.5" customHeight="1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85.5" customHeight="1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85.5" customHeight="1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85.5" customHeight="1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85.5" customHeight="1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85.5" customHeight="1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85.5" customHeight="1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ht="85.5" customHeight="1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ht="85.5" customHeigh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85.5" customHeight="1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ht="85.5" customHeight="1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85.5" customHeight="1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ht="85.5" customHeight="1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85.5" customHeight="1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ht="85.5" customHeight="1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85.5" customHeight="1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ht="85.5" customHeight="1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85.5" customHeigh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ht="85.5" customHeight="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ht="85.5" customHeight="1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ht="85.5" customHeigh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ht="85.5" customHeight="1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ht="85.5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ht="85.5" customHeight="1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ht="85.5" customHeight="1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ht="85.5" customHeight="1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ht="85.5" customHeight="1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ht="85.5" customHeight="1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ht="85.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ht="85.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ht="85.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ht="85.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ht="85.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ht="85.5" customHeight="1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ht="85.5" customHeight="1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ht="85.5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ht="85.5" customHeight="1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ht="85.5" customHeight="1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ht="85.5" customHeight="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ht="85.5" customHeight="1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ht="85.5" customHeight="1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ht="85.5" customHeight="1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ht="85.5" customHeight="1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ht="85.5" customHeight="1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85.5" customHeigh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85.5" customHeight="1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85.5" customHeight="1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85.5" customHeight="1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85.5" customHeight="1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85.5" customHeight="1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85.5" customHeigh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85.5" customHeight="1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85.5" customHeight="1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85.5" customHeight="1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85.5" customHeight="1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85.5" customHeight="1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85.5" customHeight="1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85.5" customHeight="1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85.5" customHeight="1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85.5" customHeigh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85.5" customHeight="1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85.5" customHeight="1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85.5" customHeigh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85.5" customHeight="1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85.5" customHeight="1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85.5" customHeight="1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85.5" customHeight="1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85.5" customHeight="1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85.5" customHeight="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85.5" customHeight="1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85.5" customHeight="1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85.5" customHeight="1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85.5" customHeight="1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85.5" customHeight="1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85.5" customHeigh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85.5" customHeight="1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85.5" customHeight="1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85.5" customHeigh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85.5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85.5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85.5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85.5" customHeight="1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85.5" customHeight="1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85.5" customHeight="1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85.5" customHeight="1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85.5" customHeight="1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85.5" customHeight="1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85.5" customHeight="1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85.5" customHeight="1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85.5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85.5" customHeight="1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85.5" customHeight="1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85.5" customHeight="1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85.5" customHeight="1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85.5" customHeight="1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85.5" customHeight="1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85.5" customHeight="1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85.5" customHeight="1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85.5" customHeight="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85.5" customHeight="1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85.5" customHeight="1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85.5" customHeight="1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85.5" customHeight="1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85.5" customHeight="1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85.5" customHeight="1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85.5" customHeight="1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85.5" customHeight="1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85.5" customHeight="1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85.5" customHeight="1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85.5" customHeight="1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85.5" customHeight="1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85.5" customHeight="1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85.5" customHeight="1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85.5" customHeight="1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85.5" customHeight="1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85.5" customHeight="1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85.5" customHeight="1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85.5" customHeight="1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85.5" customHeight="1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85.5" customHeight="1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85.5" customHeight="1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85.5" customHeight="1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85.5" customHeight="1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85.5" customHeight="1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85.5" customHeight="1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85.5" customHeight="1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85.5" customHeight="1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85.5" customHeight="1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85.5" customHeight="1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 ht="85.5" customHeight="1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 ht="85.5" customHeight="1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 ht="85.5" customHeight="1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 ht="85.5" customHeight="1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 ht="85.5" customHeight="1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 ht="85.5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 ht="85.5" customHeight="1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 ht="85.5" customHeight="1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 ht="85.5" customHeight="1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 ht="85.5" customHeight="1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 ht="85.5" customHeight="1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 ht="85.5" customHeight="1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 ht="85.5" customHeight="1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ht="85.5" customHeight="1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 ht="85.5" customHeight="1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 ht="85.5" customHeight="1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ht="85.5" customHeight="1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 ht="85.5" customHeight="1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 ht="85.5" customHeight="1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 ht="85.5" customHeight="1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 ht="85.5" customHeight="1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 ht="85.5" customHeight="1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 ht="85.5" customHeight="1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 ht="85.5" customHeight="1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 ht="85.5" customHeight="1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 ht="85.5" customHeight="1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 ht="85.5" customHeight="1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ht="85.5" customHeight="1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ht="85.5" customHeight="1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 ht="85.5" customHeight="1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 ht="85.5" customHeight="1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 ht="85.5" customHeight="1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 ht="85.5" customHeigh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 ht="85.5" customHeight="1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 ht="85.5" customHeight="1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 ht="85.5" customHeight="1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 ht="85.5" customHeight="1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 ht="85.5" customHeight="1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 ht="85.5" customHeight="1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 ht="85.5" customHeight="1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 ht="85.5" customHeight="1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 ht="85.5" customHeight="1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 ht="85.5" customHeight="1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 ht="85.5" customHeight="1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 ht="85.5" customHeight="1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 ht="85.5" customHeight="1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 ht="85.5" customHeight="1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 ht="85.5" customHeight="1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 ht="85.5" customHeight="1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 ht="85.5" customHeight="1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 ht="85.5" customHeight="1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 ht="85.5" customHeight="1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 ht="85.5" customHeight="1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 ht="85.5" customHeight="1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 ht="85.5" customHeight="1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 ht="85.5" customHeight="1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 ht="85.5" customHeight="1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 ht="85.5" customHeight="1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 ht="85.5" customHeight="1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 ht="85.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 ht="85.5" customHeight="1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 ht="85.5" customHeight="1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 ht="85.5" customHeight="1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 ht="85.5" customHeight="1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 ht="85.5" customHeight="1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 ht="85.5" customHeight="1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 ht="85.5" customHeight="1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 ht="85.5" customHeight="1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 ht="85.5" customHeight="1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 ht="85.5" customHeight="1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 ht="85.5" customHeight="1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 ht="85.5" customHeight="1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 ht="85.5" customHeight="1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 ht="85.5" customHeight="1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 ht="85.5" customHeight="1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 ht="85.5" customHeight="1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 ht="85.5" customHeight="1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 ht="85.5" customHeight="1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 ht="85.5" customHeight="1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 ht="85.5" customHeight="1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 ht="85.5" customHeight="1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 ht="85.5" customHeight="1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 ht="85.5" customHeight="1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 ht="85.5" customHeight="1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 ht="85.5" customHeight="1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 ht="85.5" customHeight="1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 ht="85.5" customHeight="1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 ht="85.5" customHeight="1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 ht="85.5" customHeight="1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 ht="85.5" customHeight="1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 ht="85.5" customHeight="1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 ht="85.5" customHeight="1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 ht="85.5" customHeight="1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 ht="85.5" customHeight="1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 ht="85.5" customHeight="1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 ht="85.5" customHeight="1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 ht="85.5" customHeight="1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 ht="85.5" customHeight="1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 ht="85.5" customHeight="1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 ht="85.5" customHeight="1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 ht="85.5" customHeight="1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 ht="85.5" customHeight="1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 ht="85.5" customHeight="1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 ht="85.5" customHeight="1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 ht="85.5" customHeight="1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 ht="85.5" customHeight="1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 ht="85.5" customHeight="1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 ht="85.5" customHeight="1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 ht="85.5" customHeight="1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 ht="85.5" customHeight="1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 ht="85.5" customHeight="1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 ht="85.5" customHeight="1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 ht="85.5" customHeight="1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 ht="85.5" customHeight="1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 ht="85.5" customHeight="1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 ht="85.5" customHeight="1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 ht="85.5" customHeight="1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 ht="85.5" customHeight="1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 ht="85.5" customHeight="1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 ht="85.5" customHeight="1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 ht="85.5" customHeight="1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 ht="85.5" customHeight="1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 ht="85.5" customHeight="1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 ht="85.5" customHeight="1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 ht="85.5" customHeight="1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 ht="85.5" customHeight="1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 ht="85.5" customHeight="1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 ht="85.5" customHeight="1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 ht="85.5" customHeight="1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 ht="85.5" customHeight="1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 ht="85.5" customHeight="1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 ht="85.5" customHeight="1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 ht="85.5" customHeight="1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 ht="85.5" customHeight="1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 ht="85.5" customHeight="1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 ht="85.5" customHeight="1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 ht="85.5" customHeight="1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 ht="85.5" customHeight="1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 ht="85.5" customHeight="1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 ht="85.5" customHeight="1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 ht="85.5" customHeight="1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 ht="85.5" customHeight="1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 ht="85.5" customHeight="1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 ht="85.5" customHeight="1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 ht="85.5" customHeight="1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 ht="85.5" customHeight="1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 ht="85.5" customHeight="1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 ht="85.5" customHeight="1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 ht="85.5" customHeight="1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 ht="85.5" customHeight="1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 ht="85.5" customHeight="1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 ht="85.5" customHeight="1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 ht="85.5" customHeight="1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 ht="85.5" customHeight="1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 ht="85.5" customHeight="1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 ht="85.5" customHeight="1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 ht="85.5" customHeight="1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 ht="85.5" customHeight="1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 ht="85.5" customHeight="1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 ht="85.5" customHeight="1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 ht="85.5" customHeight="1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 ht="85.5" customHeight="1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 ht="85.5" customHeight="1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 ht="85.5" customHeight="1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 ht="85.5" customHeight="1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 ht="85.5" customHeight="1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 ht="85.5" customHeight="1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 ht="85.5" customHeight="1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 ht="85.5" customHeight="1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 ht="85.5" customHeight="1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 ht="85.5" customHeight="1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 ht="85.5" customHeight="1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 ht="85.5" customHeight="1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 ht="85.5" customHeight="1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 ht="85.5" customHeight="1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 ht="85.5" customHeight="1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 ht="85.5" customHeight="1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 ht="85.5" customHeight="1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 ht="85.5" customHeight="1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 ht="85.5" customHeight="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 ht="85.5" customHeight="1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 ht="85.5" customHeight="1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 ht="85.5" customHeight="1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 ht="85.5" customHeight="1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 ht="85.5" customHeight="1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 ht="85.5" customHeight="1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 ht="85.5" customHeight="1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 ht="85.5" customHeight="1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 ht="85.5" customHeight="1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 ht="85.5" customHeight="1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 ht="85.5" customHeight="1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 ht="85.5" customHeight="1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 ht="85.5" customHeight="1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 ht="85.5" customHeight="1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 ht="85.5" customHeight="1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 ht="85.5" customHeight="1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 ht="85.5" customHeight="1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 ht="85.5" customHeight="1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 ht="85.5" customHeight="1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 ht="85.5" customHeight="1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 ht="85.5" customHeight="1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 ht="85.5" customHeight="1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 ht="85.5" customHeight="1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 ht="85.5" customHeight="1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 ht="85.5" customHeight="1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 ht="85.5" customHeight="1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 ht="85.5" customHeight="1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 ht="85.5" customHeight="1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 ht="85.5" customHeight="1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 ht="85.5" customHeight="1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 ht="85.5" customHeight="1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 ht="85.5" customHeight="1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 ht="85.5" customHeight="1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 ht="85.5" customHeight="1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 ht="85.5" customHeight="1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 ht="85.5" customHeight="1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 ht="85.5" customHeight="1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 ht="85.5" customHeight="1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 ht="85.5" customHeight="1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 ht="85.5" customHeight="1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 ht="85.5" customHeight="1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 ht="85.5" customHeight="1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 ht="85.5" customHeight="1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 ht="85.5" customHeight="1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 ht="85.5" customHeight="1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 ht="85.5" customHeight="1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 ht="85.5" customHeight="1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 ht="85.5" customHeight="1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 ht="85.5" customHeight="1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 ht="85.5" customHeight="1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 ht="85.5" customHeight="1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 ht="85.5" customHeight="1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 ht="85.5" customHeight="1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 ht="85.5" customHeight="1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 ht="85.5" customHeight="1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 ht="85.5" customHeight="1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 ht="85.5" customHeight="1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 ht="85.5" customHeight="1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 ht="85.5" customHeight="1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 ht="85.5" customHeight="1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 ht="85.5" customHeight="1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 ht="85.5" customHeight="1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 ht="85.5" customHeight="1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 ht="85.5" customHeight="1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 ht="85.5" customHeight="1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 ht="85.5" customHeight="1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 ht="85.5" customHeight="1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 ht="85.5" customHeight="1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 ht="85.5" customHeight="1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 ht="85.5" customHeight="1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 ht="85.5" customHeight="1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 ht="85.5" customHeight="1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 ht="85.5" customHeight="1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 ht="85.5" customHeight="1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 ht="85.5" customHeight="1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 ht="85.5" customHeight="1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 ht="85.5" customHeight="1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 ht="85.5" customHeight="1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 ht="85.5" customHeight="1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 ht="85.5" customHeight="1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 ht="85.5" customHeight="1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 ht="85.5" customHeight="1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 ht="85.5" customHeight="1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 ht="85.5" customHeight="1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 ht="85.5" customHeight="1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 ht="85.5" customHeight="1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 ht="85.5" customHeight="1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 ht="85.5" customHeight="1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 ht="85.5" customHeight="1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 ht="85.5" customHeight="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 ht="85.5" customHeight="1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 ht="85.5" customHeight="1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 ht="85.5" customHeight="1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 ht="85.5" customHeight="1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 ht="85.5" customHeight="1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 ht="85.5" customHeight="1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 ht="85.5" customHeight="1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 ht="85.5" customHeight="1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 ht="85.5" customHeight="1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 ht="85.5" customHeight="1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 ht="85.5" customHeight="1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 ht="85.5" customHeight="1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 ht="85.5" customHeight="1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 ht="85.5" customHeight="1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 ht="85.5" customHeight="1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 ht="85.5" customHeight="1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 ht="85.5" customHeight="1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 ht="85.5" customHeight="1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 ht="85.5" customHeight="1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 ht="85.5" customHeight="1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 ht="85.5" customHeight="1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 ht="85.5" customHeight="1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 ht="85.5" customHeight="1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 ht="85.5" customHeight="1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 ht="85.5" customHeight="1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 ht="85.5" customHeight="1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 ht="85.5" customHeight="1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 ht="85.5" customHeight="1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 ht="85.5" customHeight="1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 ht="85.5" customHeight="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 ht="85.5" customHeight="1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 ht="85.5" customHeight="1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 ht="85.5" customHeight="1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 ht="85.5" customHeight="1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 ht="85.5" customHeight="1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 ht="85.5" customHeight="1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 ht="85.5" customHeight="1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 ht="85.5" customHeight="1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 ht="85.5" customHeight="1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 ht="85.5" customHeight="1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 ht="85.5" customHeight="1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 ht="85.5" customHeight="1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 ht="85.5" customHeight="1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 ht="85.5" customHeight="1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 ht="85.5" customHeight="1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 ht="85.5" customHeight="1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 ht="85.5" customHeight="1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 ht="85.5" customHeight="1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 ht="85.5" customHeight="1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 ht="85.5" customHeight="1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 ht="85.5" customHeight="1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 ht="85.5" customHeight="1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 ht="85.5" customHeight="1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 ht="85.5" customHeight="1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 ht="85.5" customHeight="1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 ht="85.5" customHeight="1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 ht="85.5" customHeight="1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 ht="85.5" customHeight="1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 ht="85.5" customHeight="1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 ht="85.5" customHeight="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 ht="85.5" customHeight="1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 ht="85.5" customHeight="1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 ht="85.5" customHeight="1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 ht="85.5" customHeight="1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 ht="85.5" customHeight="1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 ht="85.5" customHeight="1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 ht="85.5" customHeight="1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 ht="85.5" customHeight="1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 ht="85.5" customHeight="1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 ht="85.5" customHeight="1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 ht="85.5" customHeight="1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 ht="85.5" customHeight="1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 ht="85.5" customHeight="1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 ht="85.5" customHeight="1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 ht="85.5" customHeight="1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 ht="85.5" customHeight="1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 ht="85.5" customHeight="1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 ht="85.5" customHeight="1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 ht="85.5" customHeight="1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 ht="85.5" customHeight="1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 ht="85.5" customHeight="1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 ht="85.5" customHeight="1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 ht="85.5" customHeight="1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 ht="85.5" customHeight="1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 ht="85.5" customHeight="1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 ht="85.5" customHeight="1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 ht="85.5" customHeight="1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 ht="85.5" customHeight="1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 ht="85.5" customHeight="1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 ht="85.5" customHeight="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 ht="85.5" customHeight="1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 ht="85.5" customHeight="1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 ht="85.5" customHeight="1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 ht="85.5" customHeight="1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 ht="85.5" customHeight="1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 ht="85.5" customHeight="1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 ht="85.5" customHeight="1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 ht="85.5" customHeight="1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 ht="85.5" customHeight="1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 ht="85.5" customHeight="1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 ht="85.5" customHeight="1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 ht="85.5" customHeight="1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 ht="85.5" customHeight="1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 ht="85.5" customHeight="1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 ht="85.5" customHeight="1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 ht="85.5" customHeight="1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 ht="85.5" customHeight="1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 ht="85.5" customHeight="1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 ht="85.5" customHeight="1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 ht="85.5" customHeight="1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 ht="85.5" customHeight="1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 ht="85.5" customHeight="1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 ht="85.5" customHeight="1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 ht="85.5" customHeight="1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 ht="85.5" customHeight="1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 ht="85.5" customHeight="1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 ht="85.5" customHeight="1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 ht="85.5" customHeight="1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 ht="85.5" customHeight="1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 ht="85.5" customHeight="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 ht="85.5" customHeight="1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 ht="85.5" customHeight="1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 ht="85.5" customHeight="1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 ht="85.5" customHeight="1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 ht="85.5" customHeight="1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 ht="85.5" customHeight="1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 ht="85.5" customHeight="1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 ht="85.5" customHeight="1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 ht="85.5" customHeight="1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 ht="85.5" customHeight="1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 ht="85.5" customHeight="1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 ht="85.5" customHeight="1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 ht="85.5" customHeight="1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 ht="85.5" customHeight="1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 ht="85.5" customHeight="1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 ht="85.5" customHeight="1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 ht="85.5" customHeight="1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 ht="85.5" customHeight="1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 ht="85.5" customHeight="1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 ht="85.5" customHeight="1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 ht="85.5" customHeight="1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 ht="85.5" customHeight="1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 ht="85.5" customHeight="1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 ht="85.5" customHeight="1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 ht="85.5" customHeight="1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 ht="85.5" customHeight="1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 ht="85.5" customHeight="1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 ht="85.5" customHeight="1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 ht="85.5" customHeight="1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 ht="85.5" customHeight="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 ht="85.5" customHeight="1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 ht="85.5" customHeight="1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 ht="85.5" customHeight="1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 ht="85.5" customHeight="1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 ht="85.5" customHeight="1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 ht="85.5" customHeight="1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 ht="85.5" customHeight="1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 ht="85.5" customHeight="1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 ht="85.5" customHeight="1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 ht="85.5" customHeight="1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 ht="85.5" customHeight="1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 ht="85.5" customHeight="1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 ht="85.5" customHeight="1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 ht="85.5" customHeight="1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 ht="85.5" customHeight="1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 ht="85.5" customHeight="1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 ht="85.5" customHeight="1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 ht="85.5" customHeight="1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 ht="85.5" customHeight="1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 ht="85.5" customHeight="1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 ht="85.5" customHeight="1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 ht="85.5" customHeight="1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 ht="85.5" customHeight="1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 ht="85.5" customHeight="1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 ht="85.5" customHeight="1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 ht="85.5" customHeight="1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 ht="85.5" customHeight="1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 ht="85.5" customHeight="1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 ht="85.5" customHeight="1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 ht="85.5" customHeight="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 ht="85.5" customHeight="1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 ht="85.5" customHeight="1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 ht="85.5" customHeight="1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 ht="85.5" customHeight="1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 ht="85.5" customHeight="1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 ht="85.5" customHeight="1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 ht="85.5" customHeight="1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 ht="85.5" customHeight="1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 ht="85.5" customHeight="1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 ht="85.5" customHeight="1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 ht="85.5" customHeight="1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 ht="85.5" customHeight="1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 ht="85.5" customHeight="1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 ht="85.5" customHeight="1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 ht="85.5" customHeight="1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 ht="85.5" customHeight="1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 ht="85.5" customHeight="1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 ht="85.5" customHeight="1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 ht="85.5" customHeight="1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 ht="85.5" customHeight="1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 ht="85.5" customHeight="1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 ht="85.5" customHeight="1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 ht="85.5" customHeight="1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 ht="85.5" customHeight="1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 ht="85.5" customHeight="1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 ht="85.5" customHeight="1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 ht="85.5" customHeight="1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 ht="85.5" customHeight="1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 ht="85.5" customHeight="1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 ht="85.5" customHeight="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 ht="85.5" customHeight="1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 ht="85.5" customHeight="1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 ht="85.5" customHeight="1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 ht="85.5" customHeight="1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 ht="85.5" customHeight="1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 ht="85.5" customHeight="1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 ht="85.5" customHeight="1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 ht="85.5" customHeight="1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 ht="85.5" customHeight="1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 ht="85.5" customHeight="1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 ht="85.5" customHeight="1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 ht="85.5" customHeight="1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 ht="85.5" customHeight="1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 ht="85.5" customHeight="1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 ht="85.5" customHeight="1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 ht="85.5" customHeight="1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 ht="85.5" customHeight="1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 ht="85.5" customHeight="1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 ht="85.5" customHeight="1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 ht="85.5" customHeight="1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 ht="85.5" customHeight="1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 ht="85.5" customHeight="1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 ht="85.5" customHeight="1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 ht="85.5" customHeight="1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 ht="85.5" customHeight="1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 ht="85.5" customHeight="1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 ht="85.5" customHeight="1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 ht="85.5" customHeight="1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 ht="85.5" customHeight="1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 ht="85.5" customHeight="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 ht="85.5" customHeight="1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 ht="85.5" customHeight="1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 ht="85.5" customHeight="1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 ht="85.5" customHeight="1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 ht="85.5" customHeight="1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 ht="85.5" customHeight="1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 ht="85.5" customHeight="1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 ht="85.5" customHeight="1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 ht="85.5" customHeight="1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 ht="85.5" customHeight="1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 ht="85.5" customHeight="1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 ht="85.5" customHeight="1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 ht="85.5" customHeight="1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 ht="85.5" customHeight="1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 ht="85.5" customHeight="1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 ht="85.5" customHeight="1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 ht="85.5" customHeight="1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 ht="85.5" customHeight="1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 ht="85.5" customHeight="1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 ht="85.5" customHeight="1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 ht="85.5" customHeight="1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 ht="85.5" customHeight="1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 ht="85.5" customHeight="1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 ht="85.5" customHeight="1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 ht="85.5" customHeight="1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 ht="85.5" customHeight="1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 ht="85.5" customHeight="1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 ht="85.5" customHeight="1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 ht="85.5" customHeight="1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 ht="85.5" customHeight="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 ht="85.5" customHeight="1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 ht="85.5" customHeight="1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 ht="85.5" customHeight="1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 ht="85.5" customHeight="1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 ht="85.5" customHeight="1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 ht="85.5" customHeight="1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 ht="85.5" customHeight="1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 ht="85.5" customHeight="1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 ht="85.5" customHeight="1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 ht="85.5" customHeight="1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 ht="85.5" customHeight="1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 ht="85.5" customHeight="1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 ht="85.5" customHeight="1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 ht="85.5" customHeight="1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 ht="85.5" customHeight="1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 ht="85.5" customHeight="1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 ht="85.5" customHeight="1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 ht="85.5" customHeight="1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 ht="85.5" customHeight="1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 ht="85.5" customHeight="1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 ht="85.5" customHeight="1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 ht="85.5" customHeight="1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 ht="85.5" customHeight="1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 ht="85.5" customHeight="1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 ht="85.5" customHeight="1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 ht="85.5" customHeight="1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 ht="85.5" customHeight="1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 ht="85.5" customHeight="1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 ht="85.5" customHeight="1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 ht="85.5" customHeight="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 ht="85.5" customHeight="1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 ht="85.5" customHeight="1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 ht="85.5" customHeight="1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 ht="85.5" customHeight="1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 ht="85.5" customHeight="1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 ht="85.5" customHeight="1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 ht="85.5" customHeight="1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 ht="85.5" customHeight="1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 ht="85.5" customHeight="1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 ht="85.5" customHeight="1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 ht="85.5" customHeight="1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 ht="85.5" customHeight="1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 ht="85.5" customHeight="1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 ht="85.5" customHeight="1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 ht="85.5" customHeight="1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 ht="85.5" customHeight="1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 ht="85.5" customHeight="1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 ht="85.5" customHeight="1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 ht="85.5" customHeight="1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 ht="85.5" customHeight="1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 ht="85.5" customHeight="1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 ht="85.5" customHeight="1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 ht="85.5" customHeight="1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 ht="85.5" customHeight="1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 ht="85.5" customHeight="1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 ht="85.5" customHeight="1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 ht="85.5" customHeight="1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 ht="85.5" customHeight="1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 ht="85.5" customHeight="1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 ht="85.5" customHeight="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 ht="85.5" customHeight="1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 ht="85.5" customHeight="1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 ht="85.5" customHeight="1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 ht="85.5" customHeight="1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 ht="85.5" customHeight="1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 ht="85.5" customHeight="1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 ht="85.5" customHeight="1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 ht="85.5" customHeight="1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 ht="85.5" customHeight="1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 ht="85.5" customHeight="1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 ht="85.5" customHeight="1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 ht="85.5" customHeight="1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 ht="85.5" customHeight="1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 ht="85.5" customHeight="1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 ht="85.5" customHeight="1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 ht="85.5" customHeight="1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 ht="85.5" customHeight="1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 ht="85.5" customHeight="1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 ht="85.5" customHeight="1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 ht="85.5" customHeight="1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 ht="85.5" customHeight="1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 ht="85.5" customHeight="1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 ht="85.5" customHeight="1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 ht="85.5" customHeight="1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 ht="85.5" customHeight="1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 ht="85.5" customHeight="1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 ht="85.5" customHeight="1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 ht="85.5" customHeight="1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 ht="85.5" customHeight="1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 ht="85.5" customHeight="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 ht="85.5" customHeight="1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 ht="85.5" customHeight="1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 ht="85.5" customHeight="1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 ht="85.5" customHeight="1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 ht="85.5" customHeight="1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 ht="85.5" customHeight="1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 ht="85.5" customHeight="1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 ht="85.5" customHeight="1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 ht="85.5" customHeight="1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 ht="85.5" customHeight="1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 ht="85.5" customHeight="1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 ht="85.5" customHeight="1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 ht="85.5" customHeight="1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 ht="85.5" customHeight="1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 ht="85.5" customHeight="1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 ht="85.5" customHeight="1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 ht="85.5" customHeight="1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 ht="85.5" customHeight="1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 ht="85.5" customHeight="1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 ht="85.5" customHeight="1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 ht="85.5" customHeight="1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 ht="85.5" customHeight="1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 ht="85.5" customHeight="1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 ht="85.5" customHeight="1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 ht="85.5" customHeight="1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 ht="85.5" customHeight="1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 ht="85.5" customHeight="1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 ht="85.5" customHeight="1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 ht="85.5" customHeight="1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 ht="85.5" customHeight="1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 ht="85.5" customHeight="1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 ht="85.5" customHeight="1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 ht="85.5" customHeight="1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 ht="85.5" customHeight="1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 ht="85.5" customHeight="1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 ht="85.5" customHeight="1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 ht="85.5" customHeight="1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 ht="85.5" customHeight="1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 ht="85.5" customHeight="1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 ht="85.5" customHeight="1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 ht="85.5" customHeight="1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 ht="85.5" customHeight="1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 ht="85.5" customHeight="1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 ht="85.5" customHeight="1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 ht="85.5" customHeight="1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 ht="85.5" customHeight="1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 ht="85.5" customHeight="1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 ht="85.5" customHeight="1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 ht="85.5" customHeight="1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 ht="85.5" customHeight="1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 ht="85.5" customHeight="1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 ht="85.5" customHeight="1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 ht="85.5" customHeight="1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 ht="85.5" customHeight="1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 ht="85.5" customHeight="1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 ht="85.5" customHeight="1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 ht="85.5" customHeight="1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 ht="85.5" customHeight="1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 ht="85.5" customHeight="1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 ht="85.5" customHeight="1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 ht="85.5" customHeight="1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 ht="85.5" customHeight="1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 ht="85.5" customHeight="1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 ht="85.5" customHeight="1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 ht="85.5" customHeight="1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 ht="85.5" customHeight="1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 ht="85.5" customHeight="1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 ht="85.5" customHeight="1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 ht="85.5" customHeight="1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 ht="85.5" customHeight="1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 ht="85.5" customHeight="1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 ht="85.5" customHeight="1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 ht="85.5" customHeight="1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 ht="85.5" customHeight="1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 ht="85.5" customHeight="1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 ht="85.5" customHeight="1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 ht="85.5" customHeight="1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 ht="85.5" customHeight="1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 ht="85.5" customHeight="1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 ht="85.5" customHeight="1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 ht="85.5" customHeight="1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 ht="85.5" customHeight="1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 ht="85.5" customHeight="1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 ht="85.5" customHeight="1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 ht="85.5" customHeight="1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 ht="85.5" customHeight="1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 ht="85.5" customHeight="1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 ht="85.5" customHeight="1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 ht="85.5" customHeight="1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 ht="85.5" customHeight="1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 ht="85.5" customHeight="1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 ht="85.5" customHeight="1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 ht="85.5" customHeight="1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 ht="85.5" customHeight="1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 ht="85.5" customHeight="1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 ht="85.5" customHeight="1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 ht="85.5" customHeight="1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 ht="85.5" customHeight="1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 ht="85.5" customHeight="1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 ht="85.5" customHeight="1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 ht="85.5" customHeight="1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 ht="85.5" customHeight="1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 ht="85.5" customHeight="1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 ht="85.5" customHeight="1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 ht="85.5" customHeight="1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 ht="85.5" customHeight="1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 ht="85.5" customHeight="1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 ht="85.5" customHeight="1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 ht="85.5" customHeight="1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 ht="85.5" customHeight="1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 ht="85.5" customHeight="1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 ht="85.5" customHeight="1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 ht="85.5" customHeight="1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 ht="85.5" customHeight="1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 ht="85.5" customHeight="1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 ht="85.5" customHeight="1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 ht="85.5" customHeight="1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 ht="85.5" customHeight="1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 ht="85.5" customHeight="1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 ht="85.5" customHeight="1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 ht="85.5" customHeight="1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 ht="85.5" customHeight="1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 ht="85.5" customHeight="1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 ht="85.5" customHeight="1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 ht="85.5" customHeight="1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 ht="85.5" customHeight="1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 ht="85.5" customHeight="1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 ht="85.5" customHeight="1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 ht="85.5" customHeight="1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 ht="85.5" customHeight="1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 ht="85.5" customHeight="1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 ht="85.5" customHeight="1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 ht="85.5" customHeight="1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 ht="85.5" customHeight="1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 ht="85.5" customHeight="1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 ht="85.5" customHeight="1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 ht="85.5" customHeight="1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 ht="85.5" customHeight="1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 ht="85.5" customHeight="1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 ht="85.5" customHeight="1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 ht="85.5" customHeight="1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 ht="85.5" customHeight="1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 ht="85.5" customHeight="1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 ht="85.5" customHeight="1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 ht="85.5" customHeight="1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 ht="85.5" customHeight="1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 ht="85.5" customHeight="1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 ht="85.5" customHeight="1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 ht="85.5" customHeight="1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38.7109375" customWidth="1"/>
  </cols>
  <sheetData>
    <row r="1" spans="1:26">
      <c r="A1" s="115" t="str">
        <f ca="1">IFERROR(__xludf.DUMMYFUNCTION("QUERY(MIR!C32:AF49,""SELECT C,D,M,AE,O,AF"",1)"),"RESUMEN NARRATIVO")</f>
        <v>RESUMEN NARRATIVO</v>
      </c>
      <c r="B1" s="115" t="str">
        <f ca="1">IFERROR(__xludf.DUMMYFUNCTION("""COMPUTED_VALUE"""),"OBJETIVOS DE RESULTADO")</f>
        <v>OBJETIVOS DE RESULTADO</v>
      </c>
      <c r="C1" s="115" t="str">
        <f ca="1">IFERROR(__xludf.DUMMYFUNCTION("""COMPUTED_VALUE"""),"UNIDAD DE MEDIDA")</f>
        <v>UNIDAD DE MEDIDA</v>
      </c>
      <c r="D1" s="115" t="str">
        <f ca="1">IFERROR(__xludf.DUMMYFUNCTION("""COMPUTED_VALUE"""),"Total acumulado")</f>
        <v>Total acumulado</v>
      </c>
      <c r="E1" s="115" t="str">
        <f ca="1">IFERROR(__xludf.DUMMYFUNCTION("""COMPUTED_VALUE"""),"META PROGRAMADA")</f>
        <v>META PROGRAMADA</v>
      </c>
      <c r="F1" s="115" t="str">
        <f ca="1">IFERROR(__xludf.DUMMYFUNCTION("""COMPUTED_VALUE"""),"Meta alcanzada")</f>
        <v>Meta alcanzada</v>
      </c>
      <c r="G1" s="118" t="s">
        <v>253</v>
      </c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>
      <c r="A2" s="115" t="str">
        <f ca="1">IFERROR(__xludf.DUMMYFUNCTION("""COMPUTED_VALUE"""),"FIN")</f>
        <v>FIN</v>
      </c>
      <c r="B2" s="115" t="str">
        <f ca="1">IFERROR(__xludf.DUMMYFUNCTION("""COMPUTED_VALUE"""),"Las personas adultas mayores, personas con discapacidad o con alguna condición de vulnerabilidad, reciben atención integral para su desarrollo pleno en el municipio de Guadalajara durante el 2023")</f>
        <v>Las personas adultas mayores, personas con discapacidad o con alguna condición de vulnerabilidad, reciben atención integral para su desarrollo pleno en el municipio de Guadalajara durante el 2023</v>
      </c>
      <c r="C2" s="115" t="str">
        <f ca="1">IFERROR(__xludf.DUMMYFUNCTION("""COMPUTED_VALUE"""),"Porcentaje")</f>
        <v>Porcentaje</v>
      </c>
      <c r="D2" s="119">
        <f ca="1">IFERROR(__xludf.DUMMYFUNCTION("""COMPUTED_VALUE"""),10452)</f>
        <v>10452</v>
      </c>
      <c r="E2" s="119">
        <f ca="1">IFERROR(__xludf.DUMMYFUNCTION("""COMPUTED_VALUE"""),10216)</f>
        <v>10216</v>
      </c>
      <c r="F2" s="115" t="str">
        <f ca="1">IFERROR(__xludf.DUMMYFUNCTION("""COMPUTED_VALUE"""),"102,31%")</f>
        <v>102,31%</v>
      </c>
      <c r="G2" s="115" t="b">
        <v>0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>
      <c r="A3" s="115" t="str">
        <f ca="1">IFERROR(__xludf.DUMMYFUNCTION("""COMPUTED_VALUE"""),"PROPÓSITO")</f>
        <v>PROPÓSITO</v>
      </c>
      <c r="B3" s="115" t="str">
        <f ca="1">IFERROR(__xludf.DUMMYFUNCTION("""COMPUTED_VALUE"""),"Se contribuye a desarrollar el bienestar físico,  integral e inclusión de las personas adultas mayores y personas con algún tipo de discapacidad con al menos una vulnerabilidad social o de ingresos que habitan en el municipio de Guadalajara a través de lo"&amp;"s programas que integran el eje de Guadalajara sin Barreras del Sistema DIF Guadalajara  durante el 2023")</f>
        <v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2023</v>
      </c>
      <c r="C3" s="115" t="str">
        <f ca="1">IFERROR(__xludf.DUMMYFUNCTION("""COMPUTED_VALUE"""),"Porcentaje")</f>
        <v>Porcentaje</v>
      </c>
      <c r="D3" s="119">
        <f ca="1">IFERROR(__xludf.DUMMYFUNCTION("""COMPUTED_VALUE"""),32359)</f>
        <v>32359</v>
      </c>
      <c r="E3" s="119">
        <f ca="1">IFERROR(__xludf.DUMMYFUNCTION("""COMPUTED_VALUE"""),36800)</f>
        <v>36800</v>
      </c>
      <c r="F3" s="115" t="str">
        <f ca="1">IFERROR(__xludf.DUMMYFUNCTION("""COMPUTED_VALUE"""),"87,93%")</f>
        <v>87,93%</v>
      </c>
      <c r="G3" s="118" t="b">
        <v>1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>
      <c r="A4" s="115" t="str">
        <f ca="1">IFERROR(__xludf.DUMMYFUNCTION("""COMPUTED_VALUE"""),"COMPONENTE 1")</f>
        <v>COMPONENTE 1</v>
      </c>
      <c r="B4" s="115" t="str">
        <f ca="1">IFERROR(__xludf.DUMMYFUNCTION("""COMPUTED_VALUE"""),"C1. Servicios de atención integral a personas con discapacidad intelectual y sus familias brindados en CEAMIVIDA")</f>
        <v>C1. Servicios de atención integral a personas con discapacidad intelectual y sus familias brindados en CEAMIVIDA</v>
      </c>
      <c r="C4" s="115" t="str">
        <f ca="1">IFERROR(__xludf.DUMMYFUNCTION("""COMPUTED_VALUE"""),"Promedio")</f>
        <v>Promedio</v>
      </c>
      <c r="D4" s="119">
        <f ca="1">IFERROR(__xludf.DUMMYFUNCTION("""COMPUTED_VALUE"""),1308)</f>
        <v>1308</v>
      </c>
      <c r="E4" s="119">
        <f ca="1">IFERROR(__xludf.DUMMYFUNCTION("""COMPUTED_VALUE"""),372)</f>
        <v>372</v>
      </c>
      <c r="F4" s="115" t="str">
        <f ca="1">IFERROR(__xludf.DUMMYFUNCTION("""COMPUTED_VALUE"""),"327")</f>
        <v>327</v>
      </c>
      <c r="G4" s="118" t="b">
        <v>1</v>
      </c>
      <c r="H4" s="115">
        <f ca="1">D4/3</f>
        <v>436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>
      <c r="A5" s="115" t="str">
        <f ca="1">IFERROR(__xludf.DUMMYFUNCTION("""COMPUTED_VALUE"""),"ACTIVIDAD 1.1")</f>
        <v>ACTIVIDAD 1.1</v>
      </c>
      <c r="B5" s="115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C5" s="115" t="str">
        <f ca="1">IFERROR(__xludf.DUMMYFUNCTION("""COMPUTED_VALUE"""),"Porcentaje")</f>
        <v>Porcentaje</v>
      </c>
      <c r="D5" s="119">
        <f ca="1">IFERROR(__xludf.DUMMYFUNCTION("""COMPUTED_VALUE"""),792)</f>
        <v>792</v>
      </c>
      <c r="E5" s="119">
        <f ca="1">IFERROR(__xludf.DUMMYFUNCTION("""COMPUTED_VALUE"""),810)</f>
        <v>810</v>
      </c>
      <c r="F5" s="115" t="str">
        <f ca="1">IFERROR(__xludf.DUMMYFUNCTION("""COMPUTED_VALUE"""),"97,8%")</f>
        <v>97,8%</v>
      </c>
      <c r="G5" s="118" t="b">
        <v>1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>
      <c r="A6" s="115" t="str">
        <f ca="1">IFERROR(__xludf.DUMMYFUNCTION("""COMPUTED_VALUE"""),"ACTIVIDAD 1.2")</f>
        <v>ACTIVIDAD 1.2</v>
      </c>
      <c r="B6" s="115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C6" s="115" t="str">
        <f ca="1">IFERROR(__xludf.DUMMYFUNCTION("""COMPUTED_VALUE"""),"Porcentaje")</f>
        <v>Porcentaje</v>
      </c>
      <c r="D6" s="119">
        <f ca="1">IFERROR(__xludf.DUMMYFUNCTION("""COMPUTED_VALUE"""),839)</f>
        <v>839</v>
      </c>
      <c r="E6" s="119">
        <f ca="1">IFERROR(__xludf.DUMMYFUNCTION("""COMPUTED_VALUE"""),990)</f>
        <v>990</v>
      </c>
      <c r="F6" s="115" t="str">
        <f ca="1">IFERROR(__xludf.DUMMYFUNCTION("""COMPUTED_VALUE"""),"84,7%")</f>
        <v>84,7%</v>
      </c>
      <c r="G6" s="118" t="b">
        <v>1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>
      <c r="A7" s="115" t="str">
        <f ca="1">IFERROR(__xludf.DUMMYFUNCTION("""COMPUTED_VALUE"""),"COMPONENTE 2")</f>
        <v>COMPONENTE 2</v>
      </c>
      <c r="B7" s="115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C7" s="115" t="str">
        <f ca="1">IFERROR(__xludf.DUMMYFUNCTION("""COMPUTED_VALUE"""),"Promedio")</f>
        <v>Promedio</v>
      </c>
      <c r="D7" s="119">
        <f ca="1">IFERROR(__xludf.DUMMYFUNCTION("""COMPUTED_VALUE"""),1430)</f>
        <v>1430</v>
      </c>
      <c r="E7" s="119">
        <f ca="1">IFERROR(__xludf.DUMMYFUNCTION("""COMPUTED_VALUE"""),450)</f>
        <v>450</v>
      </c>
      <c r="F7" s="115" t="str">
        <f ca="1">IFERROR(__xludf.DUMMYFUNCTION("""COMPUTED_VALUE"""),"357,5")</f>
        <v>357,5</v>
      </c>
      <c r="G7" s="118" t="b">
        <v>1</v>
      </c>
      <c r="H7" s="115">
        <f ca="1">D7/3</f>
        <v>476.66666666666669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>
      <c r="A8" s="115" t="str">
        <f ca="1">IFERROR(__xludf.DUMMYFUNCTION("""COMPUTED_VALUE"""),"ACTIVIDAD 2.1")</f>
        <v>ACTIVIDAD 2.1</v>
      </c>
      <c r="B8" s="115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C8" s="115" t="str">
        <f ca="1">IFERROR(__xludf.DUMMYFUNCTION("""COMPUTED_VALUE"""),"Porcentaje")</f>
        <v>Porcentaje</v>
      </c>
      <c r="D8" s="119">
        <f ca="1">IFERROR(__xludf.DUMMYFUNCTION("""COMPUTED_VALUE"""),6032)</f>
        <v>6032</v>
      </c>
      <c r="E8" s="119">
        <f ca="1">IFERROR(__xludf.DUMMYFUNCTION("""COMPUTED_VALUE"""),5600)</f>
        <v>5600</v>
      </c>
      <c r="F8" s="115" t="str">
        <f ca="1">IFERROR(__xludf.DUMMYFUNCTION("""COMPUTED_VALUE"""),"107,7%")</f>
        <v>107,7%</v>
      </c>
      <c r="G8" s="118" t="b">
        <v>1</v>
      </c>
      <c r="H8" s="118" t="s">
        <v>254</v>
      </c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>
      <c r="A9" s="115" t="str">
        <f ca="1">IFERROR(__xludf.DUMMYFUNCTION("""COMPUTED_VALUE"""),"COMPONENTE 3")</f>
        <v>COMPONENTE 3</v>
      </c>
      <c r="B9" s="115" t="str">
        <f ca="1">IFERROR(__xludf.DUMMYFUNCTION("""COMPUTED_VALUE"""),"Número de apoyos, servicios y actividades de promoción dirigidas a la inclusión y garantía de derechos de personas con discapacidad realizadas en 2023")</f>
        <v>Número de apoyos, servicios y actividades de promoción dirigidas a la inclusión y garantía de derechos de personas con discapacidad realizadas en 2023</v>
      </c>
      <c r="C9" s="115" t="str">
        <f ca="1">IFERROR(__xludf.DUMMYFUNCTION("""COMPUTED_VALUE"""),"Porcentaje")</f>
        <v>Porcentaje</v>
      </c>
      <c r="D9" s="119">
        <f ca="1">IFERROR(__xludf.DUMMYFUNCTION("""COMPUTED_VALUE"""),538)</f>
        <v>538</v>
      </c>
      <c r="E9" s="119">
        <f ca="1">IFERROR(__xludf.DUMMYFUNCTION("""COMPUTED_VALUE"""),470)</f>
        <v>470</v>
      </c>
      <c r="F9" s="115" t="str">
        <f ca="1">IFERROR(__xludf.DUMMYFUNCTION("""COMPUTED_VALUE"""),"114,5%")</f>
        <v>114,5%</v>
      </c>
      <c r="G9" s="118" t="b">
        <v>1</v>
      </c>
      <c r="H9" s="118" t="s">
        <v>254</v>
      </c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>
      <c r="A10" s="115" t="str">
        <f ca="1">IFERROR(__xludf.DUMMYFUNCTION("""COMPUTED_VALUE"""),"ACTIVIDAD 3.1")</f>
        <v>ACTIVIDAD 3.1</v>
      </c>
      <c r="B10" s="115" t="str">
        <f ca="1">IFERROR(__xludf.DUMMYFUNCTION("""COMPUTED_VALUE"""),"Otorgar medicamentos a personas adultas con discapacidad intelectual institucionalizadas para la garantía de sus derechos durante el 2023.")</f>
        <v>Otorgar medicamentos a personas adultas con discapacidad intelectual institucionalizadas para la garantía de sus derechos durante el 2023.</v>
      </c>
      <c r="C10" s="115" t="str">
        <f ca="1">IFERROR(__xludf.DUMMYFUNCTION("""COMPUTED_VALUE"""),"Promedio")</f>
        <v>Promedio</v>
      </c>
      <c r="D10" s="119">
        <f ca="1">IFERROR(__xludf.DUMMYFUNCTION("""COMPUTED_VALUE"""),201)</f>
        <v>201</v>
      </c>
      <c r="E10" s="119">
        <f ca="1">IFERROR(__xludf.DUMMYFUNCTION("""COMPUTED_VALUE"""),66)</f>
        <v>66</v>
      </c>
      <c r="F10" s="115" t="str">
        <f ca="1">IFERROR(__xludf.DUMMYFUNCTION("""COMPUTED_VALUE"""),"50,3")</f>
        <v>50,3</v>
      </c>
      <c r="G10" s="118" t="b">
        <v>1</v>
      </c>
      <c r="H10" s="115">
        <f ca="1">D10/3</f>
        <v>67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>
      <c r="A11" s="115" t="str">
        <f ca="1">IFERROR(__xludf.DUMMYFUNCTION("""COMPUTED_VALUE"""),"ACTIVIDAD 3.2")</f>
        <v>ACTIVIDAD 3.2</v>
      </c>
      <c r="B11" s="115" t="str">
        <f ca="1">IFERROR(__xludf.DUMMYFUNCTION("""COMPUTED_VALUE"""),"Otorgar apoyo de vivienda temporal a personas con discapacidad intelectual o mental institucionalizados para la garantía de sus derechos durante el 2023.")</f>
        <v>Otorgar apoyo de vivienda temporal a personas con discapacidad intelectual o mental institucionalizados para la garantía de sus derechos durante el 2023.</v>
      </c>
      <c r="C11" s="115" t="str">
        <f ca="1">IFERROR(__xludf.DUMMYFUNCTION("""COMPUTED_VALUE"""),"Porcentaje")</f>
        <v>Porcentaje</v>
      </c>
      <c r="D11" s="119">
        <f ca="1">IFERROR(__xludf.DUMMYFUNCTION("""COMPUTED_VALUE"""),20)</f>
        <v>20</v>
      </c>
      <c r="E11" s="119">
        <f ca="1">IFERROR(__xludf.DUMMYFUNCTION("""COMPUTED_VALUE"""),15)</f>
        <v>15</v>
      </c>
      <c r="F11" s="115" t="str">
        <f ca="1">IFERROR(__xludf.DUMMYFUNCTION("""COMPUTED_VALUE"""),"133,3%")</f>
        <v>133,3%</v>
      </c>
      <c r="G11" s="118" t="b">
        <v>1</v>
      </c>
      <c r="H11" s="118" t="s">
        <v>254</v>
      </c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>
      <c r="A12" s="115" t="str">
        <f ca="1">IFERROR(__xludf.DUMMYFUNCTION("""COMPUTED_VALUE"""),"ACTIVIDAD 3.3")</f>
        <v>ACTIVIDAD 3.3</v>
      </c>
      <c r="B12" s="115" t="str">
        <f ca="1">IFERROR(__xludf.DUMMYFUNCTION("""COMPUTED_VALUE"""),"Impartición de talleres de sensibilización a instituciones y centros laborales del sector público y privado, instituciones escolares y público en general de promoción de la cultura de inclusión durante el 2023.")</f>
        <v>Impartición de talleres de sensibilización a instituciones y centros laborales del sector público y privado, instituciones escolares y público en general de promoción de la cultura de inclusión durante el 2023.</v>
      </c>
      <c r="C12" s="115" t="str">
        <f ca="1">IFERROR(__xludf.DUMMYFUNCTION("""COMPUTED_VALUE"""),"Porcentaje")</f>
        <v>Porcentaje</v>
      </c>
      <c r="D12" s="119">
        <f ca="1">IFERROR(__xludf.DUMMYFUNCTION("""COMPUTED_VALUE"""),59)</f>
        <v>59</v>
      </c>
      <c r="E12" s="119">
        <f ca="1">IFERROR(__xludf.DUMMYFUNCTION("""COMPUTED_VALUE"""),25)</f>
        <v>25</v>
      </c>
      <c r="F12" s="115" t="str">
        <f ca="1">IFERROR(__xludf.DUMMYFUNCTION("""COMPUTED_VALUE"""),"236%")</f>
        <v>236%</v>
      </c>
      <c r="G12" s="118" t="b">
        <v>1</v>
      </c>
      <c r="H12" s="118" t="s">
        <v>254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>
      <c r="A13" s="115" t="str">
        <f ca="1">IFERROR(__xludf.DUMMYFUNCTION("""COMPUTED_VALUE"""),"COMPONENTE 4")</f>
        <v>COMPONENTE 4</v>
      </c>
      <c r="B13" s="115" t="str">
        <f ca="1">IFERROR(__xludf.DUMMYFUNCTION("""COMPUTED_VALUE"""),"Asistencias de personas adultas mayores a capacitaciones y talleres de envejecimiento activo en 2023")</f>
        <v>Asistencias de personas adultas mayores a capacitaciones y talleres de envejecimiento activo en 2023</v>
      </c>
      <c r="C13" s="115" t="str">
        <f ca="1">IFERROR(__xludf.DUMMYFUNCTION("""COMPUTED_VALUE"""),"Promedio")</f>
        <v>Promedio</v>
      </c>
      <c r="D13" s="119">
        <f ca="1">IFERROR(__xludf.DUMMYFUNCTION("""COMPUTED_VALUE"""),22018)</f>
        <v>22018</v>
      </c>
      <c r="E13" s="119">
        <f ca="1">IFERROR(__xludf.DUMMYFUNCTION("""COMPUTED_VALUE"""),6000)</f>
        <v>6000</v>
      </c>
      <c r="F13" s="115" t="str">
        <f ca="1">IFERROR(__xludf.DUMMYFUNCTION("""COMPUTED_VALUE"""),"5504,5")</f>
        <v>5504,5</v>
      </c>
      <c r="G13" s="118" t="b">
        <v>1</v>
      </c>
      <c r="H13" s="115">
        <f ca="1">D13/3</f>
        <v>7339.333333333333</v>
      </c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>
      <c r="A14" s="115" t="str">
        <f ca="1">IFERROR(__xludf.DUMMYFUNCTION("""COMPUTED_VALUE"""),"ACTIVIDAD 4.1")</f>
        <v>ACTIVIDAD 4.1</v>
      </c>
      <c r="B14" s="115" t="str">
        <f ca="1">IFERROR(__xludf.DUMMYFUNCTION("""COMPUTED_VALUE"""),"Encuentros intergeneracionales realizados en el Programa DIPAM en 2023")</f>
        <v>Encuentros intergeneracionales realizados en el Programa DIPAM en 2023</v>
      </c>
      <c r="C14" s="115" t="str">
        <f ca="1">IFERROR(__xludf.DUMMYFUNCTION("""COMPUTED_VALUE"""),"Porcentaje")</f>
        <v>Porcentaje</v>
      </c>
      <c r="D14" s="119">
        <f ca="1">IFERROR(__xludf.DUMMYFUNCTION("""COMPUTED_VALUE"""),19)</f>
        <v>19</v>
      </c>
      <c r="E14" s="119">
        <f ca="1">IFERROR(__xludf.DUMMYFUNCTION("""COMPUTED_VALUE"""),22)</f>
        <v>22</v>
      </c>
      <c r="F14" s="115" t="str">
        <f ca="1">IFERROR(__xludf.DUMMYFUNCTION("""COMPUTED_VALUE"""),"86,4%")</f>
        <v>86,4%</v>
      </c>
      <c r="G14" s="118" t="b">
        <v>1</v>
      </c>
      <c r="H14" s="118" t="s">
        <v>254</v>
      </c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>
      <c r="A15" s="115" t="str">
        <f ca="1">IFERROR(__xludf.DUMMYFUNCTION("""COMPUTED_VALUE"""),"ACTIVIDAD 4.2")</f>
        <v>ACTIVIDAD 4.2</v>
      </c>
      <c r="B15" s="115" t="str">
        <f ca="1">IFERROR(__xludf.DUMMYFUNCTION("""COMPUTED_VALUE"""),"Raciones alimenticias entregadas en el comedor de DIPAM en 2023")</f>
        <v>Raciones alimenticias entregadas en el comedor de DIPAM en 2023</v>
      </c>
      <c r="C15" s="115" t="str">
        <f ca="1">IFERROR(__xludf.DUMMYFUNCTION("""COMPUTED_VALUE"""),"Porcentaje")</f>
        <v>Porcentaje</v>
      </c>
      <c r="D15" s="119">
        <f ca="1">IFERROR(__xludf.DUMMYFUNCTION("""COMPUTED_VALUE"""),17240)</f>
        <v>17240</v>
      </c>
      <c r="E15" s="119">
        <f ca="1">IFERROR(__xludf.DUMMYFUNCTION("""COMPUTED_VALUE"""),22000)</f>
        <v>22000</v>
      </c>
      <c r="F15" s="115" t="str">
        <f ca="1">IFERROR(__xludf.DUMMYFUNCTION("""COMPUTED_VALUE"""),"78,4%")</f>
        <v>78,4%</v>
      </c>
      <c r="G15" s="118" t="b">
        <v>1</v>
      </c>
      <c r="H15" s="118" t="s">
        <v>254</v>
      </c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>
      <c r="A16" s="115" t="str">
        <f ca="1">IFERROR(__xludf.DUMMYFUNCTION("""COMPUTED_VALUE"""),"COMPONENTE 5")</f>
        <v>COMPONENTE 5</v>
      </c>
      <c r="B16" s="115" t="str">
        <f ca="1">IFERROR(__xludf.DUMMYFUNCTION("""COMPUTED_VALUE"""),"C5.  Servicios de terapia física, atención psicológica y consulta médica de rehabilitación y de traumatología y ortopedia brindados en el CAIPED en 2023")</f>
        <v>C5.  Servicios de terapia física, atención psicológica y consulta médica de rehabilitación y de traumatología y ortopedia brindados en el CAIPED en 2023</v>
      </c>
      <c r="C16" s="115" t="str">
        <f ca="1">IFERROR(__xludf.DUMMYFUNCTION("""COMPUTED_VALUE"""),"Porcentaje")</f>
        <v>Porcentaje</v>
      </c>
      <c r="D16" s="119">
        <f ca="1">IFERROR(__xludf.DUMMYFUNCTION("""COMPUTED_VALUE"""),7679)</f>
        <v>7679</v>
      </c>
      <c r="E16" s="119">
        <f ca="1">IFERROR(__xludf.DUMMYFUNCTION("""COMPUTED_VALUE"""),7920)</f>
        <v>7920</v>
      </c>
      <c r="F16" s="115" t="str">
        <f ca="1">IFERROR(__xludf.DUMMYFUNCTION("""COMPUTED_VALUE"""),"97%")</f>
        <v>97%</v>
      </c>
      <c r="G16" s="118" t="b">
        <v>1</v>
      </c>
      <c r="H16" s="118" t="s">
        <v>254</v>
      </c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115" t="str">
        <f ca="1">IFERROR(__xludf.DUMMYFUNCTION("""COMPUTED_VALUE"""),"ACTIVIDAD 5.1")</f>
        <v>ACTIVIDAD 5.1</v>
      </c>
      <c r="B17" s="115" t="str">
        <f ca="1">IFERROR(__xludf.DUMMYFUNCTION("""COMPUTED_VALUE"""),"Sesiones de terapia física brindadas en el Centro CAIPED en 2023")</f>
        <v>Sesiones de terapia física brindadas en el Centro CAIPED en 2023</v>
      </c>
      <c r="C17" s="115" t="str">
        <f ca="1">IFERROR(__xludf.DUMMYFUNCTION("""COMPUTED_VALUE"""),"Porcentaje")</f>
        <v>Porcentaje</v>
      </c>
      <c r="D17" s="119">
        <f ca="1">IFERROR(__xludf.DUMMYFUNCTION("""COMPUTED_VALUE"""),6628)</f>
        <v>6628</v>
      </c>
      <c r="E17" s="119">
        <f ca="1">IFERROR(__xludf.DUMMYFUNCTION("""COMPUTED_VALUE"""),7250)</f>
        <v>7250</v>
      </c>
      <c r="F17" s="115" t="str">
        <f ca="1">IFERROR(__xludf.DUMMYFUNCTION("""COMPUTED_VALUE"""),"91,4%")</f>
        <v>91,4%</v>
      </c>
      <c r="G17" s="118" t="b">
        <v>1</v>
      </c>
      <c r="H17" s="118" t="s">
        <v>254</v>
      </c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 t="str">
        <f ca="1">IFERROR(__xludf.DUMMYFUNCTION("""COMPUTED_VALUE"""),"ACTIVIDAD 5.2")</f>
        <v>ACTIVIDAD 5.2</v>
      </c>
      <c r="B18" s="115" t="str">
        <f ca="1">IFERROR(__xludf.DUMMYFUNCTION("""COMPUTED_VALUE"""),"Sesiones de consulta médica brindadas en el Centro CAIPED en 2023")</f>
        <v>Sesiones de consulta médica brindadas en el Centro CAIPED en 2023</v>
      </c>
      <c r="C18" s="115" t="str">
        <f ca="1">IFERROR(__xludf.DUMMYFUNCTION("""COMPUTED_VALUE"""),"Porcentaje")</f>
        <v>Porcentaje</v>
      </c>
      <c r="D18" s="119">
        <f ca="1">IFERROR(__xludf.DUMMYFUNCTION("""COMPUTED_VALUE"""),1129)</f>
        <v>1129</v>
      </c>
      <c r="E18" s="119">
        <f ca="1">IFERROR(__xludf.DUMMYFUNCTION("""COMPUTED_VALUE"""),670)</f>
        <v>670</v>
      </c>
      <c r="F18" s="115" t="str">
        <f ca="1">IFERROR(__xludf.DUMMYFUNCTION("""COMPUTED_VALUE"""),"168,5%")</f>
        <v>168,5%</v>
      </c>
      <c r="G18" s="118" t="b">
        <v>1</v>
      </c>
      <c r="H18" s="118" t="s">
        <v>254</v>
      </c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38.7109375" customWidth="1"/>
  </cols>
  <sheetData>
    <row r="1" spans="1:26">
      <c r="A1" s="115" t="str">
        <f ca="1">IFERROR(__xludf.DUMMYFUNCTION("QUERY(MIR!A32:AF49,""SELECT A,C,D,M,AE,O,AF WHERE A='FIN' OR A='FIN/PROPÓSITO'"",1)"),"")</f>
        <v/>
      </c>
      <c r="B1" s="115" t="str">
        <f ca="1">IFERROR(__xludf.DUMMYFUNCTION("""COMPUTED_VALUE"""),"RESUMEN NARRATIVO")</f>
        <v>RESUMEN NARRATIVO</v>
      </c>
      <c r="C1" s="115" t="str">
        <f ca="1">IFERROR(__xludf.DUMMYFUNCTION("""COMPUTED_VALUE"""),"OBJETIVOS DE RESULTADO")</f>
        <v>OBJETIVOS DE RESULTADO</v>
      </c>
      <c r="D1" s="115" t="str">
        <f ca="1">IFERROR(__xludf.DUMMYFUNCTION("""COMPUTED_VALUE"""),"UNIDAD DE MEDIDA")</f>
        <v>UNIDAD DE MEDIDA</v>
      </c>
      <c r="E1" s="115" t="str">
        <f ca="1">IFERROR(__xludf.DUMMYFUNCTION("""COMPUTED_VALUE"""),"Total acumulado")</f>
        <v>Total acumulado</v>
      </c>
      <c r="F1" s="115" t="str">
        <f ca="1">IFERROR(__xludf.DUMMYFUNCTION("""COMPUTED_VALUE"""),"META PROGRAMADA")</f>
        <v>META PROGRAMADA</v>
      </c>
      <c r="G1" s="115" t="str">
        <f ca="1">IFERROR(__xludf.DUMMYFUNCTION("""COMPUTED_VALUE"""),"Meta alcanzada")</f>
        <v>Meta alcanzada</v>
      </c>
      <c r="H1" s="115"/>
      <c r="I1" s="115"/>
      <c r="J1" s="115">
        <f ca="1">SUM(I2:I5)</f>
        <v>8319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>
      <c r="A2" s="115" t="str">
        <f ca="1">IFERROR(__xludf.DUMMYFUNCTION("""COMPUTED_VALUE"""),"FIN")</f>
        <v>FIN</v>
      </c>
      <c r="B2" s="115" t="str">
        <f ca="1">IFERROR(__xludf.DUMMYFUNCTION("""COMPUTED_VALUE"""),"COMPONENTE 1")</f>
        <v>COMPONENTE 1</v>
      </c>
      <c r="C2" s="115" t="str">
        <f ca="1">IFERROR(__xludf.DUMMYFUNCTION("""COMPUTED_VALUE"""),"C1. Servicios de atención integral a personas con discapacidad intelectual y sus familias brindados en CEAMIVIDA")</f>
        <v>C1. Servicios de atención integral a personas con discapacidad intelectual y sus familias brindados en CEAMIVIDA</v>
      </c>
      <c r="D2" s="115" t="str">
        <f ca="1">IFERROR(__xludf.DUMMYFUNCTION("""COMPUTED_VALUE"""),"Promedio")</f>
        <v>Promedio</v>
      </c>
      <c r="E2" s="119">
        <f ca="1">IFERROR(__xludf.DUMMYFUNCTION("""COMPUTED_VALUE"""),1308)</f>
        <v>1308</v>
      </c>
      <c r="F2" s="119">
        <f ca="1">IFERROR(__xludf.DUMMYFUNCTION("""COMPUTED_VALUE"""),372)</f>
        <v>372</v>
      </c>
      <c r="G2" s="115" t="str">
        <f ca="1">IFERROR(__xludf.DUMMYFUNCTION("""COMPUTED_VALUE"""),"327")</f>
        <v>327</v>
      </c>
      <c r="H2" s="115"/>
      <c r="I2" s="115">
        <f t="shared" ref="I2:I5" ca="1" si="0">E2/3</f>
        <v>436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>
      <c r="A3" s="115" t="str">
        <f ca="1">IFERROR(__xludf.DUMMYFUNCTION("""COMPUTED_VALUE"""),"FIN")</f>
        <v>FIN</v>
      </c>
      <c r="B3" s="115" t="str">
        <f ca="1">IFERROR(__xludf.DUMMYFUNCTION("""COMPUTED_VALUE"""),"COMPONENTE 2")</f>
        <v>COMPONENTE 2</v>
      </c>
      <c r="C3" s="115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D3" s="115" t="str">
        <f ca="1">IFERROR(__xludf.DUMMYFUNCTION("""COMPUTED_VALUE"""),"Promedio")</f>
        <v>Promedio</v>
      </c>
      <c r="E3" s="119">
        <f ca="1">IFERROR(__xludf.DUMMYFUNCTION("""COMPUTED_VALUE"""),1430)</f>
        <v>1430</v>
      </c>
      <c r="F3" s="119">
        <f ca="1">IFERROR(__xludf.DUMMYFUNCTION("""COMPUTED_VALUE"""),450)</f>
        <v>450</v>
      </c>
      <c r="G3" s="115" t="str">
        <f ca="1">IFERROR(__xludf.DUMMYFUNCTION("""COMPUTED_VALUE"""),"357,5")</f>
        <v>357,5</v>
      </c>
      <c r="H3" s="115"/>
      <c r="I3" s="115">
        <f t="shared" ca="1" si="0"/>
        <v>476.66666666666669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>
      <c r="A4" s="115" t="str">
        <f ca="1">IFERROR(__xludf.DUMMYFUNCTION("""COMPUTED_VALUE"""),"FIN")</f>
        <v>FIN</v>
      </c>
      <c r="B4" s="115" t="str">
        <f ca="1">IFERROR(__xludf.DUMMYFUNCTION("""COMPUTED_VALUE"""),"ACTIVIDAD 3.1")</f>
        <v>ACTIVIDAD 3.1</v>
      </c>
      <c r="C4" s="115" t="str">
        <f ca="1">IFERROR(__xludf.DUMMYFUNCTION("""COMPUTED_VALUE"""),"Otorgar medicamentos a personas adultas con discapacidad intelectual institucionalizadas para la garantía de sus derechos durante el 2023.")</f>
        <v>Otorgar medicamentos a personas adultas con discapacidad intelectual institucionalizadas para la garantía de sus derechos durante el 2023.</v>
      </c>
      <c r="D4" s="115" t="str">
        <f ca="1">IFERROR(__xludf.DUMMYFUNCTION("""COMPUTED_VALUE"""),"Promedio")</f>
        <v>Promedio</v>
      </c>
      <c r="E4" s="119">
        <f ca="1">IFERROR(__xludf.DUMMYFUNCTION("""COMPUTED_VALUE"""),201)</f>
        <v>201</v>
      </c>
      <c r="F4" s="119">
        <f ca="1">IFERROR(__xludf.DUMMYFUNCTION("""COMPUTED_VALUE"""),66)</f>
        <v>66</v>
      </c>
      <c r="G4" s="115" t="str">
        <f ca="1">IFERROR(__xludf.DUMMYFUNCTION("""COMPUTED_VALUE"""),"50,3")</f>
        <v>50,3</v>
      </c>
      <c r="H4" s="115"/>
      <c r="I4" s="115">
        <f t="shared" ca="1" si="0"/>
        <v>67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>
      <c r="A5" s="115" t="str">
        <f ca="1">IFERROR(__xludf.DUMMYFUNCTION("""COMPUTED_VALUE"""),"FIN")</f>
        <v>FIN</v>
      </c>
      <c r="B5" s="115" t="str">
        <f ca="1">IFERROR(__xludf.DUMMYFUNCTION("""COMPUTED_VALUE"""),"COMPONENTE 4")</f>
        <v>COMPONENTE 4</v>
      </c>
      <c r="C5" s="115" t="str">
        <f ca="1">IFERROR(__xludf.DUMMYFUNCTION("""COMPUTED_VALUE"""),"Asistencias de personas adultas mayores a capacitaciones y talleres de envejecimiento activo en 2023")</f>
        <v>Asistencias de personas adultas mayores a capacitaciones y talleres de envejecimiento activo en 2023</v>
      </c>
      <c r="D5" s="115" t="str">
        <f ca="1">IFERROR(__xludf.DUMMYFUNCTION("""COMPUTED_VALUE"""),"Promedio")</f>
        <v>Promedio</v>
      </c>
      <c r="E5" s="119">
        <f ca="1">IFERROR(__xludf.DUMMYFUNCTION("""COMPUTED_VALUE"""),22018)</f>
        <v>22018</v>
      </c>
      <c r="F5" s="119">
        <f ca="1">IFERROR(__xludf.DUMMYFUNCTION("""COMPUTED_VALUE"""),6000)</f>
        <v>6000</v>
      </c>
      <c r="G5" s="115" t="str">
        <f ca="1">IFERROR(__xludf.DUMMYFUNCTION("""COMPUTED_VALUE"""),"5504,5")</f>
        <v>5504,5</v>
      </c>
      <c r="H5" s="115"/>
      <c r="I5" s="115">
        <f t="shared" ca="1" si="0"/>
        <v>7339.333333333333</v>
      </c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>
      <c r="A6" s="115" t="str">
        <f ca="1">IFERROR(__xludf.DUMMYFUNCTION("""COMPUTED_VALUE"""),"FIN")</f>
        <v>FIN</v>
      </c>
      <c r="B6" s="115" t="str">
        <f ca="1">IFERROR(__xludf.DUMMYFUNCTION("""COMPUTED_VALUE"""),"COMPONENTE 5")</f>
        <v>COMPONENTE 5</v>
      </c>
      <c r="C6" s="115" t="str">
        <f ca="1">IFERROR(__xludf.DUMMYFUNCTION("""COMPUTED_VALUE"""),"C5.  Servicios de terapia física, atención psicológica y consulta médica de rehabilitación y de traumatología y ortopedia brindados en el CAIPED en 2023")</f>
        <v>C5.  Servicios de terapia física, atención psicológica y consulta médica de rehabilitación y de traumatología y ortopedia brindados en el CAIPED en 2023</v>
      </c>
      <c r="D6" s="115" t="str">
        <f ca="1">IFERROR(__xludf.DUMMYFUNCTION("""COMPUTED_VALUE"""),"Porcentaje")</f>
        <v>Porcentaje</v>
      </c>
      <c r="E6" s="119">
        <f ca="1">IFERROR(__xludf.DUMMYFUNCTION("""COMPUTED_VALUE"""),7679)</f>
        <v>7679</v>
      </c>
      <c r="F6" s="119">
        <f ca="1">IFERROR(__xludf.DUMMYFUNCTION("""COMPUTED_VALUE"""),7920)</f>
        <v>7920</v>
      </c>
      <c r="G6" s="115" t="str">
        <f ca="1">IFERROR(__xludf.DUMMYFUNCTION("""COMPUTED_VALUE"""),"97%")</f>
        <v>97%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38.7109375" customWidth="1"/>
  </cols>
  <sheetData>
    <row r="1" spans="1:26">
      <c r="A1" s="115" t="str">
        <f ca="1">IFERROR(__xludf.DUMMYFUNCTION("QUERY(MIR!A32:AF49,""SELECT A,C,D,M,AE,O,AF WHERE A='PROPÓSITO' OR A='FIN/PROPÓSITO'"",1)"),"")</f>
        <v/>
      </c>
      <c r="B1" s="115" t="str">
        <f ca="1">IFERROR(__xludf.DUMMYFUNCTION("""COMPUTED_VALUE"""),"RESUMEN NARRATIVO")</f>
        <v>RESUMEN NARRATIVO</v>
      </c>
      <c r="C1" s="115" t="str">
        <f ca="1">IFERROR(__xludf.DUMMYFUNCTION("""COMPUTED_VALUE"""),"OBJETIVOS DE RESULTADO")</f>
        <v>OBJETIVOS DE RESULTADO</v>
      </c>
      <c r="D1" s="115" t="str">
        <f ca="1">IFERROR(__xludf.DUMMYFUNCTION("""COMPUTED_VALUE"""),"UNIDAD DE MEDIDA")</f>
        <v>UNIDAD DE MEDIDA</v>
      </c>
      <c r="E1" s="115" t="str">
        <f ca="1">IFERROR(__xludf.DUMMYFUNCTION("""COMPUTED_VALUE"""),"Total acumulado")</f>
        <v>Total acumulado</v>
      </c>
      <c r="F1" s="115" t="str">
        <f ca="1">IFERROR(__xludf.DUMMYFUNCTION("""COMPUTED_VALUE"""),"META PROGRAMADA")</f>
        <v>META PROGRAMADA</v>
      </c>
      <c r="G1" s="115" t="str">
        <f ca="1">IFERROR(__xludf.DUMMYFUNCTION("""COMPUTED_VALUE"""),"Meta alcanzada")</f>
        <v>Meta alcanzada</v>
      </c>
      <c r="H1" s="115"/>
      <c r="I1" s="115"/>
      <c r="J1" s="115">
        <f ca="1">SUM(I2:I5)</f>
        <v>8200.6666666666679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>
      <c r="A2" s="115" t="str">
        <f ca="1">IFERROR(__xludf.DUMMYFUNCTION("""COMPUTED_VALUE"""),"PROPÓSITO")</f>
        <v>PROPÓSITO</v>
      </c>
      <c r="B2" s="115" t="str">
        <f ca="1">IFERROR(__xludf.DUMMYFUNCTION("""COMPUTED_VALUE"""),"ACTIVIDAD 1.1")</f>
        <v>ACTIVIDAD 1.1</v>
      </c>
      <c r="C2" s="115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D2" s="115" t="str">
        <f ca="1">IFERROR(__xludf.DUMMYFUNCTION("""COMPUTED_VALUE"""),"Porcentaje")</f>
        <v>Porcentaje</v>
      </c>
      <c r="E2" s="119">
        <f ca="1">IFERROR(__xludf.DUMMYFUNCTION("""COMPUTED_VALUE"""),792)</f>
        <v>792</v>
      </c>
      <c r="F2" s="119">
        <f ca="1">IFERROR(__xludf.DUMMYFUNCTION("""COMPUTED_VALUE"""),810)</f>
        <v>810</v>
      </c>
      <c r="G2" s="115" t="str">
        <f ca="1">IFERROR(__xludf.DUMMYFUNCTION("""COMPUTED_VALUE"""),"97,8%")</f>
        <v>97,8%</v>
      </c>
      <c r="H2" s="115"/>
      <c r="I2" s="115">
        <f t="shared" ref="I2:I5" ca="1" si="0">E2/3</f>
        <v>264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>
      <c r="A3" s="115" t="str">
        <f ca="1">IFERROR(__xludf.DUMMYFUNCTION("""COMPUTED_VALUE"""),"PROPÓSITO")</f>
        <v>PROPÓSITO</v>
      </c>
      <c r="B3" s="115" t="str">
        <f ca="1">IFERROR(__xludf.DUMMYFUNCTION("""COMPUTED_VALUE"""),"ACTIVIDAD 2.1")</f>
        <v>ACTIVIDAD 2.1</v>
      </c>
      <c r="C3" s="115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D3" s="115" t="str">
        <f ca="1">IFERROR(__xludf.DUMMYFUNCTION("""COMPUTED_VALUE"""),"Porcentaje")</f>
        <v>Porcentaje</v>
      </c>
      <c r="E3" s="119">
        <f ca="1">IFERROR(__xludf.DUMMYFUNCTION("""COMPUTED_VALUE"""),6032)</f>
        <v>6032</v>
      </c>
      <c r="F3" s="119">
        <f ca="1">IFERROR(__xludf.DUMMYFUNCTION("""COMPUTED_VALUE"""),5600)</f>
        <v>5600</v>
      </c>
      <c r="G3" s="115" t="str">
        <f ca="1">IFERROR(__xludf.DUMMYFUNCTION("""COMPUTED_VALUE"""),"107,7%")</f>
        <v>107,7%</v>
      </c>
      <c r="H3" s="115"/>
      <c r="I3" s="115">
        <f t="shared" ca="1" si="0"/>
        <v>2010.6666666666667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>
      <c r="A4" s="115" t="str">
        <f ca="1">IFERROR(__xludf.DUMMYFUNCTION("""COMPUTED_VALUE"""),"PROPÓSITO")</f>
        <v>PROPÓSITO</v>
      </c>
      <c r="B4" s="115" t="str">
        <f ca="1">IFERROR(__xludf.DUMMYFUNCTION("""COMPUTED_VALUE"""),"COMPONENTE 3")</f>
        <v>COMPONENTE 3</v>
      </c>
      <c r="C4" s="115" t="str">
        <f ca="1">IFERROR(__xludf.DUMMYFUNCTION("""COMPUTED_VALUE"""),"Número de apoyos, servicios y actividades de promoción dirigidas a la inclusión y garantía de derechos de personas con discapacidad realizadas en 2023")</f>
        <v>Número de apoyos, servicios y actividades de promoción dirigidas a la inclusión y garantía de derechos de personas con discapacidad realizadas en 2023</v>
      </c>
      <c r="D4" s="115" t="str">
        <f ca="1">IFERROR(__xludf.DUMMYFUNCTION("""COMPUTED_VALUE"""),"Porcentaje")</f>
        <v>Porcentaje</v>
      </c>
      <c r="E4" s="119">
        <f ca="1">IFERROR(__xludf.DUMMYFUNCTION("""COMPUTED_VALUE"""),538)</f>
        <v>538</v>
      </c>
      <c r="F4" s="119">
        <f ca="1">IFERROR(__xludf.DUMMYFUNCTION("""COMPUTED_VALUE"""),470)</f>
        <v>470</v>
      </c>
      <c r="G4" s="115" t="str">
        <f ca="1">IFERROR(__xludf.DUMMYFUNCTION("""COMPUTED_VALUE"""),"114,5%")</f>
        <v>114,5%</v>
      </c>
      <c r="H4" s="115"/>
      <c r="I4" s="115">
        <f t="shared" ca="1" si="0"/>
        <v>179.33333333333334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>
      <c r="A5" s="115" t="str">
        <f ca="1">IFERROR(__xludf.DUMMYFUNCTION("""COMPUTED_VALUE"""),"PROPÓSITO")</f>
        <v>PROPÓSITO</v>
      </c>
      <c r="B5" s="115" t="str">
        <f ca="1">IFERROR(__xludf.DUMMYFUNCTION("""COMPUTED_VALUE"""),"ACTIVIDAD 4.2")</f>
        <v>ACTIVIDAD 4.2</v>
      </c>
      <c r="C5" s="115" t="str">
        <f ca="1">IFERROR(__xludf.DUMMYFUNCTION("""COMPUTED_VALUE"""),"Raciones alimenticias entregadas en el comedor de DIPAM en 2023")</f>
        <v>Raciones alimenticias entregadas en el comedor de DIPAM en 2023</v>
      </c>
      <c r="D5" s="115" t="str">
        <f ca="1">IFERROR(__xludf.DUMMYFUNCTION("""COMPUTED_VALUE"""),"Porcentaje")</f>
        <v>Porcentaje</v>
      </c>
      <c r="E5" s="119">
        <f ca="1">IFERROR(__xludf.DUMMYFUNCTION("""COMPUTED_VALUE"""),17240)</f>
        <v>17240</v>
      </c>
      <c r="F5" s="119">
        <f ca="1">IFERROR(__xludf.DUMMYFUNCTION("""COMPUTED_VALUE"""),22000)</f>
        <v>22000</v>
      </c>
      <c r="G5" s="115" t="str">
        <f ca="1">IFERROR(__xludf.DUMMYFUNCTION("""COMPUTED_VALUE"""),"78,4%")</f>
        <v>78,4%</v>
      </c>
      <c r="H5" s="115"/>
      <c r="I5" s="115">
        <f t="shared" ca="1" si="0"/>
        <v>5746.666666666667</v>
      </c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>
      <c r="A6" s="115" t="str">
        <f ca="1">IFERROR(__xludf.DUMMYFUNCTION("""COMPUTED_VALUE"""),"PROPÓSITO")</f>
        <v>PROPÓSITO</v>
      </c>
      <c r="B6" s="115" t="str">
        <f ca="1">IFERROR(__xludf.DUMMYFUNCTION("""COMPUTED_VALUE"""),"ACTIVIDAD 5.1")</f>
        <v>ACTIVIDAD 5.1</v>
      </c>
      <c r="C6" s="115" t="str">
        <f ca="1">IFERROR(__xludf.DUMMYFUNCTION("""COMPUTED_VALUE"""),"Sesiones de terapia física brindadas en el Centro CAIPED en 2023")</f>
        <v>Sesiones de terapia física brindadas en el Centro CAIPED en 2023</v>
      </c>
      <c r="D6" s="115" t="str">
        <f ca="1">IFERROR(__xludf.DUMMYFUNCTION("""COMPUTED_VALUE"""),"Porcentaje")</f>
        <v>Porcentaje</v>
      </c>
      <c r="E6" s="119">
        <f ca="1">IFERROR(__xludf.DUMMYFUNCTION("""COMPUTED_VALUE"""),6628)</f>
        <v>6628</v>
      </c>
      <c r="F6" s="119">
        <f ca="1">IFERROR(__xludf.DUMMYFUNCTION("""COMPUTED_VALUE"""),7250)</f>
        <v>7250</v>
      </c>
      <c r="G6" s="115" t="str">
        <f ca="1">IFERROR(__xludf.DUMMYFUNCTION("""COMPUTED_VALUE"""),"91,4%")</f>
        <v>91,4%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>
      <c r="A7" s="115" t="str">
        <f ca="1">IFERROR(__xludf.DUMMYFUNCTION("""COMPUTED_VALUE"""),"PROPÓSITO")</f>
        <v>PROPÓSITO</v>
      </c>
      <c r="B7" s="115" t="str">
        <f ca="1">IFERROR(__xludf.DUMMYFUNCTION("""COMPUTED_VALUE"""),"ACTIVIDAD 5.2")</f>
        <v>ACTIVIDAD 5.2</v>
      </c>
      <c r="C7" s="115" t="str">
        <f ca="1">IFERROR(__xludf.DUMMYFUNCTION("""COMPUTED_VALUE"""),"Sesiones de consulta médica brindadas en el Centro CAIPED en 2023")</f>
        <v>Sesiones de consulta médica brindadas en el Centro CAIPED en 2023</v>
      </c>
      <c r="D7" s="115" t="str">
        <f ca="1">IFERROR(__xludf.DUMMYFUNCTION("""COMPUTED_VALUE"""),"Porcentaje")</f>
        <v>Porcentaje</v>
      </c>
      <c r="E7" s="119">
        <f ca="1">IFERROR(__xludf.DUMMYFUNCTION("""COMPUTED_VALUE"""),1129)</f>
        <v>1129</v>
      </c>
      <c r="F7" s="119">
        <f ca="1">IFERROR(__xludf.DUMMYFUNCTION("""COMPUTED_VALUE"""),670)</f>
        <v>670</v>
      </c>
      <c r="G7" s="115" t="str">
        <f ca="1">IFERROR(__xludf.DUMMYFUNCTION("""COMPUTED_VALUE"""),"168,5%")</f>
        <v>168,5%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70.42578125" customWidth="1"/>
    <col min="3" max="3" width="34.5703125" customWidth="1"/>
    <col min="4" max="4" width="33.28515625" customWidth="1"/>
    <col min="5" max="5" width="44.28515625" customWidth="1"/>
    <col min="6" max="7" width="48.7109375" customWidth="1"/>
    <col min="8" max="8" width="57.140625" customWidth="1"/>
    <col min="9" max="9" width="38.5703125" customWidth="1"/>
    <col min="10" max="10" width="10.7109375" customWidth="1"/>
    <col min="11" max="11" width="27.140625" customWidth="1"/>
    <col min="12" max="12" width="23.85546875" customWidth="1"/>
    <col min="13" max="13" width="25.5703125" customWidth="1"/>
    <col min="14" max="14" width="36.140625" customWidth="1"/>
    <col min="15" max="15" width="20.42578125" customWidth="1"/>
    <col min="16" max="16" width="25.7109375" customWidth="1"/>
    <col min="17" max="17" width="10.7109375" customWidth="1"/>
    <col min="18" max="18" width="26.42578125" customWidth="1"/>
    <col min="19" max="26" width="10.7109375" customWidth="1"/>
  </cols>
  <sheetData>
    <row r="2" spans="2:18">
      <c r="B2" s="120" t="s">
        <v>255</v>
      </c>
      <c r="C2" s="120" t="s">
        <v>256</v>
      </c>
      <c r="D2" s="120" t="s">
        <v>257</v>
      </c>
      <c r="E2" s="120" t="s">
        <v>258</v>
      </c>
      <c r="F2" s="120" t="s">
        <v>259</v>
      </c>
      <c r="G2" s="120" t="s">
        <v>260</v>
      </c>
      <c r="H2" s="121" t="s">
        <v>261</v>
      </c>
      <c r="I2" s="122" t="s">
        <v>262</v>
      </c>
      <c r="J2" s="122" t="s">
        <v>263</v>
      </c>
      <c r="K2" s="122" t="s">
        <v>264</v>
      </c>
      <c r="L2" s="122" t="s">
        <v>265</v>
      </c>
      <c r="M2" s="122" t="s">
        <v>266</v>
      </c>
      <c r="N2" s="123" t="s">
        <v>267</v>
      </c>
      <c r="O2" s="122" t="s">
        <v>268</v>
      </c>
      <c r="P2" s="122" t="s">
        <v>269</v>
      </c>
      <c r="Q2" s="121" t="s">
        <v>270</v>
      </c>
      <c r="R2" s="124" t="s">
        <v>271</v>
      </c>
    </row>
    <row r="3" spans="2:18" ht="30" customHeight="1">
      <c r="B3" s="125" t="s">
        <v>272</v>
      </c>
      <c r="C3" s="126" t="s">
        <v>6</v>
      </c>
      <c r="D3" s="188" t="s">
        <v>273</v>
      </c>
      <c r="E3" s="127" t="s">
        <v>274</v>
      </c>
      <c r="F3" s="128" t="s">
        <v>275</v>
      </c>
      <c r="G3" s="127" t="s">
        <v>276</v>
      </c>
      <c r="H3" s="127" t="s">
        <v>277</v>
      </c>
      <c r="I3" s="129" t="s">
        <v>278</v>
      </c>
      <c r="J3" s="130" t="s">
        <v>279</v>
      </c>
      <c r="K3" s="130" t="s">
        <v>280</v>
      </c>
      <c r="L3" s="130" t="s">
        <v>281</v>
      </c>
      <c r="M3" s="130" t="s">
        <v>282</v>
      </c>
      <c r="N3" s="1" t="s">
        <v>283</v>
      </c>
      <c r="O3" s="129" t="s">
        <v>284</v>
      </c>
      <c r="P3" s="129" t="s">
        <v>285</v>
      </c>
      <c r="Q3" s="127" t="s">
        <v>286</v>
      </c>
      <c r="R3" s="131" t="s">
        <v>287</v>
      </c>
    </row>
    <row r="4" spans="2:18" ht="105">
      <c r="B4" s="125" t="s">
        <v>288</v>
      </c>
      <c r="C4" s="132" t="s">
        <v>289</v>
      </c>
      <c r="D4" s="189"/>
      <c r="E4" s="127" t="s">
        <v>13</v>
      </c>
      <c r="F4" s="128" t="s">
        <v>290</v>
      </c>
      <c r="G4" s="127" t="s">
        <v>291</v>
      </c>
      <c r="H4" s="127" t="s">
        <v>20</v>
      </c>
      <c r="I4" s="129" t="s">
        <v>292</v>
      </c>
      <c r="J4" s="130" t="s">
        <v>293</v>
      </c>
      <c r="K4" s="130" t="s">
        <v>294</v>
      </c>
      <c r="L4" s="130" t="s">
        <v>295</v>
      </c>
      <c r="M4" s="130" t="s">
        <v>296</v>
      </c>
      <c r="N4" s="133" t="s">
        <v>297</v>
      </c>
      <c r="O4" s="129" t="s">
        <v>298</v>
      </c>
      <c r="P4" s="129" t="s">
        <v>299</v>
      </c>
      <c r="Q4" s="127" t="s">
        <v>300</v>
      </c>
      <c r="R4" s="131" t="s">
        <v>178</v>
      </c>
    </row>
    <row r="5" spans="2:18" ht="60">
      <c r="B5" s="125" t="s">
        <v>9</v>
      </c>
      <c r="C5" s="134" t="s">
        <v>301</v>
      </c>
      <c r="D5" s="190"/>
      <c r="E5" s="127" t="s">
        <v>302</v>
      </c>
      <c r="F5" s="128" t="s">
        <v>303</v>
      </c>
      <c r="G5" s="127" t="s">
        <v>304</v>
      </c>
      <c r="H5" s="127" t="s">
        <v>305</v>
      </c>
      <c r="I5" s="129" t="s">
        <v>306</v>
      </c>
      <c r="J5" s="130" t="s">
        <v>307</v>
      </c>
      <c r="K5" s="130" t="s">
        <v>308</v>
      </c>
      <c r="L5" s="130" t="s">
        <v>309</v>
      </c>
      <c r="M5" s="130" t="s">
        <v>310</v>
      </c>
      <c r="N5" s="135" t="s">
        <v>311</v>
      </c>
      <c r="O5" s="129" t="s">
        <v>312</v>
      </c>
      <c r="P5" s="129" t="s">
        <v>313</v>
      </c>
      <c r="Q5" s="127" t="s">
        <v>314</v>
      </c>
      <c r="R5" s="131" t="s">
        <v>315</v>
      </c>
    </row>
    <row r="6" spans="2:18" ht="25.5" customHeight="1">
      <c r="B6" s="125" t="s">
        <v>316</v>
      </c>
      <c r="C6" s="136" t="s">
        <v>317</v>
      </c>
      <c r="D6" s="137" t="s">
        <v>318</v>
      </c>
      <c r="E6" s="138" t="s">
        <v>319</v>
      </c>
      <c r="F6" s="128" t="s">
        <v>320</v>
      </c>
      <c r="G6" s="90" t="s">
        <v>321</v>
      </c>
      <c r="I6" s="129" t="s">
        <v>322</v>
      </c>
      <c r="J6" s="130" t="s">
        <v>323</v>
      </c>
      <c r="K6" s="130" t="s">
        <v>324</v>
      </c>
      <c r="L6" s="130" t="s">
        <v>325</v>
      </c>
      <c r="M6" s="129" t="s">
        <v>326</v>
      </c>
      <c r="N6" s="139" t="s">
        <v>327</v>
      </c>
      <c r="O6" s="129" t="s">
        <v>328</v>
      </c>
      <c r="P6" s="129" t="s">
        <v>329</v>
      </c>
      <c r="R6" s="131" t="s">
        <v>330</v>
      </c>
    </row>
    <row r="7" spans="2:18" ht="75">
      <c r="B7" s="125" t="s">
        <v>331</v>
      </c>
      <c r="C7" s="136" t="s">
        <v>332</v>
      </c>
      <c r="D7" s="140" t="s">
        <v>333</v>
      </c>
      <c r="E7" s="127"/>
      <c r="F7" s="128" t="s">
        <v>334</v>
      </c>
      <c r="G7" s="90" t="s">
        <v>335</v>
      </c>
      <c r="I7" s="129" t="s">
        <v>336</v>
      </c>
      <c r="J7" s="1" t="s">
        <v>337</v>
      </c>
      <c r="K7" s="130" t="s">
        <v>338</v>
      </c>
      <c r="L7" s="130" t="s">
        <v>339</v>
      </c>
      <c r="M7" s="130" t="s">
        <v>340</v>
      </c>
      <c r="N7" s="139" t="s">
        <v>341</v>
      </c>
      <c r="O7" s="129" t="s">
        <v>342</v>
      </c>
      <c r="R7" s="131" t="s">
        <v>343</v>
      </c>
    </row>
    <row r="8" spans="2:18" ht="15" customHeight="1">
      <c r="B8" s="125" t="s">
        <v>344</v>
      </c>
      <c r="C8" s="136" t="s">
        <v>345</v>
      </c>
      <c r="D8" s="137" t="s">
        <v>346</v>
      </c>
      <c r="E8" s="127"/>
      <c r="F8" s="128" t="s">
        <v>347</v>
      </c>
      <c r="G8" s="90" t="s">
        <v>348</v>
      </c>
      <c r="I8" s="129" t="s">
        <v>349</v>
      </c>
      <c r="J8" s="1" t="s">
        <v>350</v>
      </c>
      <c r="K8" s="130" t="s">
        <v>351</v>
      </c>
      <c r="L8" s="141" t="s">
        <v>352</v>
      </c>
      <c r="M8" s="130" t="s">
        <v>353</v>
      </c>
      <c r="N8" s="142" t="s">
        <v>354</v>
      </c>
      <c r="O8" s="129" t="s">
        <v>355</v>
      </c>
      <c r="R8" s="131" t="s">
        <v>356</v>
      </c>
    </row>
    <row r="9" spans="2:18" ht="75">
      <c r="B9" s="125" t="s">
        <v>357</v>
      </c>
      <c r="C9" s="143" t="s">
        <v>358</v>
      </c>
      <c r="D9" s="188" t="s">
        <v>359</v>
      </c>
      <c r="E9" s="127"/>
      <c r="F9" s="128" t="s">
        <v>360</v>
      </c>
      <c r="G9" s="125" t="s">
        <v>361</v>
      </c>
      <c r="I9" s="129" t="s">
        <v>362</v>
      </c>
      <c r="K9" s="130" t="s">
        <v>363</v>
      </c>
      <c r="L9" s="144"/>
      <c r="M9" s="130" t="s">
        <v>364</v>
      </c>
      <c r="N9" s="139" t="s">
        <v>365</v>
      </c>
      <c r="O9" s="129" t="s">
        <v>366</v>
      </c>
      <c r="R9" s="131" t="s">
        <v>367</v>
      </c>
    </row>
    <row r="10" spans="2:18" ht="75">
      <c r="B10" s="125" t="s">
        <v>368</v>
      </c>
      <c r="C10" s="145" t="s">
        <v>369</v>
      </c>
      <c r="D10" s="190"/>
      <c r="E10" s="127"/>
      <c r="F10" s="128" t="s">
        <v>370</v>
      </c>
      <c r="G10" s="125" t="s">
        <v>371</v>
      </c>
      <c r="I10" s="129" t="s">
        <v>372</v>
      </c>
      <c r="J10" s="146"/>
      <c r="K10" s="130" t="s">
        <v>373</v>
      </c>
      <c r="L10" s="144"/>
      <c r="M10" s="130" t="s">
        <v>374</v>
      </c>
      <c r="N10" s="142" t="s">
        <v>375</v>
      </c>
      <c r="O10" s="129" t="s">
        <v>376</v>
      </c>
      <c r="R10" s="131" t="s">
        <v>97</v>
      </c>
    </row>
    <row r="11" spans="2:18" ht="15" customHeight="1">
      <c r="B11" s="125" t="s">
        <v>377</v>
      </c>
      <c r="C11" s="147" t="s">
        <v>378</v>
      </c>
      <c r="D11" s="188" t="s">
        <v>379</v>
      </c>
      <c r="E11" s="127"/>
      <c r="F11" s="128" t="s">
        <v>380</v>
      </c>
      <c r="G11" s="125" t="s">
        <v>381</v>
      </c>
      <c r="I11" s="129" t="s">
        <v>382</v>
      </c>
      <c r="J11" s="146"/>
      <c r="K11" s="130" t="s">
        <v>383</v>
      </c>
      <c r="L11" s="144"/>
      <c r="M11" s="130" t="s">
        <v>384</v>
      </c>
      <c r="N11" s="142" t="s">
        <v>385</v>
      </c>
      <c r="R11" s="131" t="s">
        <v>386</v>
      </c>
    </row>
    <row r="12" spans="2:18" ht="180">
      <c r="B12" s="125" t="s">
        <v>387</v>
      </c>
      <c r="C12" s="148" t="s">
        <v>388</v>
      </c>
      <c r="D12" s="189"/>
      <c r="E12" s="127"/>
      <c r="F12" s="128" t="s">
        <v>389</v>
      </c>
      <c r="G12" s="125" t="s">
        <v>390</v>
      </c>
      <c r="I12" s="129" t="s">
        <v>22</v>
      </c>
      <c r="J12" s="149"/>
      <c r="K12" s="130" t="s">
        <v>391</v>
      </c>
      <c r="L12" s="144"/>
      <c r="M12" s="129" t="s">
        <v>392</v>
      </c>
      <c r="N12" s="135" t="s">
        <v>393</v>
      </c>
      <c r="R12" s="131" t="s">
        <v>394</v>
      </c>
    </row>
    <row r="13" spans="2:18" ht="24.75" customHeight="1">
      <c r="B13" s="125" t="s">
        <v>395</v>
      </c>
      <c r="C13" s="148" t="s">
        <v>396</v>
      </c>
      <c r="D13" s="191"/>
      <c r="E13" s="127"/>
      <c r="F13" s="128" t="s">
        <v>397</v>
      </c>
      <c r="G13" s="125" t="s">
        <v>398</v>
      </c>
      <c r="I13" s="129" t="s">
        <v>399</v>
      </c>
      <c r="K13" s="130" t="s">
        <v>400</v>
      </c>
      <c r="L13" s="144"/>
      <c r="M13" s="130" t="s">
        <v>401</v>
      </c>
      <c r="N13" s="142" t="s">
        <v>402</v>
      </c>
      <c r="R13" s="131" t="s">
        <v>403</v>
      </c>
    </row>
    <row r="14" spans="2:18" ht="135">
      <c r="B14" s="125" t="s">
        <v>404</v>
      </c>
      <c r="C14" s="147" t="s">
        <v>405</v>
      </c>
      <c r="D14" s="192" t="s">
        <v>11</v>
      </c>
      <c r="E14" s="127"/>
      <c r="F14" s="128" t="s">
        <v>406</v>
      </c>
      <c r="G14" s="125" t="s">
        <v>407</v>
      </c>
      <c r="I14" s="129" t="s">
        <v>408</v>
      </c>
      <c r="J14" s="146"/>
      <c r="K14" s="130" t="s">
        <v>409</v>
      </c>
      <c r="L14" s="144"/>
      <c r="M14" s="130" t="s">
        <v>410</v>
      </c>
      <c r="N14" s="142" t="s">
        <v>411</v>
      </c>
      <c r="R14" s="131" t="s">
        <v>412</v>
      </c>
    </row>
    <row r="15" spans="2:18" ht="135">
      <c r="B15" s="125" t="s">
        <v>413</v>
      </c>
      <c r="C15" s="147" t="s">
        <v>414</v>
      </c>
      <c r="D15" s="191"/>
      <c r="E15" s="127"/>
      <c r="F15" s="128" t="s">
        <v>415</v>
      </c>
      <c r="G15" s="125" t="s">
        <v>416</v>
      </c>
      <c r="I15" s="129" t="s">
        <v>417</v>
      </c>
      <c r="J15" s="146"/>
      <c r="K15" s="130" t="s">
        <v>418</v>
      </c>
      <c r="L15" s="144"/>
      <c r="M15" s="130" t="s">
        <v>419</v>
      </c>
      <c r="N15" s="142" t="s">
        <v>420</v>
      </c>
      <c r="R15" s="131" t="s">
        <v>421</v>
      </c>
    </row>
    <row r="16" spans="2:18" ht="90">
      <c r="B16" s="125" t="s">
        <v>422</v>
      </c>
      <c r="C16" s="151" t="s">
        <v>423</v>
      </c>
      <c r="D16" s="150" t="s">
        <v>424</v>
      </c>
      <c r="E16" s="127"/>
      <c r="F16" s="128" t="s">
        <v>15</v>
      </c>
      <c r="G16" s="125" t="s">
        <v>425</v>
      </c>
      <c r="I16" s="129" t="s">
        <v>426</v>
      </c>
      <c r="J16" s="149"/>
      <c r="K16" s="130" t="s">
        <v>427</v>
      </c>
      <c r="L16" s="144"/>
      <c r="M16" s="130" t="s">
        <v>428</v>
      </c>
      <c r="N16" s="142" t="s">
        <v>429</v>
      </c>
      <c r="R16" s="131" t="s">
        <v>430</v>
      </c>
    </row>
    <row r="17" spans="2:18" ht="135">
      <c r="B17" s="125" t="s">
        <v>431</v>
      </c>
      <c r="C17" s="136" t="s">
        <v>432</v>
      </c>
      <c r="D17" s="140" t="s">
        <v>433</v>
      </c>
      <c r="F17" s="128" t="s">
        <v>434</v>
      </c>
      <c r="G17" s="125" t="s">
        <v>435</v>
      </c>
      <c r="I17" s="129" t="s">
        <v>436</v>
      </c>
      <c r="K17" s="130" t="s">
        <v>437</v>
      </c>
      <c r="L17" s="144"/>
      <c r="M17" s="130" t="s">
        <v>438</v>
      </c>
      <c r="N17" s="142" t="s">
        <v>439</v>
      </c>
      <c r="R17" s="131" t="s">
        <v>440</v>
      </c>
    </row>
    <row r="18" spans="2:18" ht="105">
      <c r="B18" s="125" t="s">
        <v>441</v>
      </c>
      <c r="C18" s="143" t="s">
        <v>442</v>
      </c>
      <c r="D18" s="192" t="s">
        <v>443</v>
      </c>
      <c r="F18" s="128" t="s">
        <v>444</v>
      </c>
      <c r="G18" s="90" t="s">
        <v>445</v>
      </c>
      <c r="I18" s="129" t="s">
        <v>446</v>
      </c>
      <c r="K18" s="130" t="s">
        <v>447</v>
      </c>
      <c r="L18" s="144"/>
      <c r="M18" s="129" t="s">
        <v>448</v>
      </c>
      <c r="N18" s="142" t="s">
        <v>449</v>
      </c>
      <c r="R18" s="131" t="s">
        <v>450</v>
      </c>
    </row>
    <row r="19" spans="2:18" ht="15" customHeight="1">
      <c r="B19" s="125" t="s">
        <v>451</v>
      </c>
      <c r="C19" s="145" t="s">
        <v>452</v>
      </c>
      <c r="D19" s="191"/>
      <c r="F19" s="128" t="s">
        <v>453</v>
      </c>
      <c r="G19" s="125" t="s">
        <v>454</v>
      </c>
      <c r="I19" s="129" t="s">
        <v>455</v>
      </c>
      <c r="J19" s="1"/>
      <c r="K19" s="130" t="s">
        <v>456</v>
      </c>
      <c r="L19" s="144"/>
      <c r="M19" s="130" t="s">
        <v>457</v>
      </c>
      <c r="N19" s="139" t="s">
        <v>458</v>
      </c>
      <c r="R19" s="131" t="s">
        <v>459</v>
      </c>
    </row>
    <row r="20" spans="2:18" ht="135">
      <c r="B20" s="125" t="s">
        <v>460</v>
      </c>
      <c r="C20" s="152" t="s">
        <v>461</v>
      </c>
      <c r="D20" s="150" t="s">
        <v>462</v>
      </c>
      <c r="F20" s="128" t="s">
        <v>463</v>
      </c>
      <c r="G20" s="125" t="s">
        <v>464</v>
      </c>
      <c r="I20" s="129" t="s">
        <v>465</v>
      </c>
      <c r="J20" s="1"/>
      <c r="K20" s="130" t="s">
        <v>466</v>
      </c>
      <c r="L20" s="144"/>
      <c r="M20" s="130" t="s">
        <v>467</v>
      </c>
      <c r="N20" s="139" t="s">
        <v>468</v>
      </c>
      <c r="R20" s="131" t="s">
        <v>469</v>
      </c>
    </row>
    <row r="21" spans="2:18" ht="15.75" customHeight="1">
      <c r="B21" s="125" t="s">
        <v>470</v>
      </c>
      <c r="C21" s="152" t="s">
        <v>471</v>
      </c>
      <c r="D21" s="150" t="s">
        <v>472</v>
      </c>
      <c r="F21" s="128" t="s">
        <v>473</v>
      </c>
      <c r="G21" s="125" t="s">
        <v>474</v>
      </c>
      <c r="I21" s="129" t="s">
        <v>475</v>
      </c>
      <c r="K21" s="130" t="s">
        <v>476</v>
      </c>
      <c r="L21" s="144"/>
      <c r="M21" s="130" t="s">
        <v>477</v>
      </c>
      <c r="N21" s="139" t="s">
        <v>478</v>
      </c>
      <c r="R21" s="131" t="s">
        <v>479</v>
      </c>
    </row>
    <row r="22" spans="2:18" ht="15.75" customHeight="1">
      <c r="B22" s="125" t="s">
        <v>480</v>
      </c>
      <c r="C22" s="143" t="s">
        <v>481</v>
      </c>
      <c r="D22" s="185" t="s">
        <v>482</v>
      </c>
      <c r="F22" s="128" t="s">
        <v>483</v>
      </c>
      <c r="G22" s="125" t="s">
        <v>484</v>
      </c>
      <c r="I22" s="129" t="s">
        <v>485</v>
      </c>
      <c r="K22" s="130" t="s">
        <v>486</v>
      </c>
      <c r="L22" s="144"/>
      <c r="M22" s="129" t="s">
        <v>487</v>
      </c>
      <c r="N22" s="139" t="s">
        <v>488</v>
      </c>
      <c r="R22" s="131" t="s">
        <v>489</v>
      </c>
    </row>
    <row r="23" spans="2:18" ht="15.75" customHeight="1">
      <c r="B23" s="125" t="s">
        <v>490</v>
      </c>
      <c r="C23" s="145" t="s">
        <v>491</v>
      </c>
      <c r="D23" s="186"/>
      <c r="F23" s="128" t="s">
        <v>492</v>
      </c>
      <c r="G23" s="125" t="s">
        <v>493</v>
      </c>
      <c r="I23" s="129" t="s">
        <v>494</v>
      </c>
      <c r="K23" s="130" t="s">
        <v>495</v>
      </c>
      <c r="L23" s="144"/>
      <c r="M23" s="130" t="s">
        <v>496</v>
      </c>
      <c r="N23" s="135" t="s">
        <v>497</v>
      </c>
      <c r="R23" s="131" t="s">
        <v>498</v>
      </c>
    </row>
    <row r="24" spans="2:18" ht="15.75" customHeight="1">
      <c r="B24" s="125" t="s">
        <v>499</v>
      </c>
      <c r="C24" s="152" t="s">
        <v>500</v>
      </c>
      <c r="D24" s="153" t="s">
        <v>501</v>
      </c>
      <c r="F24" s="128" t="s">
        <v>502</v>
      </c>
      <c r="G24" s="125" t="s">
        <v>503</v>
      </c>
      <c r="I24" s="129" t="s">
        <v>504</v>
      </c>
      <c r="K24" s="130" t="s">
        <v>505</v>
      </c>
      <c r="L24" s="144"/>
      <c r="M24" s="146"/>
      <c r="N24" s="135" t="s">
        <v>506</v>
      </c>
      <c r="R24" s="131" t="s">
        <v>507</v>
      </c>
    </row>
    <row r="25" spans="2:18" ht="15.75" customHeight="1">
      <c r="B25" s="125" t="s">
        <v>508</v>
      </c>
      <c r="C25" s="143" t="s">
        <v>509</v>
      </c>
      <c r="D25" s="185" t="s">
        <v>510</v>
      </c>
      <c r="F25" s="128" t="s">
        <v>511</v>
      </c>
      <c r="G25" s="125" t="s">
        <v>512</v>
      </c>
      <c r="I25" s="129" t="s">
        <v>513</v>
      </c>
      <c r="K25" s="130" t="s">
        <v>514</v>
      </c>
      <c r="L25" s="144"/>
      <c r="M25" s="146"/>
      <c r="N25" s="135" t="s">
        <v>515</v>
      </c>
      <c r="R25" s="131" t="s">
        <v>516</v>
      </c>
    </row>
    <row r="26" spans="2:18" ht="21" customHeight="1">
      <c r="C26" s="132" t="s">
        <v>517</v>
      </c>
      <c r="D26" s="187"/>
      <c r="F26" s="128" t="s">
        <v>518</v>
      </c>
      <c r="G26" s="125" t="s">
        <v>519</v>
      </c>
      <c r="I26" s="129" t="s">
        <v>520</v>
      </c>
      <c r="K26" s="130" t="s">
        <v>521</v>
      </c>
      <c r="L26" s="144"/>
      <c r="M26" s="146"/>
      <c r="N26" s="135" t="s">
        <v>522</v>
      </c>
      <c r="R26" s="131" t="s">
        <v>523</v>
      </c>
    </row>
    <row r="27" spans="2:18" ht="15.75" customHeight="1">
      <c r="C27" s="132" t="s">
        <v>524</v>
      </c>
      <c r="D27" s="187"/>
      <c r="F27" s="128" t="s">
        <v>525</v>
      </c>
      <c r="G27" s="125" t="s">
        <v>526</v>
      </c>
      <c r="I27" s="129" t="s">
        <v>527</v>
      </c>
      <c r="K27" s="130" t="s">
        <v>528</v>
      </c>
      <c r="L27" s="144"/>
      <c r="M27" s="146"/>
      <c r="N27" s="135" t="s">
        <v>529</v>
      </c>
      <c r="R27" s="131" t="s">
        <v>530</v>
      </c>
    </row>
    <row r="28" spans="2:18" ht="15.75" customHeight="1">
      <c r="C28" s="145" t="s">
        <v>531</v>
      </c>
      <c r="D28" s="186"/>
      <c r="F28" s="154" t="s">
        <v>532</v>
      </c>
      <c r="G28" s="125" t="s">
        <v>533</v>
      </c>
      <c r="I28" s="129" t="s">
        <v>534</v>
      </c>
      <c r="K28" s="130" t="s">
        <v>535</v>
      </c>
      <c r="L28" s="144"/>
      <c r="M28" s="146"/>
      <c r="N28" s="135" t="s">
        <v>536</v>
      </c>
      <c r="R28" s="131" t="s">
        <v>537</v>
      </c>
    </row>
    <row r="29" spans="2:18" ht="15.75" customHeight="1">
      <c r="C29" s="143" t="s">
        <v>538</v>
      </c>
      <c r="D29" s="185" t="s">
        <v>539</v>
      </c>
      <c r="F29" s="128" t="s">
        <v>540</v>
      </c>
      <c r="G29" s="125" t="s">
        <v>541</v>
      </c>
      <c r="I29" s="129" t="s">
        <v>542</v>
      </c>
      <c r="K29" s="130" t="s">
        <v>543</v>
      </c>
      <c r="L29" s="144"/>
      <c r="M29" s="146"/>
      <c r="N29" s="135" t="s">
        <v>544</v>
      </c>
      <c r="R29" s="131" t="s">
        <v>545</v>
      </c>
    </row>
    <row r="30" spans="2:18" ht="15" customHeight="1">
      <c r="C30" s="132" t="s">
        <v>546</v>
      </c>
      <c r="D30" s="187"/>
      <c r="F30" s="128" t="s">
        <v>547</v>
      </c>
      <c r="G30" s="125" t="s">
        <v>548</v>
      </c>
      <c r="I30" s="129" t="s">
        <v>549</v>
      </c>
      <c r="L30" s="144"/>
      <c r="M30" s="146"/>
      <c r="N30" s="135" t="s">
        <v>550</v>
      </c>
      <c r="R30" s="131" t="s">
        <v>551</v>
      </c>
    </row>
    <row r="31" spans="2:18" ht="105" customHeight="1">
      <c r="C31" s="145" t="s">
        <v>552</v>
      </c>
      <c r="D31" s="186"/>
      <c r="G31" s="125" t="s">
        <v>553</v>
      </c>
      <c r="I31" s="129" t="s">
        <v>554</v>
      </c>
      <c r="L31" s="144"/>
      <c r="M31" s="146"/>
      <c r="N31" s="135" t="s">
        <v>555</v>
      </c>
      <c r="R31" s="131" t="s">
        <v>556</v>
      </c>
    </row>
    <row r="32" spans="2:18" ht="15.75" customHeight="1">
      <c r="C32" s="136" t="s">
        <v>557</v>
      </c>
      <c r="D32" s="155" t="s">
        <v>558</v>
      </c>
      <c r="G32" s="125" t="s">
        <v>559</v>
      </c>
      <c r="I32" s="129" t="s">
        <v>560</v>
      </c>
      <c r="L32" s="144"/>
      <c r="M32" s="146"/>
      <c r="N32" s="135" t="s">
        <v>561</v>
      </c>
      <c r="R32" s="131" t="s">
        <v>562</v>
      </c>
    </row>
    <row r="33" spans="7:18" ht="15.75" customHeight="1">
      <c r="G33" s="125" t="s">
        <v>563</v>
      </c>
      <c r="L33" s="144"/>
      <c r="M33" s="146"/>
      <c r="N33" s="135" t="s">
        <v>564</v>
      </c>
      <c r="R33" s="131" t="s">
        <v>565</v>
      </c>
    </row>
    <row r="34" spans="7:18" ht="15.75" customHeight="1">
      <c r="G34" s="125" t="s">
        <v>566</v>
      </c>
      <c r="L34" s="144"/>
      <c r="M34" s="149"/>
      <c r="N34" s="135" t="s">
        <v>567</v>
      </c>
      <c r="R34" s="131" t="s">
        <v>568</v>
      </c>
    </row>
    <row r="35" spans="7:18" ht="15.75" customHeight="1">
      <c r="G35" s="125" t="s">
        <v>569</v>
      </c>
      <c r="L35" s="144"/>
      <c r="N35" s="135" t="s">
        <v>570</v>
      </c>
      <c r="R35" s="131" t="s">
        <v>571</v>
      </c>
    </row>
    <row r="36" spans="7:18" ht="15" customHeight="1">
      <c r="G36" s="125" t="s">
        <v>572</v>
      </c>
      <c r="L36" s="144"/>
      <c r="N36" s="135" t="s">
        <v>573</v>
      </c>
      <c r="R36" s="131" t="s">
        <v>574</v>
      </c>
    </row>
    <row r="37" spans="7:18" ht="15.75" customHeight="1">
      <c r="G37" s="125" t="s">
        <v>575</v>
      </c>
      <c r="L37" s="144"/>
      <c r="N37" s="135" t="s">
        <v>576</v>
      </c>
      <c r="R37" s="131" t="s">
        <v>577</v>
      </c>
    </row>
    <row r="38" spans="7:18" ht="15.75" customHeight="1">
      <c r="G38" s="125" t="s">
        <v>578</v>
      </c>
      <c r="L38" s="144"/>
      <c r="N38" s="135" t="s">
        <v>579</v>
      </c>
      <c r="R38" s="131" t="s">
        <v>580</v>
      </c>
    </row>
    <row r="39" spans="7:18" ht="15.75" customHeight="1">
      <c r="G39" s="125" t="s">
        <v>581</v>
      </c>
      <c r="L39" s="144"/>
      <c r="N39" s="135" t="s">
        <v>582</v>
      </c>
      <c r="R39" s="131" t="s">
        <v>583</v>
      </c>
    </row>
    <row r="40" spans="7:18" ht="15" customHeight="1">
      <c r="G40" s="125" t="s">
        <v>584</v>
      </c>
      <c r="L40" s="144"/>
      <c r="N40" s="135" t="s">
        <v>585</v>
      </c>
      <c r="R40" s="131" t="s">
        <v>586</v>
      </c>
    </row>
    <row r="41" spans="7:18" ht="15.75" customHeight="1">
      <c r="G41" s="125" t="s">
        <v>587</v>
      </c>
      <c r="L41" s="144"/>
      <c r="N41" s="135" t="s">
        <v>588</v>
      </c>
      <c r="R41" s="131" t="s">
        <v>589</v>
      </c>
    </row>
    <row r="42" spans="7:18" ht="15" customHeight="1">
      <c r="G42" s="125" t="s">
        <v>590</v>
      </c>
      <c r="L42" s="144"/>
      <c r="N42" s="139" t="s">
        <v>591</v>
      </c>
      <c r="R42" s="131" t="s">
        <v>592</v>
      </c>
    </row>
    <row r="43" spans="7:18" ht="15.75" customHeight="1">
      <c r="G43" s="125" t="s">
        <v>593</v>
      </c>
      <c r="L43" s="144"/>
      <c r="N43" s="1" t="s">
        <v>594</v>
      </c>
      <c r="R43" s="131" t="s">
        <v>595</v>
      </c>
    </row>
    <row r="44" spans="7:18" ht="15.75" customHeight="1">
      <c r="G44" s="125" t="s">
        <v>596</v>
      </c>
      <c r="L44" s="144"/>
      <c r="N44" s="135" t="s">
        <v>597</v>
      </c>
      <c r="R44" s="131" t="s">
        <v>598</v>
      </c>
    </row>
    <row r="45" spans="7:18" ht="15.75" customHeight="1">
      <c r="G45" s="125" t="s">
        <v>599</v>
      </c>
      <c r="L45" s="144"/>
      <c r="N45" s="135" t="s">
        <v>600</v>
      </c>
      <c r="R45" s="131" t="s">
        <v>601</v>
      </c>
    </row>
    <row r="46" spans="7:18" ht="15" customHeight="1">
      <c r="G46" s="125" t="s">
        <v>602</v>
      </c>
      <c r="L46" s="144"/>
      <c r="N46" s="135" t="s">
        <v>603</v>
      </c>
      <c r="R46" s="131" t="s">
        <v>604</v>
      </c>
    </row>
    <row r="47" spans="7:18" ht="15.75" customHeight="1">
      <c r="G47" s="125" t="s">
        <v>605</v>
      </c>
      <c r="L47" s="144"/>
      <c r="N47" s="135" t="s">
        <v>606</v>
      </c>
      <c r="R47" s="131" t="s">
        <v>607</v>
      </c>
    </row>
    <row r="48" spans="7:18" ht="15" customHeight="1">
      <c r="G48" s="125" t="s">
        <v>608</v>
      </c>
      <c r="L48" s="144"/>
      <c r="N48" s="135" t="s">
        <v>609</v>
      </c>
      <c r="R48" s="131" t="s">
        <v>610</v>
      </c>
    </row>
    <row r="49" spans="7:18" ht="15.75" customHeight="1">
      <c r="G49" s="125" t="s">
        <v>611</v>
      </c>
      <c r="L49" s="144"/>
      <c r="N49" s="135" t="s">
        <v>612</v>
      </c>
      <c r="R49" s="131" t="s">
        <v>613</v>
      </c>
    </row>
    <row r="50" spans="7:18" ht="15" customHeight="1">
      <c r="G50" s="125" t="s">
        <v>614</v>
      </c>
      <c r="L50" s="144"/>
      <c r="N50" s="142" t="s">
        <v>615</v>
      </c>
      <c r="R50" s="131" t="s">
        <v>616</v>
      </c>
    </row>
    <row r="51" spans="7:18" ht="15.75" customHeight="1">
      <c r="G51" s="125" t="s">
        <v>617</v>
      </c>
      <c r="L51" s="144"/>
      <c r="N51" s="135" t="s">
        <v>618</v>
      </c>
      <c r="R51" s="131" t="s">
        <v>619</v>
      </c>
    </row>
    <row r="52" spans="7:18" ht="15.75" customHeight="1">
      <c r="G52" s="125" t="s">
        <v>620</v>
      </c>
      <c r="L52" s="144"/>
      <c r="N52" s="135" t="s">
        <v>621</v>
      </c>
      <c r="R52" s="131" t="s">
        <v>622</v>
      </c>
    </row>
    <row r="53" spans="7:18" ht="15" customHeight="1">
      <c r="G53" s="125" t="s">
        <v>623</v>
      </c>
      <c r="L53" s="144"/>
      <c r="N53" s="142" t="s">
        <v>624</v>
      </c>
      <c r="R53" s="131" t="s">
        <v>625</v>
      </c>
    </row>
    <row r="54" spans="7:18" ht="15.75" customHeight="1">
      <c r="G54" s="125" t="s">
        <v>626</v>
      </c>
      <c r="L54" s="144"/>
      <c r="N54" s="135" t="s">
        <v>627</v>
      </c>
      <c r="R54" s="131" t="s">
        <v>628</v>
      </c>
    </row>
    <row r="55" spans="7:18" ht="15" customHeight="1">
      <c r="G55" s="125" t="s">
        <v>629</v>
      </c>
      <c r="L55" s="144"/>
      <c r="N55" s="135" t="s">
        <v>630</v>
      </c>
      <c r="R55" s="131" t="s">
        <v>631</v>
      </c>
    </row>
    <row r="56" spans="7:18" ht="15.75" customHeight="1">
      <c r="G56" s="125" t="s">
        <v>632</v>
      </c>
      <c r="L56" s="144"/>
      <c r="N56" s="135" t="s">
        <v>633</v>
      </c>
      <c r="R56" s="131" t="s">
        <v>634</v>
      </c>
    </row>
    <row r="57" spans="7:18" ht="15.75" customHeight="1">
      <c r="G57" s="125" t="s">
        <v>635</v>
      </c>
      <c r="L57" s="144"/>
      <c r="N57" s="135" t="s">
        <v>636</v>
      </c>
      <c r="R57" s="131" t="s">
        <v>637</v>
      </c>
    </row>
    <row r="58" spans="7:18" ht="15" customHeight="1">
      <c r="G58" s="125" t="s">
        <v>638</v>
      </c>
      <c r="L58" s="144"/>
      <c r="N58" s="135" t="s">
        <v>639</v>
      </c>
      <c r="R58" s="131" t="s">
        <v>640</v>
      </c>
    </row>
    <row r="59" spans="7:18" ht="15.75" customHeight="1">
      <c r="G59" s="125" t="s">
        <v>641</v>
      </c>
      <c r="L59" s="144"/>
      <c r="N59" s="135" t="s">
        <v>642</v>
      </c>
      <c r="R59" s="131" t="s">
        <v>643</v>
      </c>
    </row>
    <row r="60" spans="7:18" ht="15" customHeight="1">
      <c r="G60" s="125" t="s">
        <v>644</v>
      </c>
      <c r="L60" s="144"/>
      <c r="N60" s="135" t="s">
        <v>645</v>
      </c>
      <c r="R60" s="131" t="s">
        <v>646</v>
      </c>
    </row>
    <row r="61" spans="7:18" ht="15.75" customHeight="1">
      <c r="G61" s="125" t="s">
        <v>647</v>
      </c>
      <c r="L61" s="144"/>
      <c r="N61" s="135" t="s">
        <v>648</v>
      </c>
      <c r="R61" s="131" t="s">
        <v>649</v>
      </c>
    </row>
    <row r="62" spans="7:18" ht="15" customHeight="1">
      <c r="G62" s="125" t="s">
        <v>650</v>
      </c>
      <c r="L62" s="144"/>
      <c r="N62" s="135" t="s">
        <v>651</v>
      </c>
      <c r="R62" s="131" t="s">
        <v>652</v>
      </c>
    </row>
    <row r="63" spans="7:18" ht="15.75" customHeight="1">
      <c r="G63" s="125" t="s">
        <v>653</v>
      </c>
      <c r="L63" s="144"/>
      <c r="N63" s="135" t="s">
        <v>654</v>
      </c>
      <c r="R63" s="131" t="s">
        <v>655</v>
      </c>
    </row>
    <row r="64" spans="7:18" ht="15.75" customHeight="1">
      <c r="G64" s="125" t="s">
        <v>656</v>
      </c>
      <c r="L64" s="144"/>
      <c r="N64" s="135" t="s">
        <v>657</v>
      </c>
      <c r="R64" s="131" t="s">
        <v>658</v>
      </c>
    </row>
    <row r="65" spans="7:18" ht="15.75" customHeight="1">
      <c r="G65" s="125" t="s">
        <v>659</v>
      </c>
      <c r="L65" s="144"/>
      <c r="N65" s="135" t="s">
        <v>660</v>
      </c>
      <c r="R65" s="131" t="s">
        <v>661</v>
      </c>
    </row>
    <row r="66" spans="7:18" ht="15" customHeight="1">
      <c r="G66" s="125" t="s">
        <v>662</v>
      </c>
      <c r="L66" s="144"/>
      <c r="N66" s="135" t="s">
        <v>663</v>
      </c>
      <c r="R66" s="131" t="s">
        <v>664</v>
      </c>
    </row>
    <row r="67" spans="7:18" ht="15.75" customHeight="1">
      <c r="G67" s="125" t="s">
        <v>665</v>
      </c>
      <c r="L67" s="144"/>
      <c r="N67" s="135" t="s">
        <v>666</v>
      </c>
      <c r="R67" s="131" t="s">
        <v>667</v>
      </c>
    </row>
    <row r="68" spans="7:18" ht="15.75" customHeight="1">
      <c r="G68" s="125" t="s">
        <v>17</v>
      </c>
      <c r="L68" s="144"/>
      <c r="N68" s="135" t="s">
        <v>668</v>
      </c>
      <c r="R68" s="131" t="s">
        <v>669</v>
      </c>
    </row>
    <row r="69" spans="7:18" ht="15.75" customHeight="1">
      <c r="G69" s="125" t="s">
        <v>670</v>
      </c>
      <c r="L69" s="144"/>
      <c r="N69" s="135" t="s">
        <v>671</v>
      </c>
      <c r="R69" s="131" t="s">
        <v>672</v>
      </c>
    </row>
    <row r="70" spans="7:18" ht="15" customHeight="1">
      <c r="G70" s="90" t="s">
        <v>673</v>
      </c>
      <c r="L70" s="144"/>
      <c r="N70" s="135" t="s">
        <v>674</v>
      </c>
      <c r="R70" s="131" t="s">
        <v>675</v>
      </c>
    </row>
    <row r="71" spans="7:18" ht="15.75" customHeight="1">
      <c r="G71" s="125" t="s">
        <v>676</v>
      </c>
      <c r="L71" s="144"/>
      <c r="N71" s="135" t="s">
        <v>677</v>
      </c>
      <c r="R71" s="131" t="s">
        <v>678</v>
      </c>
    </row>
    <row r="72" spans="7:18" ht="15.75" customHeight="1">
      <c r="G72" s="125" t="s">
        <v>679</v>
      </c>
      <c r="L72" s="144"/>
      <c r="N72" s="135" t="s">
        <v>680</v>
      </c>
      <c r="R72" s="131" t="s">
        <v>681</v>
      </c>
    </row>
    <row r="73" spans="7:18" ht="15.75" customHeight="1">
      <c r="G73" s="125" t="s">
        <v>682</v>
      </c>
      <c r="L73" s="144"/>
      <c r="N73" s="135" t="s">
        <v>683</v>
      </c>
      <c r="R73" s="131" t="s">
        <v>684</v>
      </c>
    </row>
    <row r="74" spans="7:18" ht="15.75" customHeight="1">
      <c r="G74" s="125" t="s">
        <v>685</v>
      </c>
      <c r="L74" s="144"/>
      <c r="N74" s="135" t="s">
        <v>686</v>
      </c>
      <c r="R74" s="131" t="s">
        <v>687</v>
      </c>
    </row>
    <row r="75" spans="7:18" ht="15.75" customHeight="1">
      <c r="G75" s="125" t="s">
        <v>688</v>
      </c>
      <c r="L75" s="144"/>
      <c r="N75" s="135" t="s">
        <v>689</v>
      </c>
      <c r="R75" s="131" t="s">
        <v>690</v>
      </c>
    </row>
    <row r="76" spans="7:18" ht="15.75" customHeight="1">
      <c r="G76" s="125" t="s">
        <v>691</v>
      </c>
      <c r="L76" s="144"/>
      <c r="N76" s="135" t="s">
        <v>692</v>
      </c>
      <c r="R76" s="131" t="s">
        <v>693</v>
      </c>
    </row>
    <row r="77" spans="7:18" ht="15.75" customHeight="1">
      <c r="G77" s="125" t="s">
        <v>694</v>
      </c>
      <c r="L77" s="144"/>
      <c r="N77" s="135" t="s">
        <v>695</v>
      </c>
      <c r="R77" s="131" t="s">
        <v>696</v>
      </c>
    </row>
    <row r="78" spans="7:18" ht="15.75" customHeight="1">
      <c r="G78" s="125" t="s">
        <v>697</v>
      </c>
      <c r="L78" s="144"/>
      <c r="N78" s="135" t="s">
        <v>698</v>
      </c>
      <c r="R78" s="131" t="s">
        <v>699</v>
      </c>
    </row>
    <row r="79" spans="7:18" ht="15.75" customHeight="1">
      <c r="G79" s="125" t="s">
        <v>700</v>
      </c>
      <c r="L79" s="144"/>
      <c r="N79" s="135" t="s">
        <v>701</v>
      </c>
      <c r="R79" s="131" t="s">
        <v>702</v>
      </c>
    </row>
    <row r="80" spans="7:18" ht="15" customHeight="1">
      <c r="G80" s="125" t="s">
        <v>703</v>
      </c>
      <c r="L80" s="144"/>
      <c r="N80" s="135" t="s">
        <v>704</v>
      </c>
      <c r="R80" s="131" t="s">
        <v>705</v>
      </c>
    </row>
    <row r="81" spans="7:18" ht="15.75" customHeight="1">
      <c r="G81" s="125" t="s">
        <v>706</v>
      </c>
      <c r="L81" s="144"/>
      <c r="N81" s="142" t="s">
        <v>707</v>
      </c>
      <c r="R81" s="131" t="s">
        <v>708</v>
      </c>
    </row>
    <row r="82" spans="7:18" ht="15.75" customHeight="1">
      <c r="G82" s="125" t="s">
        <v>709</v>
      </c>
      <c r="L82" s="144"/>
      <c r="N82" s="135" t="s">
        <v>710</v>
      </c>
      <c r="R82" s="131" t="s">
        <v>711</v>
      </c>
    </row>
    <row r="83" spans="7:18" ht="15" customHeight="1">
      <c r="G83" s="125" t="s">
        <v>712</v>
      </c>
      <c r="L83" s="144"/>
      <c r="N83" s="135" t="s">
        <v>713</v>
      </c>
      <c r="R83" s="131" t="s">
        <v>714</v>
      </c>
    </row>
    <row r="84" spans="7:18" ht="15.75" customHeight="1">
      <c r="G84" s="125" t="s">
        <v>715</v>
      </c>
      <c r="L84" s="144"/>
      <c r="N84" s="135" t="s">
        <v>716</v>
      </c>
      <c r="R84" s="131" t="s">
        <v>717</v>
      </c>
    </row>
    <row r="85" spans="7:18" ht="15.75" customHeight="1">
      <c r="G85" s="125" t="s">
        <v>718</v>
      </c>
      <c r="L85" s="144"/>
      <c r="N85" s="135" t="s">
        <v>719</v>
      </c>
      <c r="R85" s="131" t="s">
        <v>720</v>
      </c>
    </row>
    <row r="86" spans="7:18" ht="15.75" customHeight="1">
      <c r="G86" s="125" t="s">
        <v>721</v>
      </c>
      <c r="L86" s="144"/>
      <c r="N86" s="135" t="s">
        <v>722</v>
      </c>
      <c r="R86" s="131" t="s">
        <v>723</v>
      </c>
    </row>
    <row r="87" spans="7:18" ht="15.75" customHeight="1">
      <c r="G87" s="90" t="s">
        <v>724</v>
      </c>
      <c r="L87" s="144"/>
      <c r="N87" s="139" t="s">
        <v>725</v>
      </c>
      <c r="R87" s="131" t="s">
        <v>726</v>
      </c>
    </row>
    <row r="88" spans="7:18" ht="15" customHeight="1">
      <c r="G88" s="125" t="s">
        <v>727</v>
      </c>
      <c r="L88" s="144"/>
      <c r="N88" s="156" t="s">
        <v>728</v>
      </c>
      <c r="R88" s="131" t="s">
        <v>729</v>
      </c>
    </row>
    <row r="89" spans="7:18" ht="15.75" customHeight="1">
      <c r="G89" s="125" t="s">
        <v>730</v>
      </c>
      <c r="L89" s="144"/>
      <c r="N89" s="139" t="s">
        <v>731</v>
      </c>
      <c r="R89" s="131" t="s">
        <v>732</v>
      </c>
    </row>
    <row r="90" spans="7:18" ht="15.75" customHeight="1">
      <c r="G90" s="125" t="s">
        <v>733</v>
      </c>
      <c r="L90" s="144"/>
      <c r="N90" s="135" t="s">
        <v>734</v>
      </c>
      <c r="R90" s="131" t="s">
        <v>735</v>
      </c>
    </row>
    <row r="91" spans="7:18" ht="15" customHeight="1">
      <c r="G91" s="125" t="s">
        <v>736</v>
      </c>
      <c r="L91" s="157"/>
      <c r="N91" s="1" t="s">
        <v>737</v>
      </c>
      <c r="R91" s="131" t="s">
        <v>738</v>
      </c>
    </row>
    <row r="92" spans="7:18" ht="15.75" customHeight="1">
      <c r="G92" s="125" t="s">
        <v>739</v>
      </c>
      <c r="N92" s="135" t="s">
        <v>740</v>
      </c>
      <c r="R92" s="131" t="s">
        <v>741</v>
      </c>
    </row>
    <row r="93" spans="7:18" ht="15.75" customHeight="1">
      <c r="G93" s="125" t="s">
        <v>742</v>
      </c>
      <c r="L93" s="144"/>
      <c r="N93" s="139" t="s">
        <v>743</v>
      </c>
      <c r="R93" s="131" t="s">
        <v>744</v>
      </c>
    </row>
    <row r="94" spans="7:18" ht="15.75" customHeight="1">
      <c r="G94" s="90" t="s">
        <v>745</v>
      </c>
      <c r="L94" s="144"/>
      <c r="N94" s="139" t="s">
        <v>746</v>
      </c>
      <c r="R94" s="131" t="s">
        <v>747</v>
      </c>
    </row>
    <row r="95" spans="7:18" ht="15" customHeight="1">
      <c r="G95" s="125" t="s">
        <v>748</v>
      </c>
      <c r="L95" s="144"/>
      <c r="R95" s="131" t="s">
        <v>749</v>
      </c>
    </row>
    <row r="96" spans="7:18" ht="15.75" customHeight="1">
      <c r="G96" s="125" t="s">
        <v>750</v>
      </c>
      <c r="L96" s="144"/>
      <c r="R96" s="131" t="s">
        <v>751</v>
      </c>
    </row>
    <row r="97" spans="7:18" ht="15.75" customHeight="1">
      <c r="G97" s="125" t="s">
        <v>752</v>
      </c>
      <c r="L97" s="144"/>
      <c r="R97" s="131" t="s">
        <v>753</v>
      </c>
    </row>
    <row r="98" spans="7:18" ht="15" customHeight="1">
      <c r="G98" s="125" t="s">
        <v>754</v>
      </c>
      <c r="L98" s="144"/>
      <c r="R98" s="131" t="s">
        <v>755</v>
      </c>
    </row>
    <row r="99" spans="7:18" ht="15.75" customHeight="1">
      <c r="G99" s="125" t="s">
        <v>756</v>
      </c>
      <c r="L99" s="144"/>
      <c r="R99" s="131" t="s">
        <v>757</v>
      </c>
    </row>
    <row r="100" spans="7:18" ht="15.75" customHeight="1">
      <c r="G100" s="125" t="s">
        <v>758</v>
      </c>
      <c r="L100" s="144"/>
      <c r="R100" s="158"/>
    </row>
    <row r="101" spans="7:18" ht="15" customHeight="1">
      <c r="G101" s="125" t="s">
        <v>759</v>
      </c>
      <c r="L101" s="144"/>
    </row>
    <row r="102" spans="7:18" ht="15.75" customHeight="1">
      <c r="G102" s="125" t="s">
        <v>760</v>
      </c>
      <c r="L102" s="144"/>
    </row>
    <row r="103" spans="7:18" ht="15.75" customHeight="1">
      <c r="G103" s="125" t="s">
        <v>761</v>
      </c>
      <c r="L103" s="144"/>
    </row>
    <row r="104" spans="7:18" ht="15" customHeight="1">
      <c r="G104" s="125" t="s">
        <v>762</v>
      </c>
      <c r="L104" s="144"/>
    </row>
    <row r="105" spans="7:18" ht="15.75" customHeight="1">
      <c r="G105" s="125" t="s">
        <v>763</v>
      </c>
      <c r="L105" s="144"/>
    </row>
    <row r="106" spans="7:18" ht="15.75" customHeight="1">
      <c r="G106" s="125" t="s">
        <v>764</v>
      </c>
      <c r="L106" s="144"/>
    </row>
    <row r="107" spans="7:18" ht="15" customHeight="1">
      <c r="G107" s="125" t="s">
        <v>765</v>
      </c>
      <c r="L107" s="144"/>
    </row>
    <row r="108" spans="7:18" ht="15.75" customHeight="1">
      <c r="G108" s="125" t="s">
        <v>766</v>
      </c>
      <c r="L108" s="144"/>
    </row>
    <row r="109" spans="7:18" ht="15.75" customHeight="1">
      <c r="G109" s="125" t="s">
        <v>767</v>
      </c>
      <c r="L109" s="144"/>
    </row>
    <row r="110" spans="7:18" ht="15.75" customHeight="1">
      <c r="G110" s="125" t="s">
        <v>768</v>
      </c>
      <c r="L110" s="144"/>
    </row>
    <row r="111" spans="7:18" ht="15" customHeight="1">
      <c r="G111" s="125" t="s">
        <v>769</v>
      </c>
      <c r="L111" s="144"/>
    </row>
    <row r="112" spans="7:18" ht="15.75" customHeight="1">
      <c r="G112" s="90" t="s">
        <v>770</v>
      </c>
      <c r="L112" s="144"/>
    </row>
    <row r="113" spans="7:12" ht="15" customHeight="1">
      <c r="G113" s="90" t="s">
        <v>771</v>
      </c>
      <c r="L113" s="144"/>
    </row>
    <row r="114" spans="7:12" ht="15.75" customHeight="1">
      <c r="L114" s="144"/>
    </row>
    <row r="115" spans="7:12" ht="15.75" customHeight="1">
      <c r="L115" s="144"/>
    </row>
    <row r="116" spans="7:12" ht="15" customHeight="1">
      <c r="L116" s="144"/>
    </row>
    <row r="117" spans="7:12" ht="15.75" customHeight="1">
      <c r="L117" s="144"/>
    </row>
    <row r="118" spans="7:12" ht="15.75" customHeight="1">
      <c r="L118" s="144"/>
    </row>
    <row r="119" spans="7:12" ht="15.75" customHeight="1">
      <c r="L119" s="144"/>
    </row>
    <row r="120" spans="7:12" ht="15.75" customHeight="1">
      <c r="L120" s="144"/>
    </row>
    <row r="121" spans="7:12" ht="15.75" customHeight="1">
      <c r="L121" s="144"/>
    </row>
    <row r="122" spans="7:12" ht="15" customHeight="1">
      <c r="L122" s="144"/>
    </row>
    <row r="123" spans="7:12" ht="15.75" customHeight="1">
      <c r="L123" s="144"/>
    </row>
    <row r="124" spans="7:12" ht="15" customHeight="1">
      <c r="L124" s="144"/>
    </row>
    <row r="125" spans="7:12" ht="15.75" customHeight="1">
      <c r="L125" s="144"/>
    </row>
    <row r="126" spans="7:12" ht="15" customHeight="1">
      <c r="L126" s="144"/>
    </row>
    <row r="127" spans="7:12" ht="15.75" customHeight="1">
      <c r="L127" s="144"/>
    </row>
    <row r="128" spans="7:12" ht="15.75" customHeight="1">
      <c r="L128" s="144"/>
    </row>
    <row r="129" spans="12:12" ht="15.75" customHeight="1">
      <c r="L129" s="144"/>
    </row>
    <row r="130" spans="12:12" ht="15" customHeight="1">
      <c r="L130" s="144"/>
    </row>
    <row r="131" spans="12:12" ht="15.75" customHeight="1">
      <c r="L131" s="144"/>
    </row>
    <row r="132" spans="12:12" ht="15.75" customHeight="1">
      <c r="L132" s="144"/>
    </row>
    <row r="133" spans="12:12" ht="15" customHeight="1">
      <c r="L133" s="144"/>
    </row>
    <row r="134" spans="12:12" ht="15.75" customHeight="1">
      <c r="L134" s="144"/>
    </row>
    <row r="135" spans="12:12" ht="15.75" customHeight="1">
      <c r="L135" s="144"/>
    </row>
    <row r="136" spans="12:12" ht="15" customHeight="1">
      <c r="L136" s="144"/>
    </row>
    <row r="137" spans="12:12" ht="15.75" customHeight="1">
      <c r="L137" s="144"/>
    </row>
    <row r="138" spans="12:12" ht="15" customHeight="1">
      <c r="L138" s="144"/>
    </row>
    <row r="139" spans="12:12" ht="15.75" customHeight="1">
      <c r="L139" s="144"/>
    </row>
    <row r="140" spans="12:12" ht="15.75" customHeight="1">
      <c r="L140" s="144"/>
    </row>
    <row r="141" spans="12:12" ht="15" customHeight="1">
      <c r="L141" s="144"/>
    </row>
    <row r="142" spans="12:12" ht="15.75" customHeight="1">
      <c r="L142" s="144"/>
    </row>
    <row r="143" spans="12:12" ht="15.75" customHeight="1">
      <c r="L143" s="144"/>
    </row>
    <row r="144" spans="12:12" ht="15.75" customHeight="1">
      <c r="L144" s="144"/>
    </row>
    <row r="145" spans="12:12" ht="15.75" customHeight="1">
      <c r="L145" s="144"/>
    </row>
    <row r="146" spans="12:12" ht="15" customHeight="1">
      <c r="L146" s="157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MIR DIFGDL</vt:lpstr>
      <vt:lpstr>FIN PROPÓSITO</vt:lpstr>
      <vt:lpstr>Estático</vt:lpstr>
      <vt:lpstr>Porfinporproposito</vt:lpstr>
      <vt:lpstr>Hoja 3</vt:lpstr>
      <vt:lpstr>FIN</vt:lpstr>
      <vt:lpstr>PROPÓSITO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2023-10-24T17:10:20Z</dcterms:modified>
</cp:coreProperties>
</file>